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ThisWorkbook" hidePivotFieldList="1"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 name="Top Item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<sst xmlns="http://schemas.openxmlformats.org/spreadsheetml/2006/main" count="7126" uniqueCount="1948">
  <si>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</si>
  <si>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</si>
  <si>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</si>
  <si>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</si>
  <si>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</si>
  <si>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</si>
  <si>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</si>
  <si>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</si>
  <si>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</si>
  <si>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</si>
  <si>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</si>
  <si>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</si>
  <si>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</si>
  <si>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</si>
  <si>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</si>
  <si>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</si>
  <si>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</si>
  <si>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</si>
  <si>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</si>
  <si>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</si>
  <si>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</si>
  <si>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</si>
  <si>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</si>
  <si>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</si>
  <si>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</si>
  <si>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</si>
  <si>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</si>
  <si>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</si>
  <si>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</si>
  <si>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</si>
  <si>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</si>
  <si>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</si>
  <si>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</si>
  <si>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</si>
  <si>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</si>
  <si>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</si>
  <si>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</si>
  <si>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</si>
  <si>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</si>
  <si>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</si>
  <si>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</si>
  <si>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</si>
  <si>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</si>
  <si>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</si>
  <si>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</si>
  <si>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</si>
  <si>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</si>
  <si>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</si>
  <si>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</si>
  <si>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</si>
  <si>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</si>
  <si>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</si>
  <si>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</si>
  <si>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</si>
  <si>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</si>
  <si>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</si>
  <si>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</si>
  <si>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</si>
  <si>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</si>
  <si>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</si>
  <si>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</si>
  <si>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</si>
  <si>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</si>
  <si>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</si>
  <si>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</si>
  <si>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</si>
  <si>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</si>
  <si>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</si>
  <si>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</si>
  <si>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</si>
  <si>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</si>
  <si>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</si>
  <si>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</si>
  <si>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</si>
  <si>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</si>
  <si>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</si>
  <si>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</si>
  <si>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</si>
  <si>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</si>
  <si>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</si>
  <si>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</si>
  <si>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</si>
  <si>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</si>
  <si>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</si>
  <si>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</si>
  <si>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</si>
  <si>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</si>
  <si>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</si>
  <si>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</si>
  <si>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</si>
  <si>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</si>
  <si>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</si>
  <si>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</si>
  <si>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</si>
  <si>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</si>
  <si>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</si>
  <si>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</si>
  <si>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</si>
  <si>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</si>
  <si>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</si>
  <si>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</si>
  <si>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</si>
  <si>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</si>
  <si>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</si>
  <si>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</si>
  <si>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</si>
  <si>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</si>
  <si>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</si>
  <si>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</si>
  <si>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</si>
  <si>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</si>
  <si>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</si>
  <si>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</si>
  <si>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</si>
  <si>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</si>
  <si>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</si>
  <si>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</si>
  <si>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</si>
  <si>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</si>
  <si>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</si>
  <si>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</si>
  <si>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</si>
  <si>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</si>
  <si>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</si>
  <si>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</si>
  <si>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</si>
  <si>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</si>
  <si>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</si>
  <si>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</si>
  <si>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</si>
  <si>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</si>
  <si>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</si>
  <si>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</si>
  <si>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</si>
  <si>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</si>
  <si>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</si>
  <si>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</si>
  <si>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</si>
  <si>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</si>
  <si>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</si>
  <si>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</si>
  <si>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</si>
  <si>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</si>
  <si>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</si>
  <si>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</si>
  <si>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</si>
  <si>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</si>
  <si>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</si>
  <si>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</si>
  <si>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</si>
  <si>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</si>
  <si>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</si>
  <si>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</si>
  <si>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</si>
  <si>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</si>
  <si>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</si>
  <si>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</si>
  <si>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</si>
  <si>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</si>
  <si>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</si>
  <si>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</si>
  <si>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</si>
  <si>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</si>
  <si>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</si>
  <si>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</si>
  <si>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</si>
  <si>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</si>
  <si>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</si>
  <si>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</si>
  <si>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</si>
  <si>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</si>
  <si>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</si>
  <si>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</si>
  <si>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</si>
  <si>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</si>
  <si>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</si>
  <si>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</si>
  <si>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</si>
  <si>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</si>
  <si>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</si>
  <si>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</si>
  <si>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</si>
  <si>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</si>
  <si>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</si>
  <si>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</si>
  <si>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</si>
  <si>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</si>
  <si>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</si>
  <si>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</si>
  <si>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</si>
  <si>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</si>
  <si>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</si>
  <si>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</si>
  <si>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19</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</si>
  <si>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</si>
  <si>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</si>
  <si>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</si>
  <si>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</si>
  <si>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</si>
  <si>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</si>
  <si>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</si>
  <si>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</si>
  <si>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</si>
  <si>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</si>
  <si>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</si>
  <si>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</si>
  <si>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</si>
  <si>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Publishet At</t>
  </si>
  <si>
    <t>Updated At</t>
  </si>
  <si>
    <t>URLs In Comment</t>
  </si>
  <si>
    <t>Domains In Comment</t>
  </si>
  <si>
    <t>Hashtags In Comment</t>
  </si>
  <si>
    <t>UCqop8tlrCuuuczAfxrR5j1A</t>
  </si>
  <si>
    <t>UCfth7ICp0EaKM6YyQPjvoOg</t>
  </si>
  <si>
    <t>UCFp1vaKzpfvoGai0vE5VJ0w</t>
  </si>
  <si>
    <t>UCDRa3hAzNSyCXYMm6zncajQ</t>
  </si>
  <si>
    <t>UCvr2RftXJBsY7vTlQCmxZaw</t>
  </si>
  <si>
    <t>UCO7kLxBbcZ-F6jdssKIMfFw</t>
  </si>
  <si>
    <t>UCFiPHO5NgaQdVggOroJP_nw</t>
  </si>
  <si>
    <t>UCQSAWg2c-QMRHUyywmilREQ</t>
  </si>
  <si>
    <t>UCtlTqmbJidEUZFkxHptY1FA</t>
  </si>
  <si>
    <t>UCYyKfXHo6Jho0ICP9TZFZRg</t>
  </si>
  <si>
    <t>UCHVkfQ6eBHYzyRh0LLjpNpg</t>
  </si>
  <si>
    <t>UCIOXfx8ziM1LrWylHIsrN0Q</t>
  </si>
  <si>
    <t>UCIUV3lP4RQEOqbY1funMH3w</t>
  </si>
  <si>
    <t>UCQgAbIWD4HdKm-HJ91VvZuw</t>
  </si>
  <si>
    <t>UCHuFeq6O8IE77zuClBDkATg</t>
  </si>
  <si>
    <t>UCMHwup1V_k48AWCCFNe2yqQ</t>
  </si>
  <si>
    <t>UCz4eajnBYLumJR1qQj2SR9w</t>
  </si>
  <si>
    <t>UCTM43tLnMPEe1n93r_hJIJQ</t>
  </si>
  <si>
    <t>UCh_KxM9jaD6DCzneVuwjXNA</t>
  </si>
  <si>
    <t>UCR5WT6Lkv9pdX_xsvQ6YyDg</t>
  </si>
  <si>
    <t>UCJNf_zUjSFMnCJSjjr2I2cw</t>
  </si>
  <si>
    <t>UCOnfASrbw0effD5EpxKpnmA</t>
  </si>
  <si>
    <t>UCHQ7g1xX-e9rghxNR4ChsOg</t>
  </si>
  <si>
    <t>UCKhZm9FwH3Agf6k2p_OIsAQ</t>
  </si>
  <si>
    <t>UCrh8CGftRFYnUFanFFE932A</t>
  </si>
  <si>
    <t>UCYyWCfl36cbHL4ObejxDLNw</t>
  </si>
  <si>
    <t>UCLKL6RjR4FG0_kWNw7mJS1A</t>
  </si>
  <si>
    <t>UCMhHl1VbqopFrfmyV9nmCWA</t>
  </si>
  <si>
    <t>UCUGy2u7dX3z-0TxexjH6Y7Q</t>
  </si>
  <si>
    <t>UC-rXjJvywcQKgiGeGcZCATA</t>
  </si>
  <si>
    <t>UCmTk8A8oJsDRZk15-Zs0rng</t>
  </si>
  <si>
    <t>UC6bRQV45_B5wpO2bnDjDyow</t>
  </si>
  <si>
    <t>UCOZRKgwJMnfnipCEy9CxCjg</t>
  </si>
  <si>
    <t>UCefzkIWdkuRt3d5LpN315rw</t>
  </si>
  <si>
    <t>UCKp092ExKFKNPf0rFaWOS8Q</t>
  </si>
  <si>
    <t>UCB4WHxT7ICmN6NBDBHlhysA</t>
  </si>
  <si>
    <t>UC0kpOb4XER93vxjw7DysYsg</t>
  </si>
  <si>
    <t>UCJT-Fnl8tDkFWLESDSDZjng</t>
  </si>
  <si>
    <t>UC4090jrwobUxtTmgxFuKxEg</t>
  </si>
  <si>
    <t>UCcocBjwKz7xbgMHpMc6I_9Q</t>
  </si>
  <si>
    <t>UCH4mvHhRxr_WHPjun9cr5PA</t>
  </si>
  <si>
    <t>UCjijs1unp8JQ06H8Jrc7Kdg</t>
  </si>
  <si>
    <t>UCh50QUhw9b4NQmOSWVc3iWg</t>
  </si>
  <si>
    <t>UCwgBbIyCmAHxGC2_lL2JllQ</t>
  </si>
  <si>
    <t>UCPp5XlOY6HOF7BrCbioJqwQ</t>
  </si>
  <si>
    <t>UClrOuAyFwHHVtW1iox3VHrQ</t>
  </si>
  <si>
    <t>UCZA_5vGtSpZu86VBDdSnSag</t>
  </si>
  <si>
    <t>UCXdBdFeLezLwbzJcB_ENyfA</t>
  </si>
  <si>
    <t>UCMk_lrZ_7KjsatCwaRmpw2Q</t>
  </si>
  <si>
    <t>UCf0vXIsyUPrbz5txA2TDMJA</t>
  </si>
  <si>
    <t>UCEolawFx1vQ1LG_7Z5oiy0g</t>
  </si>
  <si>
    <t>UCT5IkG04XlnTVZq_ZwPH8tA</t>
  </si>
  <si>
    <t>UC4HGCBftQMCR0012IxQVPfw</t>
  </si>
  <si>
    <t>UCxsNIXVl1DNY0HFcjOchY5g</t>
  </si>
  <si>
    <t>UC5fs7PookxGfDPTo-RU0ReQ</t>
  </si>
  <si>
    <t>UC1n7PNqiB96782HhcCEQadQ</t>
  </si>
  <si>
    <t>UC0XPyNN1n8_yfMIqOC3fzgw</t>
  </si>
  <si>
    <t>UCr_MTGrHVG78jGSWbGnNIvw</t>
  </si>
  <si>
    <t>UCEzQybRlEFdns8Jv1iSTN2A</t>
  </si>
  <si>
    <t>UC_dEMfsDIMR6T3j4FhzhGDg</t>
  </si>
  <si>
    <t>UCNKPorEsvEOZKMTEUWYM1NQ</t>
  </si>
  <si>
    <t>UCxmH2GT_n61cUEYtxgntqvQ</t>
  </si>
  <si>
    <t>UCfOzZ8xM-65JwSaOgK5Inqg</t>
  </si>
  <si>
    <t>UCEt0teaQNQu60gBsfihlulw</t>
  </si>
  <si>
    <t>UCaq3QWGhpX1Er1yT5Xs19NQ</t>
  </si>
  <si>
    <t>UCua2_N1qmwPYIf4Rf_jAxEA</t>
  </si>
  <si>
    <t>UCK6ciDCKWSKX6-lgaGMWwhw</t>
  </si>
  <si>
    <t>UC6O103j7CMYUIKFvEhDb6FQ</t>
  </si>
  <si>
    <t>UCxmSF_xV8EqQkoPYJL0bQLA</t>
  </si>
  <si>
    <t>UCd8GVoiUzlWtGHllMI5hmsA</t>
  </si>
  <si>
    <t>UC3nZspW3G2_nf1UxI2GGp7w</t>
  </si>
  <si>
    <t>UC7TeAC84QJ8EkkQbtbjjCpw</t>
  </si>
  <si>
    <t>UCTvYzVFo4Db-JmPqhJLu1kQ</t>
  </si>
  <si>
    <t>UCQEO63TKG1moSUxAu07cP-A</t>
  </si>
  <si>
    <t>UCh7H5QEvSVPmzwGBI_y8jBA</t>
  </si>
  <si>
    <t>UCTEUWA2zEddnF5_BJMFN5Yg</t>
  </si>
  <si>
    <t>UCGBLqMQkRwwaoElM0w-UmBg</t>
  </si>
  <si>
    <t>UC8l6BJlRhpdy3ecXdNh8BzA</t>
  </si>
  <si>
    <t>UCy46Vx-jNQI9J3nhF3-5gfA</t>
  </si>
  <si>
    <t>UC8WfKMGoSEpj3YsoIs5PTTQ</t>
  </si>
  <si>
    <t>UCgG2soX4OfxzQoov6tiN-EQ</t>
  </si>
  <si>
    <t>UCudRqu3McscDKUXXZgxxuAg</t>
  </si>
  <si>
    <t>UCpKKVvQSctzPgpLyum794kg</t>
  </si>
  <si>
    <t>UCVCaB0WRwG9QZ6lBNXfu3Zw</t>
  </si>
  <si>
    <t>UCtSduV4ON7H5eyXmIpkM5BA</t>
  </si>
  <si>
    <t>UCjg2kAW7dd0nmCmHrCSVUng</t>
  </si>
  <si>
    <t>UC1rRu-VgjGKeuGQmoEs_oag</t>
  </si>
  <si>
    <t>UCXVUOdTY_30WBlCOAqsrSag</t>
  </si>
  <si>
    <t>UCh9nVJoWXmFb7sLApWGcLPQ</t>
  </si>
  <si>
    <t>UCiIDkjBgs_Zm1Un3h22jxBQ</t>
  </si>
  <si>
    <t>UCJMTQogNChI1UHqWT3Zvbew</t>
  </si>
  <si>
    <t>UCvCl2Tlsxc1QLs7kDTfNY2g</t>
  </si>
  <si>
    <t>UC9ALNzhWRFgVrV0OAg_AmVw</t>
  </si>
  <si>
    <t>UCY0421BUY-kaz8BnYPI3LhQ</t>
  </si>
  <si>
    <t>UCyqTrRZ04SxeiFtYRkWmnUA</t>
  </si>
  <si>
    <t>UCMMs7TOs0jsoaZ5TdXOixaw</t>
  </si>
  <si>
    <t>UCLTL0rIRyH694XlOLtVr63Q</t>
  </si>
  <si>
    <t>UCkTfNFxLWpU1bsaNRynVZgQ</t>
  </si>
  <si>
    <t>UCw9VbBLCPPDHCU8ocVaYbyQ</t>
  </si>
  <si>
    <t>UC6DnLOwz8R0iZPmkZ3vMM1g</t>
  </si>
  <si>
    <t>UC6w0Q41ERflRJf5blMy8c8g</t>
  </si>
  <si>
    <t>UCObnhHbh2Y5aPYBuAUU4rEA</t>
  </si>
  <si>
    <t>UCFrlL2ETbR5Ut4zRY4rGlbA</t>
  </si>
  <si>
    <t>UClvPWSa0aybaVolvU6WH1JQ</t>
  </si>
  <si>
    <t>UCxtIinrEU9jrFkjaZ_udq0Q</t>
  </si>
  <si>
    <t>UCFcrsUy0gf9ZQ0K8UqZpGRg</t>
  </si>
  <si>
    <t>UCNaIAElKPANu-d7ysRpLcUg</t>
  </si>
  <si>
    <t>UCRtSCIRujzmYEwCfeGosiLA</t>
  </si>
  <si>
    <t>UCxeH47zPVeMZmOZXjpgrjrA</t>
  </si>
  <si>
    <t>UCzzE0_GewzpmYymSZ65B0eQ</t>
  </si>
  <si>
    <t>UCLP9rg296XvOznLwGaJVdew</t>
  </si>
  <si>
    <t>UCwHR-x4jQl_3foBBuSBPhHw</t>
  </si>
  <si>
    <t>UCV-uhNsCQ0Ybu4twaEaj8CQ</t>
  </si>
  <si>
    <t>UCdO355gbRMlaZLqhaz-X84w</t>
  </si>
  <si>
    <t>UC2YHRjs9y2Jy0mdzPR_gvdQ</t>
  </si>
  <si>
    <t>UCOkHNLgWs8h7Ga_QZU07ryA</t>
  </si>
  <si>
    <t>UCy2rBgj4M1tzK-urTZ28zcA</t>
  </si>
  <si>
    <t>UCw0leRmeaX7R_9BDd3TvCzg</t>
  </si>
  <si>
    <t>UCjlfQwqb-0S40XQ8seYPLSw</t>
  </si>
  <si>
    <t>Replied Comment</t>
  </si>
  <si>
    <t>Commented Video</t>
  </si>
  <si>
    <t>Reply</t>
  </si>
  <si>
    <t>If you can&amp;#39;t reduce the number of visuals, look for Curbal&amp;#39;s video on DAX Fusion to see if you can take advantage of that.</t>
  </si>
  <si>
    <t>Try Change slicer to dropdown. Not list</t>
  </si>
  <si>
    <t>It&amp;#39;s the time that is taking for waiting on other stuff to finish. Usually you have a lot of visuals. We saw one where they had 45 visuals and their slowest DAX query was 123ms. :| Had to reduce the number of visuals.</t>
  </si>
  <si>
    <t>Changing a slicer from list to dropdown will defer the DAX statement, but it&amp;#39;s still a visual that has to be rendered and will contribute to the Other timing.</t>
  </si>
  <si>
    <t>The majority of the time for my longest visuals to run is spent in the &amp;quot;Other&amp;quot; bucket - any tips on how to decrease the time on that?&lt;br /&gt;&lt;br /&gt;Edit: Also thanks for this video!</t>
  </si>
  <si>
    <t>Appreciate that! Thanks for watching _xD83D__xDC4A_</t>
  </si>
  <si>
    <t>Thanx Adam! Great video</t>
  </si>
  <si>
    <t>need to break down the DAX. Check out the video that Patrick and Marco did on debugging DAX. You definitely need to optimize that. &lt;a href="https://www.youtube.com/watch?v=9SV2VnYbgg4"&gt;https://www.youtube.com/watch?v=9SV2VnYbgg4&lt;/a&gt;</t>
  </si>
  <si>
    <t>Also look at this video we did with Phil Seamark: &lt;a href="https://www.youtube.com/watch?v=eABg872TAJU"&gt;https://www.youtube.com/watch?v=eABg872TAJU&lt;/a&gt;</t>
  </si>
  <si>
    <t>My storage engine query is 266 approx and is taking 60s to derive :( is there a way which can help optimize my dax to improve the performance?</t>
  </si>
  <si>
    <t>Agreed. Have heard Marco and Alberto say that all the time. I also liked the article that Alberto just posted - &lt;a href="https://www.sqlbi.com/blog/alberto/2020/06/20/7-reasons-dax-is-not-easy/"&gt;https://www.sqlbi.com/blog/alberto/2020/06/20/7-reasons-dax-is-not-easy/&lt;/a&gt;</t>
  </si>
  <si>
    <t>DAX is simple, but not easy at all</t>
  </si>
  <si>
    <t>yes! thanks for sharing.</t>
  </si>
  <si>
    <t>There&amp;#39;s an updated version of Dax Studio &lt;a href="https://github.com/DaxStudio/DaxStudio/commit/f9ee1a2502b437b2ee37b1eaad7f7c855733c156"&gt;https://github.com/DaxStudio/DaxStudio/commit/f9ee1a2502b437b2ee37b1eaad7f7c855733c156&lt;/a&gt;</t>
  </si>
  <si>
    <t>That is a huge topic :) we have some videos covering some. Also pointed in the video to the video we did with Marco about how to debug DAX.</t>
  </si>
  <si>
    <t>That was a good start but I felt like you stopped at the most interesting bit: DAX optimization. How about a part 2?</t>
  </si>
  <si>
    <t>Taking it day by day :) We have plans to do more.</t>
  </si>
  <si>
    <t>Good Video, I&amp;#39;m surprised that you guys aren&amp;#39;t more popular. I&amp;#39;d love to see more on Optimisation</t>
  </si>
  <si>
    <t>Thanks for watching Anthony! _xD83D__xDC4A_</t>
  </si>
  <si>
    <t>Cool.</t>
  </si>
  <si>
    <t>hard to answer without more details. The memory consumption is probably tied to your data model. You should see the memory break down in Task Manager for the sub processes. When you launch the the PBIX, it will also try rendering the visuals, which in turn will query the data model. Not sure how long you see that for. Also depends on what kind of machine you have. If you are limited memory, OS paging will kick in as well which will slow things down.</t>
  </si>
  <si>
    <t>I have created a report in power bi where all data is coming from flat files. I don&amp;#39;t know why, when I open pbix it consume 100% of CPU and more than 2 gb of RAM and slows down the system. Any reason behind that?</t>
  </si>
  <si>
    <t>thank  you  shaik akram</t>
  </si>
  <si>
    <t>Clear explanation _xD83D__xDC4F_</t>
  </si>
  <si>
    <t>All just return all of the columns or the table irrespective of any filter that has been applied on the columns or the table.</t>
  </si>
  <si>
    <t>Thanks, Melissa! Enterprise DNA videos always give me insights really. So did this one... &amp;quot;ISINSCOPE&amp;quot;, &amp;quot;&amp;amp;&amp;amp;&amp;quot; as AND... And if I am lucky enough, I will someday understand the true meaning of &amp;quot;FILTER (ALL(&amp;quot; thingy...</t>
  </si>
  <si>
    <t>اظن انه مجاني يكفي تنزيله و ربطه بحساب taalim</t>
  </si>
  <si>
    <t>برنامج رائع ماهو سعره</t>
  </si>
  <si>
    <t>سأبحث عن التتمة و أتقاسمها معكم</t>
  </si>
  <si>
    <t>شيء رائع جدا الله يجزيكم بخير اتمنا تنزيل تتمة التكوين فانا في امس الحاجة اليه</t>
  </si>
  <si>
    <t>Carlos, Thanks for following my tutorials. Yes, I&amp;#39;m working on it. I&amp;#39;ll upload it next Saturday. Stay tuned.</t>
  </si>
  <si>
    <t>In spanish first please, speed speed, jeejje. Thanks a lot</t>
  </si>
  <si>
    <t>Glad you found this tutorial helpful, Mohd. Keep up the good work!</t>
  </si>
  <si>
    <t>@mohd muzammil Thanks for your suggestion. I&amp;#39;ll add it to my to-do list. In the meantime, I hope you are enjoying the tutorials. Cheers!</t>
  </si>
  <si>
    <t>Found very useful thank you</t>
  </si>
  <si>
    <t>@Nestor Adrianzen kindly need your help with a RLS detailed on basic &amp;amp; Dyanamic security levels tutorials your respond will highly. appreciated</t>
  </si>
  <si>
    <t>Thanks</t>
  </si>
  <si>
    <t>Nice</t>
  </si>
  <si>
    <t>Always welcome</t>
  </si>
  <si>
    <t>Thanks for the giving latest updates</t>
  </si>
  <si>
    <t>Good job bro</t>
  </si>
  <si>
    <t>Excelente.</t>
  </si>
  <si>
    <t>Me sirve para logistica, 6 transportistas a donde van y optimizar cargas y destinos. Gracias</t>
  </si>
  <si>
    <t>Excelente me alegra que sea de tu utilidad.</t>
  </si>
  <si>
    <t>Yo en Finanzas no se me ocurre cómo usarlo, pero es interesante saber que existe.</t>
  </si>
  <si>
    <t>Gracias por compartir sigue así, éxitos</t>
  </si>
  <si>
    <t>Me alegra que sea de tu utilidad.  Y también te invito a registrarte si aún no lo has hecho . Éxitos</t>
  </si>
  <si>
    <t>Jean he visto muchos vídeos de Power BI y déjame decirte que tu aporte es de gran nivel, nada que envidiar a udemy o corusera. &lt;br /&gt;Sigue así, llegaras lejos</t>
  </si>
  <si>
    <t>Welcome Amit! _xD83D__xDC4A_</t>
  </si>
  <si>
    <t>&lt;a href="http://www.youtube.com/results?search_query=%23new"&gt;#new&lt;/a&gt;</t>
  </si>
  <si>
    <t>Not enough info to answer. Please provide more details or post a longer form post on &lt;a href="https://community.powerbi.com/"&gt;https://community.powerbi.com&lt;/a&gt;</t>
  </si>
  <si>
    <t>Hello the experts out there , i&amp;#39;ve been trying for a while to import data from the web in power bi. But my problem is that i need first to connect before getting the data. Any one here an idea on how to access those datas ???</t>
  </si>
  <si>
    <t>@Guy in a Cube Ok then i will do that !!</t>
  </si>
  <si>
    <t>Great to hear!</t>
  </si>
  <si>
    <t>This presentation was exactly what I needed. Thank you so much guys!</t>
  </si>
  <si>
    <t>Thanks Felipe! Love hearing that everyone is enjoying it.</t>
  </si>
  <si>
    <t>Great content guys, thank you so much!</t>
  </si>
  <si>
    <t>Thank you so much! We definitely plan on diving in way deep here soon, a lot of topics need to be setup initially before we feel comfortable throwing everyone into the deep end :)</t>
  </si>
  <si>
    <t>Great video guys. It seems you both have found unique approaches to items many of us have been doing manually. Very cool. I&amp;#39;d be interested in seeing what other awesome tips/practices you guys use to be more efficient and automate.</t>
  </si>
  <si>
    <t>E recebe o link por onde?.e onde é a live dele?</t>
  </si>
  <si>
    <t>Último live do power BI não recebi o link. Muito obrigada pelos vídeos, são bem explicados _xD83D__xDC4D__xD83C__xDFFE__xD83D__xDE4F__xD83C__xDFFE_</t>
  </si>
  <si>
    <t>No próprio BI mostra quais bancos de dados ele é compatível, sql.. Oracle.. é só fazer o login e puxar as tabelas do banco. Sugiro pedir ajuda ao suporte do ERP.</t>
  </si>
  <si>
    <t>A minha empresa possui um ERP próprio que roda na web, mas tem login e senha pra entrar e várias sub telas para navegar, incluindo telas que geram relatórios. Para poder gerar o Dashboard no BI eu preciso sempre copiar esses dados para o Excel e importar no BI ou eu posso puxar esses dados diretamente do ERP? Agradeço a ajuda, curto demais seus vídeos!</t>
  </si>
  <si>
    <t>Eu tenho materia top sobre isso&lt;br /&gt;Dá uma olhada no design que eu fiz no Canva! &lt;a href="https://canva.me/gk69VTPBv7"&gt;https://canva.me/gk69VTPBv7&lt;/a&gt;</t>
  </si>
  <si>
    <t>Top mesmo. Muito obrigado._xD83D__xDC4F__xD83D__xDC4F__xD83D__xDC4F__xD83D__xDC4F__xD83D__xDC4F__xD83D__xDC4F__xD83D__xDC4F_</t>
  </si>
  <si>
    <t>Boa tarde!&lt;br /&gt;Isso otimiza a visualização do power bi. Poderia fazer uma aula de boas práticas para que o modelo carregue mais rápido.</t>
  </si>
  <si>
    <t>Obrigado...ajude compartilhando nas redes.</t>
  </si>
  <si>
    <t>Muito bom Eric!</t>
  </si>
  <si>
    <t>Valeu pelo.apoio sempre</t>
  </si>
  <si>
    <t>Ótimas dicas !!! Top !!!</t>
  </si>
  <si>
    <t>Obrigado pelo comentário!  Tamo junto</t>
  </si>
  <si>
    <t>&lt;a href="https://www.sympla.com.br/evento__864452"&gt;https://www.sympla.com.br/evento__864452&lt;/a&gt;</t>
  </si>
  <si>
    <t>Meu brother !&lt;br /&gt;Já vi todos os vídeos sobre Power Bi da internet.&lt;br /&gt;Você é o cara mais didático e que posta os conteúdos mais relevantes !&lt;br /&gt;&lt;br /&gt;Parabéns pelo seu trabalho!&lt;br /&gt;&lt;br /&gt;Aprendi de verdade sobre tabelas virtuais vendo os seus vídeos !&lt;br /&gt;&lt;br /&gt;Você tem didática !&lt;br /&gt;&lt;br /&gt;Ensina a pescar !!!</t>
  </si>
  <si>
    <t>Obrigado! Compartilhe com os colegas.</t>
  </si>
  <si>
    <t>Eric, Boa noite&lt;br /&gt;&lt;br /&gt;Um das melhores aulas que eu já vi direto ao ponto, gosto muito da sua didática eu ainda sofro demais com esse tipo de relatório vai ajudar muito essa dica &lt;br /&gt;muito OBRIGADO!</t>
  </si>
  <si>
    <t>Thanks please share to others</t>
  </si>
  <si>
    <t>Cool.&lt;br /&gt;It&amp;#39;s really great one_xD83D__xDC4D_</t>
  </si>
  <si>
    <t>Hi Santosh,&lt;br /&gt;Tomorrow morning I will send the source file to you.&lt;br /&gt;Thanks</t>
  </si>
  <si>
    <t>Hi Sir, &lt;br /&gt;Please provide the source data&lt;br /&gt;kumbarss2007@&lt;a href="http://gmail.com/"&gt;gmail.com&lt;/a&gt;</t>
  </si>
  <si>
    <t>Thanks Raj</t>
  </si>
  <si>
    <t>Good One</t>
  </si>
  <si>
    <t>Send the file Please check mail.&lt;br /&gt;Thanks</t>
  </si>
  <si>
    <t>@SS UNITECH Thank you..._xD83D__xDE0A_</t>
  </si>
  <si>
    <t>Your welcome.&lt;br /&gt;Please share to others.</t>
  </si>
  <si>
    <t>@SS UNITECH sure..._xD83D__xDC4D_</t>
  </si>
  <si>
    <t>Hi Sir Please Send Source File... srinivdatavisu@&lt;a href="http://gmail.com/"&gt;gmail.com&lt;/a&gt;</t>
  </si>
  <si>
    <t>Thanks Kartik</t>
  </si>
  <si>
    <t>Useful video</t>
  </si>
  <si>
    <t>Hi Imran&lt;br /&gt;Please share email address.&lt;br /&gt;Thanks</t>
  </si>
  <si>
    <t>@SS UNITECH &lt;br /&gt;My email&lt;br /&gt;Shobikhan123@&lt;a href="http://yahoo.com/"&gt;yahoo.com&lt;/a&gt;</t>
  </si>
  <si>
    <t>Send file please check and confirm</t>
  </si>
  <si>
    <t>hello sir,  please share the demo file</t>
  </si>
  <si>
    <t>Hi Bharat,&lt;br /&gt;Thanks for your appreciation.&lt;br /&gt;I have uploaded a video on GDP growth &lt;a href="http://analysis.link/"&gt;analysis.link&lt;/a&gt; is below _xD83D__xDC47__xD83D__xDC47_&lt;br /&gt;&lt;a href="https://youtu.be/cFJg1ZGoGp0"&gt;https://youtu.be/cFJg1ZGoGp0&lt;/a&gt;&lt;br /&gt;Watch video.&lt;br /&gt;Thanks</t>
  </si>
  <si>
    <t>Thanks for your this video tutorials..&lt;br /&gt;Do you have any end to end project demo for Customer Service or Finance?&lt;br /&gt;Thanks</t>
  </si>
  <si>
    <t>Good one sir!!!</t>
  </si>
  <si>
    <t>Same bro</t>
  </si>
  <si>
    <t>From the bottom of your heart, thank you!</t>
  </si>
  <si>
    <t>Thanks for your great support dude!</t>
  </si>
  <si>
    <t>I watch daily your videos</t>
  </si>
  <si>
    <t>Many thanks</t>
  </si>
  <si>
    <t>Well-Done Man Thanks for the sharing wonderful tutorial.</t>
  </si>
  <si>
    <t>Thanks!  Glad to hear you enjoyed them - we had a great time putting them together.</t>
  </si>
  <si>
    <t>Thanks a lot, Melissa and Brian, Great Videos!!!!</t>
  </si>
  <si>
    <t>Yes, the general approaches discussed in this video can be extended to the work hours use case.  Based on the feedback received, Melissa and I will focus on this question in an upcoming video.</t>
  </si>
  <si>
    <t>Thanks Melissa and Brian. Can you extend the use case to the following example :&lt;br /&gt;&lt;br /&gt;Example : &lt;br /&gt;Calculate the working hour between these 2 dates. (Exclude weekend : Saturday to Sunday and holiday)&lt;br /&gt;10 Jan 2020 08:30 Am To 20 Jan 2020 04.00 PM&lt;br /&gt;10 Jan 2020 08:30 Am To 20 Jan 2020 07.00 Pm&lt;br /&gt;&lt;br /&gt;The result would be in hour (easily converted to days and so on).&lt;br /&gt;&lt;br /&gt;The working hour is strictly started from 08:30 Am and ended to 5.30 PM, Any working hour outside of this range will not be calculated.&lt;br /&gt;&lt;br /&gt;Thank you.</t>
  </si>
  <si>
    <t>Thanks - great suggestion.  Melissa and I have discussed this, and based on the feedback received we will be doing an upcoming video on this, providing and comparing DAX- and Power Query-based solutions to address this question.</t>
  </si>
  <si>
    <t>Great video. Can you also create a video on work hours excluding weekends and holidays.</t>
  </si>
  <si>
    <t>Thanks Pratik bhai</t>
  </si>
  <si>
    <t>Nice Bhaiii....1st Comment here.....Pratik Sardar</t>
  </si>
  <si>
    <t>As of now this free course is recorded and published on my channel. This is for June 2020 edition 140 Approximately. Paid courses is recorded 6 months back.</t>
  </si>
  <si>
    <t>Thanks for the response Pavan. Have you covered max of power bi in this latest edition 140 videos ? or need to purchase the paid one</t>
  </si>
  <si>
    <t>whats is the difference of your Paid Power BI course and these free videos. May i get any additional information on your paid course</t>
  </si>
  <si>
    <t>Sure. Welcome</t>
  </si>
  <si>
    <t>Hi pawan, Thanks for sharing your BI tutorial.&lt;br /&gt;Request you to come up with Data analysis using R software.</t>
  </si>
  <si>
    <t>Both in excel as well as in Power BI</t>
  </si>
  <si>
    <t>I m not getting one think ...power pivot is in power bi or is in excel ?</t>
  </si>
  <si>
    <t>2 days , it will be uploaded</t>
  </si>
  <si>
    <t>No practice file why</t>
  </si>
  <si>
    <t>Hi Sukhdev, All videos are recorded. Its with editing team for cleaning voice, background and as and when videos come, I keep uploading those. Very soon you will get 140 videos .</t>
  </si>
  <si>
    <t>Sir when will you start power bi complete</t>
  </si>
  <si>
    <t>Link in description .</t>
  </si>
  <si>
    <t>File pls</t>
  </si>
  <si>
    <t>Thanks, Tamil _xD83D__xDC4D_</t>
  </si>
  <si>
    <t>Like this video</t>
  </si>
  <si>
    <t>Thank you, Rob.</t>
  </si>
  <si>
    <t>Fantastic stuff mate</t>
  </si>
  <si>
    <t>Thank you, Darryl.</t>
  </si>
  <si>
    <t>Really Helpful Tips Especially The Use Of An Image For The Back Button..Great Tutorial Thank You Alan :)</t>
  </si>
  <si>
    <t>Thank you, Paula</t>
  </si>
  <si>
    <t>brilliant - nice video Alan</t>
  </si>
  <si>
    <t>Es una herramienta espectacular.</t>
  </si>
  <si>
    <t>Excelente, me sorprender el poder de Power Query. Y saber que siempre ha estado ahí.</t>
  </si>
  <si>
    <t>Gracias David un abrazo</t>
  </si>
  <si>
    <t>Muy bueno. Gracias por compartir.&lt;br /&gt;Mis respetos.</t>
  </si>
  <si>
    <t>Cierto, gracias por la aclaración me di cuenta hasta el final y ya no lo edite. Saludos</t>
  </si>
  <si>
    <t>Hola. En Power Query es lenguaje &amp;quot;M&amp;quot;. Saludos</t>
  </si>
  <si>
    <t>Es correcto!!</t>
  </si>
  <si>
    <t>Dije Dax verdad, sorry</t>
  </si>
  <si>
    <t>Que tal master, es lenguaje M.</t>
  </si>
  <si>
    <t>Olá Maria Regiane, MUITO OBRIGADO por estar assistindo nossas aulas de Power BI. Sobre a sua dúvida, me explica melhor como você pretende fazer essa exclusão, quer buscar algum item específico e excluir? Porque se pensarmos bem, se no seu banco de dados possui um linha com apenas uma célula vazia (null), qual sentido faria excluir apenas essa célula, entendeu? Me explica melhor como você quer fazer, que estarei pronto para responder. A pergunta é EXCELENTE, e vale a discussão! Grande abraço.</t>
  </si>
  <si>
    <t>Oi Artur. Você ensinou excluir colunas e linhas vazias, como seria para excluir uma única célula vazia, considerando um banco de dados de cerca de 4 mil registros e a impossibilidade de checar uma a uma? Abraço</t>
  </si>
  <si>
    <t>​@Fábrica de Gênios THE  No caso de um banco de dados extenso, será necessário transformar os dados para excluir itens vazios, como vc bem explicou, transformá-los. Então, gostaria de saber se há algum comando no PBI para a identificação automática e transformação desta única célula, sem que eu precisasse examinar célula a célula, num banco de dados desta magnitude. Imagine no caso de dados de saúde e a relação de todos os municípios brasileiros com incidência da COVID-19, com este mesmo rol de dados (confirmados, óbitos e internação), se houvesse uma única célula vazia que representasse a incidência de  COVID em uma única cidade e estivesse erroneamente vazia, isto impactaria no meu relatório final. Então, há um comando automático para isto? Assim como vc conseguiu excluir o conjunto de linhas e colunas? Obrigada</t>
  </si>
  <si>
    <t>Yes,sure</t>
  </si>
  <si>
    <t>Also please share the practice sheet  below</t>
  </si>
  <si>
    <t>Sure</t>
  </si>
  <si>
    <t>Can you pls share raw data</t>
  </si>
  <si>
    <t>In realtime projects, you will get data from Database like SQL Server, Oracle</t>
  </si>
  <si>
    <t>Sir in realtime projects from where we I&amp;#39;ll get data</t>
  </si>
  <si>
    <t>@Pettaka Technologies while working with excel,csv  files from where we will get?</t>
  </si>
  <si>
    <t>Power Pivot excel ma hota ha</t>
  </si>
  <si>
    <t>Si sir.... Power bi mai&lt;br /&gt;1) power query &lt;br /&gt;2) power pivot&lt;br /&gt;3) power view&lt;br /&gt;4) power map hota hai??</t>
  </si>
  <si>
    <t>excel job ye sb excel k tools hain. Power bi desktop aik alag product ha</t>
  </si>
  <si>
    <t>@Learn DAX par power query to dono mai hi hai execl and bi dono mai</t>
  </si>
  <si>
    <t>Sir ye power bi mai power pivot ka option kaha pe hota hai ?</t>
  </si>
  <si>
    <t>Download from this link &lt;a href="https://www.learndax.com/power-bi-sample-data-for-beginners-to-download/"&gt;https://www.learndax.com/power-bi-sample-data-for-beginners-to-download/&lt;/a&gt;</t>
  </si>
  <si>
    <t>File plss</t>
  </si>
  <si>
    <t>@Pavan Lalwani ohk .....so sir as you said ..power pivot is  both in excel and power bi....so pls can u tell me where is power pivot option in power bi....and how to make a pivot in power bi ?</t>
  </si>
  <si>
    <t>@Pavan Lalwani thanx sir ....this will be completed ...I mean....power query, power pivot etc etc</t>
  </si>
  <si>
    <t>&lt;a href="https://www.learndax.com/power-bi-sample-data-for-beginners-to-download/"&gt;https://www.learndax.com/power-bi-sample-data-for-beginners-to-download/&lt;/a&gt;</t>
  </si>
  <si>
    <t>Thanx sir file pls ~??</t>
  </si>
  <si>
    <t>Download Power BI to your PC. It&amp;#39;s free open source application</t>
  </si>
  <si>
    <t>Sure. I will provide all the information on how to download tools needed for this project.also you don&amp;#39;t need to have any prior knowledge of power BI in order to do this project</t>
  </si>
  <si>
    <t>Thanks for having you again for this course, am new in this course Power BI, what are the tools  and skills for the beginner needed and online resources , please help.</t>
  </si>
  <si>
    <t>Sathiya, yes this project is for people who don&amp;#39;t know anything about power BI _xD83D__xDC4D__xD83D__xDE0E_</t>
  </si>
  <si>
    <t>sir I don&amp;#39;t have knowledge on power bi, is this understandable for me or not</t>
  </si>
  <si>
    <t>it depends daily &lt;a href="https://www.youtube.com/watch?v=hhZ62IlTxYs&amp;amp;t=6m30s"&gt;6:30&lt;/a&gt; or 9:30 pm IST . This series may have 7 parts like as earlier projects.These videos available inn offline.. We can watch these treasure videos at any time.</t>
  </si>
  <si>
    <t>What is the timing of this project</t>
  </si>
  <si>
    <t>This project will use just Power BI and SQL (mysql especially)</t>
  </si>
  <si>
    <t>I&amp;#39;m really glad that we have a person like you Sir, im excited to begin with you this course but i have a question : will we use python like to analyse the Data ? or just Power BI?</t>
  </si>
  <si>
    <t>oh wow... thanks Johnson. This comment conveys lot of inputs on the content and this project series especially.</t>
  </si>
  <si>
    <t>Thanks so much!! When is the next video out? I&amp;#39;ve not looked forward to anything like this since Breaking Bad Episodes</t>
  </si>
  <si>
    <t>yes i am planning that.</t>
  </si>
  <si>
    <t>Sir please make videos on deep learning</t>
  </si>
  <si>
    <t>Yes you can do same thing in tableau. Since many people requested this I will try to build same dashboard in tableau. But let me first finish the series in Power bi first</t>
  </si>
  <si>
    <t>Excellent project, hope it gives me lot of exposure to difference aspects and challenges we face in data analytics project.&lt;br /&gt;Can I able to do it in tableau as well ?</t>
  </si>
  <si>
    <t>Yes I will provide data and all other resources for this project</t>
  </si>
  <si>
    <t>@codebasics thank u</t>
  </si>
  <si>
    <t>Can we have the cvs files  so we could follow  the process.... I really love this</t>
  </si>
  <si>
    <t>Concept wise they are same. These are the products from two different companies</t>
  </si>
  <si>
    <t>I want to clear my confusion....my qus is that , power BI and SAS BI dashboard is same or different</t>
  </si>
  <si>
    <t>I didn&amp;#39;t experience this issue</t>
  </si>
  <si>
    <t>One question- Actually if I Add title any visual ,search any column in field pane power bi automatically close is this happen due to new June Update and also what will be solution for this</t>
  </si>
  <si>
    <t>I will come on this topic soon. First I need to complete current series. After some more videos I will start dashboard designing where we learn all concepts what we have covered so far. &lt;br /&gt;Next course will be SQL &amp;amp; Dax using dax studio. It is useful for ssrs with tabular</t>
  </si>
  <si>
    <t>Please make some vdo on m language means how to learn when to use specific fun means any tips and tricks for m language in power Query_xD83D__xDE42_</t>
  </si>
  <si>
    <t>Power pivot ma dax use hoti ha aur pehly jo ap nae download ki ha wohi use krain</t>
  </si>
  <si>
    <t>Bhai ek bat batado ki ye dax function power pivot  ka part hota hai kya.. Jo excel mai addins mai hota hai power  power.. Pls reply..... And file dena</t>
  </si>
  <si>
    <t>@Learn DAX ok</t>
  </si>
  <si>
    <t>@Learn DAX thanx</t>
  </si>
  <si>
    <t>Gracias por tus comentarios Sebastián!! - Javier</t>
  </si>
  <si>
    <t>¡Muchas gracias por el curso gratuito! Lo compartiré en mis redes. La verdad es que explicas de una forma sencilla y haces que el aprendizaje sea entretenido. La única sugerencia sería que explicaras un poco más sobre las funciones DAX y cómo es el trabajo interno que realizan porque realmente es lo que me ha generado dudas.</t>
  </si>
  <si>
    <t>Did you try joining your user table with this new table that you have created with report names?</t>
  </si>
  <si>
    <t>This doesnot hides pages when user exports to PDF..&lt;br /&gt;&lt;br /&gt;How would I hide such pages  based on RLS..&lt;br /&gt;Eg. Managers be able to see detailed pages but emp only selected pages..&lt;br /&gt;&lt;br /&gt;TIA</t>
  </si>
  <si>
    <t>@Lernen Capacitaciones Es cierto que se necesita un correo de trabajo forzosamente?</t>
  </si>
  <si>
    <t>Hola Silvia,&lt;br /&gt;• Windows 7 y Windows Server 2008 R2 o posterior&lt;br /&gt;• .NET 4.5&lt;br /&gt;• Internet Explorer 9 o posterior&lt;br /&gt;• Memoria (RAM): Al menos 1 GB disponible; se recomienda 1,5 GB o más.&lt;br /&gt;• Pantalla: se recomienda al menos 1440 x 900 o 1600 x 900 (16:9). No se recomiendan las resoluciones inferiores a 1024 x 768 o 1280 x 800, ya que ciertos controles (por ejemplo, para cerrar la pantalla de inicio) solo se muestran en resoluciones superiores a esta.&lt;br /&gt;• CPU: 1 gigahercio (GHz) o superior; se recomienda un procesador de x86 o x64 bits.</t>
  </si>
  <si>
    <t>Hola! Cuáles son los requerimientos para poder instalarlo?</t>
  </si>
  <si>
    <t>@Lernen Capacitaciones Muchas gracias profesor Sergio, es usted el mejor profe de Excel _xD83D__xDE4B_</t>
  </si>
  <si>
    <t>Muito obrigado.</t>
  </si>
  <si>
    <t>Parabéns pelo conteúdo tão rico.</t>
  </si>
  <si>
    <t>Muito Obrigado.</t>
  </si>
  <si>
    <t>Excelente Professor! Pela lógica... funcionaria no Excel também, colocando minhas pastas na nuvem??</t>
  </si>
  <si>
    <t>Sim, isso mesmo. Altera o horário da atualização.</t>
  </si>
  <si>
    <t>Parabéns pelo conteúdo !!&lt;br /&gt;Me ajude com uma dúvida por favor, eu uso a atualização automática buscando de uma pasta do Sharepoint, funciona perfeitamente, porém eu usei uma função para trazer o horário da atualização só que o sempre está trazendo 3 horas após a atualização.&lt;br /&gt;Exemplo, deixei agendado atualização para &lt;a href="https://www.youtube.com/watch?v=7VeYvnovMy0&amp;amp;t=6m00s"&gt;6:00&lt;/a&gt;, porém o relatório traz a informação de atualização em &lt;a href="https://www.youtube.com/watch?v=7VeYvnovMy0&amp;amp;t=9m00s"&gt;9:00&lt;/a&gt;h, acredito que é por causa do fuso.&lt;br /&gt;Como posso resolver essa questão ?</t>
  </si>
  <si>
    <t>Valeu</t>
  </si>
  <si>
    <t>Excelente mestre !!&lt;br /&gt;Obrigado por compartilhar.</t>
  </si>
  <si>
    <t>Muito bom,professor.&lt;br /&gt;Consigo também no one drive Personal?</t>
  </si>
  <si>
    <t>Olá Fernanda, pode enviar um novo e-mail?</t>
  </si>
  <si>
    <t>Gerson, seu conteúdo é muito bom, mas você precisa melhorar o seu suporte ao cliente. Estou há quase um mês tentando contato via email e não tenho resposta. Nas redes sociais também não.</t>
  </si>
  <si>
    <t>Olá, consegue sim. Vou gravar uma aula.</t>
  </si>
  <si>
    <t>Professor, Consigo também com o one drive Personal?Se sim, como seria?</t>
  </si>
  <si>
    <t>Obrigado</t>
  </si>
  <si>
    <t>Muito boa essa dica Gerson, parabéns :)</t>
  </si>
  <si>
    <t>Sure, Stay Tune</t>
  </si>
  <si>
    <t>Well explained with a simple example.. looking forward for more videos..</t>
  </si>
  <si>
    <t>thank you...Vishnu</t>
  </si>
  <si>
    <t>Good explanation..more helpful in real-time work environment..</t>
  </si>
  <si>
    <t>Hi &lt;br /&gt;I have one requirement&lt;br /&gt;&lt;br /&gt;I want to compare the sales of days of current month(12 days) with same period last month first 12 days ..&lt;br /&gt;&lt;br /&gt;If tomorrow came 13 of current Vs 13 of previous and so on..&lt;br /&gt;&lt;br /&gt;How to do this in dax.</t>
  </si>
  <si>
    <t>good, practice with  more ideas you will get it.</t>
  </si>
  <si>
    <t>Good after add day and month some of the row showing blank and also I have questions suppose if we have 1  Jan 2020 then if we want to go 1 day back it cannot go back because year changing means (31 Dec 2019).</t>
  </si>
  <si>
    <t>That typically means that you have a lot of visuals and your visual is waiting for others to complete.</t>
  </si>
  <si>
    <t>Dan Szepesi</t>
  </si>
  <si>
    <t>Jokoams</t>
  </si>
  <si>
    <t>Guy in a Cube</t>
  </si>
  <si>
    <t>Grant Culp</t>
  </si>
  <si>
    <t>arnohoedelmans</t>
  </si>
  <si>
    <t>Chandan Gadodia</t>
  </si>
  <si>
    <t>Gulherme Pereira</t>
  </si>
  <si>
    <t>Fernando Calero</t>
  </si>
  <si>
    <t>Andrew Tuplin</t>
  </si>
  <si>
    <t>Jesse Cox</t>
  </si>
  <si>
    <t>Anthony P Cheng</t>
  </si>
  <si>
    <t>Ranjan Mehta</t>
  </si>
  <si>
    <t>Power BI Real-time</t>
  </si>
  <si>
    <t>shaik akram</t>
  </si>
  <si>
    <t>MSBI ninja</t>
  </si>
  <si>
    <t>leo iakovlev</t>
  </si>
  <si>
    <t>رواق التعليم</t>
  </si>
  <si>
    <t>bureau informatique</t>
  </si>
  <si>
    <t>الطالب الباحث: بدر المرابط</t>
  </si>
  <si>
    <t>Nestor Adrianzen</t>
  </si>
  <si>
    <t>Carlos Alvarez Solis</t>
  </si>
  <si>
    <t>mohd muzammil</t>
  </si>
  <si>
    <t>laxmi skills</t>
  </si>
  <si>
    <t>Way To Excel</t>
  </si>
  <si>
    <t>madhu m</t>
  </si>
  <si>
    <t>v sr</t>
  </si>
  <si>
    <t>Tutoliber</t>
  </si>
  <si>
    <t>totvabe1</t>
  </si>
  <si>
    <t>Ernesto Cornejo</t>
  </si>
  <si>
    <t>Eddie Palomino Ochoa</t>
  </si>
  <si>
    <t>Amit Upadhyay</t>
  </si>
  <si>
    <t>Jean-Louis Manga</t>
  </si>
  <si>
    <t>Two Alex's</t>
  </si>
  <si>
    <t>Christian V</t>
  </si>
  <si>
    <t>Felipe Lopes</t>
  </si>
  <si>
    <t>turkey turkey</t>
  </si>
  <si>
    <t>Lucas Almeida</t>
  </si>
  <si>
    <t>Imelda Mujovo</t>
  </si>
  <si>
    <t>pedroeth0</t>
  </si>
  <si>
    <t>Rossano Monezi</t>
  </si>
  <si>
    <t>Power BI na Real</t>
  </si>
  <si>
    <t>Luciano Barros</t>
  </si>
  <si>
    <t>Carlos Eduardo</t>
  </si>
  <si>
    <t>Jeferson - Jeff Excel</t>
  </si>
  <si>
    <t>Felipe Borges</t>
  </si>
  <si>
    <t>Eduardo Silva</t>
  </si>
  <si>
    <t>SS UNITECH</t>
  </si>
  <si>
    <t>Cric Lover</t>
  </si>
  <si>
    <t>Santoshkumar Kumbar</t>
  </si>
  <si>
    <t>Raj</t>
  </si>
  <si>
    <t>Srinu G</t>
  </si>
  <si>
    <t>kartik bhardwaj</t>
  </si>
  <si>
    <t>Imran Khan</t>
  </si>
  <si>
    <t>Bharat Mehta</t>
  </si>
  <si>
    <t>Pavan Lalwani</t>
  </si>
  <si>
    <t>ajit chaugule</t>
  </si>
  <si>
    <t>Tarun Mishra</t>
  </si>
  <si>
    <t>Excel (A-Z)</t>
  </si>
  <si>
    <t>Shivarama Gs</t>
  </si>
  <si>
    <t>Aimal Sultani</t>
  </si>
  <si>
    <t>Brian Julius</t>
  </si>
  <si>
    <t>Hermes J. Rivera D.</t>
  </si>
  <si>
    <t>Darwin Poso</t>
  </si>
  <si>
    <t>Harsh Nathani</t>
  </si>
  <si>
    <t>Productivity 365</t>
  </si>
  <si>
    <t>ALONEツESPraTk Gamer</t>
  </si>
  <si>
    <t>krishna kumar Ayyavoo</t>
  </si>
  <si>
    <t>Abhinav Dev</t>
  </si>
  <si>
    <t>sukhdev singh</t>
  </si>
  <si>
    <t>Computergaga</t>
  </si>
  <si>
    <t>Tamil Mint</t>
  </si>
  <si>
    <t>Rob B</t>
  </si>
  <si>
    <t>darryl morgan</t>
  </si>
  <si>
    <t>Paula Guilfoyle</t>
  </si>
  <si>
    <t>Microsoft Excel a Todo Nivel</t>
  </si>
  <si>
    <t>CAROLINA ROMERO</t>
  </si>
  <si>
    <t>EcoExcel</t>
  </si>
  <si>
    <t>djeritorres</t>
  </si>
  <si>
    <t>Brian Castillo</t>
  </si>
  <si>
    <t>Fábrica de Gênios THE</t>
  </si>
  <si>
    <t>Maria Regiane Araujo Soares</t>
  </si>
  <si>
    <t>Pettaka Technologies</t>
  </si>
  <si>
    <t>Mohammed Hammad Ahmed</t>
  </si>
  <si>
    <t>Bhim</t>
  </si>
  <si>
    <t>Saikumar Chebrolu</t>
  </si>
  <si>
    <t>Learn DAX</t>
  </si>
  <si>
    <t>excel job</t>
  </si>
  <si>
    <t>Johnson A</t>
  </si>
  <si>
    <t>codebasics</t>
  </si>
  <si>
    <t>Mustapha Kolo</t>
  </si>
  <si>
    <t>Sahithya Chowdary</t>
  </si>
  <si>
    <t>jaganinfo</t>
  </si>
  <si>
    <t>Imtiyaz Bhat</t>
  </si>
  <si>
    <t>Assou Tarik</t>
  </si>
  <si>
    <t>rajendra somkunwar</t>
  </si>
  <si>
    <t>Prudhvi Merugu</t>
  </si>
  <si>
    <t>real austins</t>
  </si>
  <si>
    <t>Sumit Landge</t>
  </si>
  <si>
    <t>Lucky Mane</t>
  </si>
  <si>
    <t>datdata</t>
  </si>
  <si>
    <t>Ing. Sebastian García</t>
  </si>
  <si>
    <t>abhishek parashar</t>
  </si>
  <si>
    <t>tejas brahmbatt</t>
  </si>
  <si>
    <t>Gilberto Lizárraga</t>
  </si>
  <si>
    <t>Lernen Capacitaciones</t>
  </si>
  <si>
    <t>Silvia</t>
  </si>
  <si>
    <t>Gerson - Minhas Planilhas</t>
  </si>
  <si>
    <t>Edsergio Lacerda</t>
  </si>
  <si>
    <t>Ivan JPi</t>
  </si>
  <si>
    <t>julio linhares</t>
  </si>
  <si>
    <t>IVONEY FERREIRA</t>
  </si>
  <si>
    <t>Jardel Farias</t>
  </si>
  <si>
    <t>Fernanda Costa</t>
  </si>
  <si>
    <t>Robson Nascimento</t>
  </si>
  <si>
    <t>Vishnu Rao</t>
  </si>
  <si>
    <t>A venkatesh</t>
  </si>
  <si>
    <t>UgyO3W6ZpRD3qEV0ODJ4AaABAg</t>
  </si>
  <si>
    <t>UgyWP7pnaz9UFfUhcNd4AaABAg</t>
  </si>
  <si>
    <t>UgwMT9PF5eXprCQEkYd4AaABAg</t>
  </si>
  <si>
    <t>UgxNq9dOO7FG3plkjqZ4AaABAg</t>
  </si>
  <si>
    <t>UgzHTnE07bZtKV6LI9t4AaABAg</t>
  </si>
  <si>
    <t>Ugz3Eqa7bewykL_-aqR4AaABAg</t>
  </si>
  <si>
    <t>Ugz5m9nhv_mmwKDeveN4AaABAg</t>
  </si>
  <si>
    <t>UgyB_HvvxVRF6GCiaHB4AaABAg</t>
  </si>
  <si>
    <t>UgzQNARl-zCYfasNlNd4AaABAg</t>
  </si>
  <si>
    <t>Ugw-_FruFMYnp0i64Px4AaABAg</t>
  </si>
  <si>
    <t>UgxiyL6P545UkhtK1DN4AaABAg</t>
  </si>
  <si>
    <t>UgwlrafYxw5LBx6WrVF4AaABAg</t>
  </si>
  <si>
    <t>UgzqRTgWd6vTEu3t-CV4AaABAg</t>
  </si>
  <si>
    <t>UgyqX18sP3EfOmEoFJx4AaABAg</t>
  </si>
  <si>
    <t>UgyuB98lsQbXjD4YkQh4AaABAg</t>
  </si>
  <si>
    <t>UgzMXEO2cK-UYJVKxVJ4AaABAg</t>
  </si>
  <si>
    <t>Ugxg3zms5LQAwAWTufd4AaABAg</t>
  </si>
  <si>
    <t>UgxN9fYFznq-7OZmCWl4AaABAg</t>
  </si>
  <si>
    <t>UgwSpq6-UjR9JgZTJkZ4AaABAg</t>
  </si>
  <si>
    <t>UgxkA7bf64NuYsju1IN4AaABAg</t>
  </si>
  <si>
    <t>UgyI_YPtbECqajJqqHF4AaABAg</t>
  </si>
  <si>
    <t>UgwG_DX-lWDj4pR9N-d4AaABAg</t>
  </si>
  <si>
    <t>UgxPH8nqLTJK3DQY9KJ4AaABAg</t>
  </si>
  <si>
    <t>UgyHsrnStsVqYYsOgcR4AaABAg</t>
  </si>
  <si>
    <t>UgwNnSwz6JZit3fAobZ4AaABAg</t>
  </si>
  <si>
    <t>UgzOnXthKpwyAqxIMiR4AaABAg</t>
  </si>
  <si>
    <t>Ugy2iMX5_FHK7E1eEM94AaABAg</t>
  </si>
  <si>
    <t>Ugz4TQ2xteRpOirAOXV4AaABAg</t>
  </si>
  <si>
    <t>UgxZCDM2obsVMq_YUPJ4AaABAg</t>
  </si>
  <si>
    <t>Ugzezq5hTwMIfw3Tm_Z4AaABAg</t>
  </si>
  <si>
    <t>UgwTy7BNqQrMDgYA5mJ4AaABAg</t>
  </si>
  <si>
    <t>Ugwre3bFwGi4OmyjS_Z4AaABAg</t>
  </si>
  <si>
    <t>Ugw486LamDurRZ3kLe94AaABAg</t>
  </si>
  <si>
    <t>Ugzr14bHiAwW3rcf38R4AaABAg</t>
  </si>
  <si>
    <t>Ugz-1NzgZy97v7xHfnx4AaABAg</t>
  </si>
  <si>
    <t>UgyQ_HN_ejrK-hFkZ4V4AaABAg</t>
  </si>
  <si>
    <t>UgyOlEbzHpQFFp8RXRd4AaABAg</t>
  </si>
  <si>
    <t>Ugx6euyEPNREbBOOw0J4AaABAg</t>
  </si>
  <si>
    <t>UgyKj14qxVizKWZUodF4AaABAg</t>
  </si>
  <si>
    <t>UgzrgYciU_V74d2WNcB4AaABAg</t>
  </si>
  <si>
    <t>UgwOT9nIvitXYTcjMnt4AaABAg</t>
  </si>
  <si>
    <t>UgywcJPgdv07nl7yPtt4AaABAg</t>
  </si>
  <si>
    <t>UgzNzRxCjyZ0bOOaTfF4AaABAg</t>
  </si>
  <si>
    <t>Ugws5f6ho5jJfMAk-id4AaABAg</t>
  </si>
  <si>
    <t>UgyixFNF9EYbSHeScV54AaABAg</t>
  </si>
  <si>
    <t>Ugx55Nc7kc38dj5-Rut4AaABAg</t>
  </si>
  <si>
    <t>UgxR2uZho0DcOFD7Xvd4AaABAg</t>
  </si>
  <si>
    <t>UgwXcjsVMgemSmQU1ud4AaABAg</t>
  </si>
  <si>
    <t>UgxOF2fsBD9CK8BV6Z94AaABAg</t>
  </si>
  <si>
    <t>UgxTWAOLf0OKlSMD4V14AaABAg</t>
  </si>
  <si>
    <t>Ugyy5JuxoxP0pVN5PaF4AaABAg</t>
  </si>
  <si>
    <t>Ugy5Lp0mpma2LdPOdr54AaABAg</t>
  </si>
  <si>
    <t>UgyQlma-qdz-F03YnbB4AaABAg</t>
  </si>
  <si>
    <t>UgyPJ_xCn1mepg-zX6F4AaABAg</t>
  </si>
  <si>
    <t>Ugz3b6PFB2mQog74A4Z4AaABAg</t>
  </si>
  <si>
    <t>UgxqnrFZxh5CIRD4gtZ4AaABAg</t>
  </si>
  <si>
    <t>UgxlxqK4Cx4hRJl_6ll4AaABAg</t>
  </si>
  <si>
    <t>UgxAM-3N-U31MrPywal4AaABAg</t>
  </si>
  <si>
    <t>UgxFuLYMhPsHtJ1zWm54AaABAg</t>
  </si>
  <si>
    <t>Ugx-oGfzZ0UuV-liiCd4AaABAg</t>
  </si>
  <si>
    <t>Ugwb2n1wpSLRBUoOf6l4AaABAg</t>
  </si>
  <si>
    <t>Ugx3pMTTcBKDKPfK0zl4AaABAg</t>
  </si>
  <si>
    <t>UgyvpmyeVU9oJwvfXQJ4AaABAg</t>
  </si>
  <si>
    <t>Ugx531z-_8BWSPSGKNx4AaABAg</t>
  </si>
  <si>
    <t>UgxYheniC2KFUjbFLQd4AaABAg</t>
  </si>
  <si>
    <t>UgyFKOiT77wjzUH9zod4AaABAg</t>
  </si>
  <si>
    <t>UgxNZKdzVggruGPh5z94AaABAg</t>
  </si>
  <si>
    <t>UgwGfjlWGtFmmEzdKW94AaABAg</t>
  </si>
  <si>
    <t>UgyUjxrRBprPPVZfPo54AaABAg</t>
  </si>
  <si>
    <t>Ugw0fLWHiawrVsEk2kR4AaABAg</t>
  </si>
  <si>
    <t>UgydDb1yv0sszAn79f94AaABAg</t>
  </si>
  <si>
    <t>UgwVbfQR_H8NL4zAGI14AaABAg</t>
  </si>
  <si>
    <t>UgxhZaqayRRPWhLkEfJ4AaABAg</t>
  </si>
  <si>
    <t>UgzJgorPBPLvkAoLfq94AaABAg</t>
  </si>
  <si>
    <t>UgyWFNcGDC6o19_AMD94AaABAg</t>
  </si>
  <si>
    <t>Ugz1nZ0uwzjpfoMXd8R4AaABAg</t>
  </si>
  <si>
    <t>UgyeeZOG964USOgQN5x4AaABAg</t>
  </si>
  <si>
    <t>Ugy62ffkeJRlXkeP5b14AaABAg</t>
  </si>
  <si>
    <t>UgzceW0jDYDvRchg1IR4AaABAg</t>
  </si>
  <si>
    <t>UgwKZcpd-YvjCWKh5O54AaABAg</t>
  </si>
  <si>
    <t>UgwTZTe1gjl8_sCY6854AaABAg</t>
  </si>
  <si>
    <t>UgyBvX3EwbpVWaxrWod4AaABAg</t>
  </si>
  <si>
    <t>Ugy4wNgaicoOJj68IYp4AaABAg</t>
  </si>
  <si>
    <t>UgxvNkPLyKLZECRxZcF4AaABAg</t>
  </si>
  <si>
    <t>UgzUAK0UU3HXX07xPyh4AaABAg</t>
  </si>
  <si>
    <t>Ugz4tsU1BIDQUXW_A8J4AaABAg</t>
  </si>
  <si>
    <t>UgxMKx3fUCtmcYCHLKx4AaABAg</t>
  </si>
  <si>
    <t>UgzZK--MY9qT8hyP4iR4AaABAg</t>
  </si>
  <si>
    <t>UgxXV0y77f6A_sZvtbx4AaABAg</t>
  </si>
  <si>
    <t>UgxsRRouha_2dbuRd3V4AaABAg</t>
  </si>
  <si>
    <t>Ugx2msJ25LpiSV18gHF4AaABAg</t>
  </si>
  <si>
    <t>Ugx5EFYk9JCQSLBNcTV4AaABAg</t>
  </si>
  <si>
    <t>UgwQ5iW_ZKOKBgrtwjt4AaABAg</t>
  </si>
  <si>
    <t>UgygOmv8Xf32UA02vB54AaABAg</t>
  </si>
  <si>
    <t>14KCckNbmvs</t>
  </si>
  <si>
    <t>IpwV3URrFOc</t>
  </si>
  <si>
    <t>Ieh0EhJzJgo</t>
  </si>
  <si>
    <t>FM4zsUFg_iE</t>
  </si>
  <si>
    <t>6vJIAJNTdG0</t>
  </si>
  <si>
    <t>XDmnHdGD5iE</t>
  </si>
  <si>
    <t>oVhk6C3hzvk</t>
  </si>
  <si>
    <t>f9gYFWp4Zb4</t>
  </si>
  <si>
    <t>eUiSVGoMnPA</t>
  </si>
  <si>
    <t>t8XEwOyKk00</t>
  </si>
  <si>
    <t>B2MDLI5o7ik</t>
  </si>
  <si>
    <t>wfE9xUI5qxA</t>
  </si>
  <si>
    <t>67NAObstdUs</t>
  </si>
  <si>
    <t>RJyJ0_gtC6Y</t>
  </si>
  <si>
    <t>kRACuS4eKWA</t>
  </si>
  <si>
    <t>Wun5nzJLZPI</t>
  </si>
  <si>
    <t>E5HCiZeB9zw</t>
  </si>
  <si>
    <t>6f6sAvyOGPY</t>
  </si>
  <si>
    <t>9Ml3-TqAvWk</t>
  </si>
  <si>
    <t>fbDDm2cgc3I</t>
  </si>
  <si>
    <t>Qg8YCS_D-F0</t>
  </si>
  <si>
    <t>Y5yKxJQmqhc</t>
  </si>
  <si>
    <t>akBaF-KDeSU</t>
  </si>
  <si>
    <t>W3TncA8v4gE</t>
  </si>
  <si>
    <t>hhZ62IlTxYs</t>
  </si>
  <si>
    <t>CyURbZ6M6ks</t>
  </si>
  <si>
    <t>zb0yO7pLZMg</t>
  </si>
  <si>
    <t>M1TZ5NCQKXo</t>
  </si>
  <si>
    <t>Qrx-9cBnp4A</t>
  </si>
  <si>
    <t>7VeYvnovMy0</t>
  </si>
  <si>
    <t>u9spSr5jDtU</t>
  </si>
  <si>
    <t>none</t>
  </si>
  <si>
    <t xml:space="preserve"> https://www.youtube.com/watch?v=9SV2VnYbgg4 https://www.youtube.com/watch?v=9SV2VnYbgg4</t>
  </si>
  <si>
    <t xml:space="preserve"> https://www.youtube.com/watch?v=eABg872TAJU https://www.youtube.com/watch?v=eABg872TAJU</t>
  </si>
  <si>
    <t xml:space="preserve"> https://www.sqlbi.com/blog/alberto/2020/06/20/7-reasons-dax-is-not-easy/ https://www.sqlbi.com/blog/alberto/2020/06/20/7-reasons-dax-is-not-easy/</t>
  </si>
  <si>
    <t xml:space="preserve"> https://github.com/DaxStudio/DaxStudio/commit/f9ee1a2502b437b2ee37b1eaad7f7c855733c156 https://github.com/DaxStudio/DaxStudio/commit/f9ee1a2502b437b2ee37b1eaad7f7c855733c156</t>
  </si>
  <si>
    <t xml:space="preserve"> http://www.youtube.com/results?search_query=%23new</t>
  </si>
  <si>
    <t xml:space="preserve"> https://community.powerbi.com/ https://community.powerbi.com</t>
  </si>
  <si>
    <t xml:space="preserve"> https://canva.me/gk69VTPBv7 https://canva.me/gk69VTPBv7</t>
  </si>
  <si>
    <t xml:space="preserve"> https://www.sympla.com.br/evento__864452 https://www.sympla.com.br/evento__864452</t>
  </si>
  <si>
    <t xml:space="preserve"> http://gmail.com/</t>
  </si>
  <si>
    <t xml:space="preserve"> http://yahoo.com/</t>
  </si>
  <si>
    <t xml:space="preserve"> http://analysis.link/ https://youtu.be/cFJg1ZGoGp0 https://youtu.be/cFJg1ZGoGp0</t>
  </si>
  <si>
    <t xml:space="preserve"> https://www.learndax.com/power-bi-sample-data-for-beginners-to-download/ https://www.learndax.com/power-bi-sample-data-for-beginners-to-download/</t>
  </si>
  <si>
    <t xml:space="preserve"> https://www.youtube.com/watch?v=hhZ62IlTxYs&amp;amp;t=6m30s</t>
  </si>
  <si>
    <t xml:space="preserve"> https://www.youtube.com/watch?v=7VeYvnovMy0&amp;amp;t=6m00s https://www.youtube.com/watch?v=7VeYvnovMy0&amp;amp;t=9m00s</t>
  </si>
  <si>
    <t>youtube.com youtube.com</t>
  </si>
  <si>
    <t>sqlbi.com sqlbi.com</t>
  </si>
  <si>
    <t>github.com github.com</t>
  </si>
  <si>
    <t>youtube.com</t>
  </si>
  <si>
    <t>powerbi.com powerbi.com</t>
  </si>
  <si>
    <t>canva.me canva.me</t>
  </si>
  <si>
    <t>com.br com.br</t>
  </si>
  <si>
    <t>gmail.com</t>
  </si>
  <si>
    <t>yahoo.com</t>
  </si>
  <si>
    <t>analysis.link youtu.be youtu.be</t>
  </si>
  <si>
    <t>learndax.com learndax.com</t>
  </si>
  <si>
    <t>UCTIJerXXeEuYuYPSTPblqVg</t>
  </si>
  <si>
    <t>UCJIC_Bi1VNsf2QTLOlcTrzA</t>
  </si>
  <si>
    <t>UC7Hp2JZOQmbjlC9Rn3vco5g</t>
  </si>
  <si>
    <t>UC1sbCcAvuhdjdTPlIAkZBvQ</t>
  </si>
  <si>
    <t>UCOcjS2ppQSqIsbMgWGCfLew</t>
  </si>
  <si>
    <t>UCy0gSC9BFQBY5jdShxxKK8A</t>
  </si>
  <si>
    <t>UChp8RTzgLSkhWJ5B1czzXZw</t>
  </si>
  <si>
    <t>UCgUdsjOxUNqi--7ZLzOoPuw</t>
  </si>
  <si>
    <t>UCYYHFZpm5GbaOmQKDNSTGLw</t>
  </si>
  <si>
    <t>UCow5uJyfiqlAGcMWgRBTjrg</t>
  </si>
  <si>
    <t>UCn4Y0Ej7Vu3rO84e_aD28lg</t>
  </si>
  <si>
    <t>UCxiEjwieq8evDuHr19roBeg</t>
  </si>
  <si>
    <t>UCFLj5-vapeb2L5XhseTEItA</t>
  </si>
  <si>
    <t>UCcfngi7_ASuo5jdWX0bNauQ</t>
  </si>
  <si>
    <t>UCSos6I0VeBifriA-9gCWrxA</t>
  </si>
  <si>
    <t>UCbIRfvt4yt5e0W-TW72mZzg</t>
  </si>
  <si>
    <t>UC508bYZ5lCyAybwG0fo4uew</t>
  </si>
  <si>
    <t>UCQ3Qo1AOifWURYfXaKTUNpQ</t>
  </si>
  <si>
    <t>UCJf_On2lOVfH4gAZZG6TXWg</t>
  </si>
  <si>
    <t>UCENbpaPgVhO2GtlNcwAJ8mA</t>
  </si>
  <si>
    <t>UCVdK-fsgJt_JeaGbR99n0bA</t>
  </si>
  <si>
    <t>UC9nQMyNYaPAc8b0kLbIRrRA</t>
  </si>
  <si>
    <t>UCV_fdCIEX3O_YnAPvg8CYmA</t>
  </si>
  <si>
    <t>UCamYOVD8GwI-G530IBIw5og</t>
  </si>
  <si>
    <t>UCbTlRXI0HmWogrA1YCzbiLQ</t>
  </si>
  <si>
    <t>UCP3_3ULVVMplRheOIopD7dA</t>
  </si>
  <si>
    <t>UCi3faV4I51CtDqCFj3gxEfw</t>
  </si>
  <si>
    <t>UCUHChymM567gZrevmZA2eGQ</t>
  </si>
  <si>
    <t>UCsOfIwAXj1fT6LDqEDEAb4g</t>
  </si>
  <si>
    <t>UCTI6Xm4hLjJ8_QNDXXjaGhA</t>
  </si>
  <si>
    <t>UCFQioVV7rMQwR_MMhnZFbIw</t>
  </si>
  <si>
    <t>UCusu-y_cy_0fXxOwCTmELqw</t>
  </si>
  <si>
    <t>UCvefNINA2rbaE2lXA9ZILnA</t>
  </si>
  <si>
    <t>UCLMzXVHnHNXjwWqNDLPW6cg</t>
  </si>
  <si>
    <t>UCcc21gBGNJwZM_eDEByeN-Q</t>
  </si>
  <si>
    <t>UCRNmSv7mAPYiC0Y40TJijAw</t>
  </si>
  <si>
    <t>UCn4VeDiC0EajANVgnd72wHg</t>
  </si>
  <si>
    <t>UCvIr-n9Azj1msNnHekgsOyA</t>
  </si>
  <si>
    <t>UCgRzOTVWlyshyIgmxtbYgaQ</t>
  </si>
  <si>
    <t>UC3tHGWrRewOoNkvf8STvN-w</t>
  </si>
  <si>
    <t>UC-h-wArcxJC8zBOD-UxfCOg</t>
  </si>
  <si>
    <t>Title</t>
  </si>
  <si>
    <t>Description</t>
  </si>
  <si>
    <t>Custom URL</t>
  </si>
  <si>
    <t>Published At</t>
  </si>
  <si>
    <t>Thumbnail</t>
  </si>
  <si>
    <t>View Count</t>
  </si>
  <si>
    <t>Comment Count</t>
  </si>
  <si>
    <t>Subscriber Count</t>
  </si>
  <si>
    <t>Hidden Subscriber Count</t>
  </si>
  <si>
    <t>Video Count</t>
  </si>
  <si>
    <t>Content Owner</t>
  </si>
  <si>
    <t>Time Linked</t>
  </si>
  <si>
    <t>Custom Menu Item Text</t>
  </si>
  <si>
    <t>Custom Menu Item Action</t>
  </si>
  <si>
    <t>Enterprise DNA</t>
  </si>
  <si>
    <t>Hashtag Treinamentos</t>
  </si>
  <si>
    <t>Havens Consulting</t>
  </si>
  <si>
    <t>BI Elite</t>
  </si>
  <si>
    <t>Adam Tech</t>
  </si>
  <si>
    <t>Excelerator BI</t>
  </si>
  <si>
    <t>Dataminerz Hub , BI Consultant Data Visualization</t>
  </si>
  <si>
    <t>איל ברדוגו</t>
  </si>
  <si>
    <t>Leonardo Karpinski - Mestre Power BI</t>
  </si>
  <si>
    <t>Lima Treinamento</t>
  </si>
  <si>
    <t>1С Идея Автоматизация Бизнеса</t>
  </si>
  <si>
    <t>Francisco A de A</t>
  </si>
  <si>
    <t>Learn 2 Excel</t>
  </si>
  <si>
    <t>Ferdy Januar</t>
  </si>
  <si>
    <t>UpDegree</t>
  </si>
  <si>
    <t>Valber Subtil</t>
  </si>
  <si>
    <t>Al Dia Contador</t>
  </si>
  <si>
    <t>How to Power BI</t>
  </si>
  <si>
    <t>Azzizul Rohma Yulia</t>
  </si>
  <si>
    <t>Mubarok Shofi</t>
  </si>
  <si>
    <t>Sujeet Kumar Advanced Excel Training in Hindi</t>
  </si>
  <si>
    <t>Informes Cedhinfo</t>
  </si>
  <si>
    <t>Zuleika Marine</t>
  </si>
  <si>
    <t>Túlio Melibeu</t>
  </si>
  <si>
    <t>Awais Bin Asif</t>
  </si>
  <si>
    <t>Vijay Perepa - A meet Z Tech</t>
  </si>
  <si>
    <t>Dhruvin Shah</t>
  </si>
  <si>
    <t>José Rafael Escalante</t>
  </si>
  <si>
    <t>BI Infinite</t>
  </si>
  <si>
    <t>會計人的Excel小教室</t>
  </si>
  <si>
    <t>dataloop</t>
  </si>
  <si>
    <t>Email Soldiers</t>
  </si>
  <si>
    <t>RADACAD</t>
  </si>
  <si>
    <t>Move AS</t>
  </si>
  <si>
    <t>Practical BI</t>
  </si>
  <si>
    <t>Planilheiros</t>
  </si>
  <si>
    <t>Sandielly Ortega</t>
  </si>
  <si>
    <t>Power Bi Tutorials</t>
  </si>
  <si>
    <t>SQLBI</t>
  </si>
  <si>
    <t>Avi Singh - PowerBIPro</t>
  </si>
  <si>
    <t>ML For Analytics</t>
  </si>
  <si>
    <t>Reandri Techno</t>
  </si>
  <si>
    <t>Azure Brasil - Comunidade Técnica</t>
  </si>
  <si>
    <t>justB</t>
  </si>
  <si>
    <t>Guy in a Cube is all about helping you master business analytics on the Microsoft Business analytics stack to allow you to drive business growth. We are just two guys doing the work.
We look at how to leverage Microsoft Business Analytics to allow you to gain knowledge that is needed to shape the data your business cares about. This includes Power BI, Reporting Services, Analysis Services and Excel. If you work with our business analytics products or services, be sure to subscribe and join in the discussion with our weekly content.
MONDAY: Information round up and occasional Q&amp;A with folks in the organization.
TUESDAYS: Two minute Tuesdays are a quick hit.
WEDNESDAY &amp; THURSDAYS: Tech videos relating to Power BI and other products and services.
Join us by subscribing and participating in the comments with your questions or thoughts.
*** Adam Saxton and Patrick LeBlanc are Microsoft Employees. Guy in a Cube is not associated with Microsoft and our opinions are our own. ***</t>
  </si>
  <si>
    <t>Enterprise DNA TV has been created for you...the Power BI super users! We are creating an analytical movement to rid the world of poor, time consuming reporting that creates no value for anyone by using this amazing tool, Power BI. 
This channel comprehensively covers how to utilise all areas of Power BI, with a big focus on using the DAX language to unleash powerful analytical insights from your data.
Power BI is a seriously amazing analytical &amp; visualisation tool...Enterprise DNA TV will show you how to harness it too its fullest.
Join the movement!
New videos every weekday.
Sam McKay
Founder, Enterprise DNA
------------------------------------------------------------------------------
Join our Enterprise Power BI community - https://www.linkedin.com/groups/12004506</t>
  </si>
  <si>
    <t>قناة لكل مستجدات المنظومة التربوية و التعليمية ، تقدم لكم كل مفيد و تغطي مجموعة من المحطات النضالية التعليمية للنقابات و التنسيقيات .</t>
  </si>
  <si>
    <t>قناة التنمية الذاتية
لمن يطمح أن يخلق لنفسه النجاح الذي يريد أن يراه في العالم</t>
  </si>
  <si>
    <t>This is a bilingual educational platform: English &amp; Spanish.
Esta es una plataforma educativa bilingüe: Inglés y español.
Want to surprise your boss and team members with exceptional Excel and data visualization skills? If so, this is the right platform. I'll primarily be using Excel and Power BI, but eventually Tableau as well. Every Saturday I'll upload a new tutorial in English or Spanish. 
"Tell the best story with your data"
Subscribe if you'd like to Excel your skills! 
¿Te gustaría sorprender a tu jefe y compañeros de trabajo con conocimientos excepcionales de Excel y visualización de datos? Si es así, estás en la plataforma correcta. Mayormente, estaré usando Excel y Power BI, pero también haré uso de Tableau más adelante. Todos los sábados subiré un tutorial nuevo en inglés o español.
"Cuenta la mejor historia con tus datos"
¡Suscríbete! 
Thank you! 
¡Gracias!</t>
  </si>
  <si>
    <t>Free online training
Power bi
Power bi services
Adobe Photoshop
Adobe Illustrator
Adobe Dreamviewer
Adobe Premiere Pro
Adobe After effects
Adobe fire works 
UI Design
UX design
SQL
MYSQL
Java script
jQuery
Bootstrap
Angular JS
WordPress
Blogger design</t>
  </si>
  <si>
    <t>For those peoples who want to be a good knowledge holder in Excel, Excel VBA - Macros &amp; powerBI this is reason that I have started this channel.
Trying my best to make you people understand on Excel, Excel VBA Macros &amp; powerBI easily.
So join me and enjoy this journey.
For the any Excel and VBA query mail us on ajen.indra@gmail.com</t>
  </si>
  <si>
    <t>Tutoriales de Marketing Digital, emprendimiento digital, Power Bi.</t>
  </si>
  <si>
    <t>Aprenda o que você precisa de Excel, VBA e Power BI pra virar uma referência no mercado de trabalho</t>
  </si>
  <si>
    <t>Este canal foi criado para ensinar e aprender o Power BI Desktop, difundindo a cultura de dados e sua importância nas empresas.
Acredito que é importante alinhar o conhecimento da ferramenta com as práticas de mercado.
Meu nome é Eric Vieira, sou de Brasília e aqui o Power BI é na real.</t>
  </si>
  <si>
    <t>Excel, VBA, fórmulas, vídeos aulas,</t>
  </si>
  <si>
    <t>Hello Guys,
This Channel is for Basic Excel,Advance Excel ,Excel VBA,SQL, SSIS ,SSRS,R and SAS and many more,
So please subscribe our channel and support us so we can upload many more videos those will help you</t>
  </si>
  <si>
    <t>Hello Guys,
This Channel is for Basic Excel,Advance Excel ,Excel VBA,SQL, SSIS ,SSRS,R and SAS and many more,
So please subscribe our channel and support us so we can upload many more videos those will help you ...</t>
  </si>
  <si>
    <t>Fascination is one word that describes my curiosity to understand the world around me.
"Never let your memories be greater than your dreams"
I have already created positive change in individuals and institutions that I have engaged and partnered with.
I am a Freelancer Corporate Trainer for Power BI, Tableau, Microsoft, IBM and HP softwares.
My Mission is to help professionals to take control of their skills and present them in a way that inspires, impress and build confidence in their abilities, products and services.
I am an ambitious individual who is looking to broaden my career path. I enjoy contributing new ideas, I am self-motivated and an excellent team player. I work well under pressure and understand the importance of time management
I love training people and build them technically enhanced &amp; professionally Confident about the Products and Services. It doesn't even matter who you are and what you do !!!</t>
  </si>
  <si>
    <t>Over 1300 excel, google sheet &amp; power bi tutorial videos. Free download practice files from all latest video's description. Don't forget to subscribe !! I have 10+ years working experience.
This channel has Microsoft excel &amp; power bi desktop tutorials like excel tips &amp; tricks, excel formulas &amp; functions, creative &amp; advanced charts, MIS reports &amp; dashboards, Data analysis &amp; analytics in excel, Excel automation macro, Power Query, Power Pivot, Pivot chart, Pivot table with Slicer, Mobile excel, Advanced DAX formulas, Interview excel videos for job, Excel 365, Excel 2019, Excel 2016, Excel 2013 tutorial, Power bi visualization, Power Bi Dax function, Power Bi dashboard, Power bi Tips &amp; Tricks, Google sheet formulas, etc.,
The tutorial videos are very simple &amp; informative, easy to understand for anyone.
Every Like, Share &amp; Comment is much appreciated !
Business enquiries contact : masterexcelaz@gmail.com
Thank you!</t>
  </si>
  <si>
    <t>Productivity 365 Started in 2020 to help organization of Small and Medium Businesses become more Productive using the latest Microsoft Cloud Technology.  
Our goal is that all SMB companies to be able to use enterprise-level solutions at an affordable and pocket-friendly price. We have expertise in Microsoft Office 365 and Microsoft Azure. We not only sell the Cloud Solution but also make sure that every individual adopts it in your organization. 
        Our focus is to increase the productivity of every user by adopting new technologies. It doesn't matter where you are our online training capability will reach every user in your organization.</t>
  </si>
  <si>
    <t>Welcome to my channel, enjoy the Stream and stay tuned for More Updates.
My Pubg Lite Details:
IGN :-ALONEツESPraTk
IG ID :-7232599091
Gpay/Phonepe: 8268570751</t>
  </si>
  <si>
    <t>Welcome to my channel where you can expect videos on Excel tips and techniques to help you in your day to day work.
Videos on using the latest Excel features, formulas, advanced Excel tips, VBA and Power BI.
If you have a question, please ask. I try to reply to as many comments as I can. My apologies if I do not respond. It is very difficult to respond to everybody.
Who am I?
My name is Alan and I have been training people how to get the most from Excel for over 20 years.
I love working with data and helping people improve their Excel skills and save time.
I live in a town called Ipswich in the UK and I'm a father to two wonderful kids.</t>
  </si>
  <si>
    <t>Hello Friends, 
Tamilmint Channel Created to Share my views about what i learn and i thought to teach the same to others. if you are interested give me a like or else comment your suggestions to correct it.
Advertising and promotional video, lets learn and grow
https://tamilmints.blogspot.com/
Share, subscribe, like and comment</t>
  </si>
  <si>
    <t>PES 2017 Faces for starters!</t>
  </si>
  <si>
    <t>This Channel is for all things about Excel, Excel Power Tools, Power BI, DAX, and you will also find videos on Bookkeeping and Teaching online
#Excel #PowerBI #DAX #powerpivot #powerquery</t>
  </si>
  <si>
    <t>Bienvenido a MICROSOFT EXCEL A TODO NIVEL, mi nombre es Víctor Román Castro. 
En este canal encontrarás Tutoriales,Tips y Trucos en Excel.  
En la actualidad el ritmo de vida y de trabajo permite en pocas ocasiones y con poco tiempo auto-capacitarnos, es por ello que en MICROSOFT EXCEL A TODO NIVEL nos preocupamos por los tiempos que te puedas sentar frente a tu equipo y llevarte algo de provecho a través de un Tutorial Excel en unos cuantos minutos
En videos cortos puedes aprender y sacar mas provecho sin descuidar las cosas importantes del trabajo, de la casa y la familia.
Si estas leyendo esto y no te has suscrito, te invito a hacerlo.
Subimos vídeos los Lunes y Jueves
Gracias por tu apoyo!!!!
Microsoft Excel a Todo Nivel</t>
  </si>
  <si>
    <t>Asesoramiento y Distribución de Aplicaciones en VBA (Visual Basic for Applications) en Excel y Access.</t>
  </si>
  <si>
    <t>O que é o Fabrica de Genios?
É um grupo formado para incentivar estudantes de diversas áreas a conhecer, usar e desenvolver tecnologias, permitindo assim o compartilhamento de conhecimento e experiências entre áreas distintas, podendo assim aprimorar tecnologias existentes ou até mesmo desenvolve-las de forma inédita, integrando-as em sua área ou seguindo-a a risca.</t>
  </si>
  <si>
    <t>Hello Friend, Welcome to our channel. In this channel, we upload training videos on topics like Advanced Excel Dynamic Charts &amp; Graphs, Advanced Excel Formulas, VBA Macros, VBA User form, Power BI Reports &amp; Dashboard, Power Pivot &amp; Power Query, Advanced DAX Function and Discussion on New Technologies. You can learn all these topics from our separate playlist for each topic. We also share Advance Excel techniques and Excel tips &amp; tricks, it will help you to upgrade yourself in reporting. We do share source file &amp; conducting quiz programs for your practice. Are you MIS Expert or VBA Developer or power bi pro or looking for career change or Do you want to upgrade your skill then this channel is for you.
----------Subscribe to this channel-------------
We also provide @ personal training @ corporate training @ project support
----------Contact Us at Gmail : info.pettakatechnologies@gmail.com-----------
We are active in social network, click below links to connect with us.</t>
  </si>
  <si>
    <t>I am developing videos for those people who want to start their career in Microsoft Business Intelligence.
You can learn basic sql queries to advance queries, Reporting Services, Analysis Services, MDX and Power BI Analytics.
You can find more useful articles on https://www.learndax.com/</t>
  </si>
  <si>
    <t>Friends, My name is Dhaval Patel and I have more than 15 years of experience working as a software engineer. I've worked with Nvidia Graphics and Bloomberg LP (Global financial data provider). Teaching has been my passion and I strongly believe "Anyone Can Code" ! No matter what your background and past skill set is, you can learn programming if it is taught in a simplistic and intuitive way. The goal of this channel is to fulfill this vision by teaching the programming in most simplest and intuitive manner.
Disclaimer: All the content and opinion expressed on this channel are of my own and not of my employer's.</t>
  </si>
  <si>
    <t>Welcome to JaganInfo channel - the right way to get information
My ultimate aim is to give more information in all areas like *Health , Techie , Cooking, Arts &amp; Crafts , Origami, Games , Entertainment,
Home appliances, village cultural arts , unboxing* . 
Please don't forget to SUBSCRIBE our channel JaganInfo .  
*Popular Playlists :*
Paper Arts Crafts Origami
https://www.youtube.com/playlist?list=PLO__YWLsoI2GolKxDDU6dnJiN5AfHHb5r
Kitchen Recipe Info
https://www.youtube.com/playlist?list=PLO__YWLsoI2EuwQQ7TQjI_0gR2MS84yxw
Technical Info
https://www.youtube.com/playlist?list=PLO__YWLsoI2G1Oj81XUKuN7E9V_vn
Click on bell icon to get latest videos with more information.
To subscribe my channel :
https://www.youtube.com/JAGANINFO/?sub_confirmation=1
For business queries you can contact at the e-mail address below...
[PLEASE DO NOT EMAIL ME regarding any tech support / buying queries those emails will not be answered]
*** THANKS TO ALL MY SUBSCRIBERS ***</t>
  </si>
  <si>
    <t>Datdata: Aprende habilidades de Análisis de datos.
Nosotros creemos que todos pueden inspirarse y aprender, al enseñar con contenido sencillo y dinámico.
Lo anterior es nuestro método en nuestra misión por contribuir con la comunidad en el logro de sus necesidades de información – Y es así como nuestros instructores estarán motivandolos y guiándolos en la transformación de sus datos.</t>
  </si>
  <si>
    <t>En este canal encontrarán tutoriales sobre diversos temas de ingeniería industrial tales como: diseño con SolidWorks y AutoCAD, Simulación, Programación lineal, Investigación de operaciones, Ingeniería económica y Control de producción. Además, habrán tutoriales sobre programas como Microsoft Excel y muchas cosas más.</t>
  </si>
  <si>
    <t>Headquartered in Kirkland, Washington and servicing clients all over the world. Havens Consulting provides Business Intelligence solutions to help companies use their data to operate efficiently and profitably. We utilize the Power Platform stack, which includes Power BI, PowerApps, and Microsoft Flow. We also provide consulting for Tabular Modeling, SQL Server Analysis Services, Azure Analysis Services, PowerPivot, and other analytics software to help companies realize their goals. A variety of on-site and remote technology training's are also one of the many services we provide.
Whether you’re an analyst, report developer, manager, or small business owner, we will not only add value to your organization, but we’ll also revolutionize the way you use data. We bring extensive experience and professionalism to every project and customize our services to your individual needs and concerns.</t>
  </si>
  <si>
    <t>En Lernen Capacitaciones encontrarás tutoriales sobre el manejo de EXCEL, WORD y POWERPOINT. Además cursos completos GRATUITOS.
Además cursos sobre Fundamentos de Marketing y Psicología del Cliente.</t>
  </si>
  <si>
    <t>Meu nome é Gerson G. Viergutz, sou formado em Administração com ênfase em Sistemas de Informação Gerencial, Especialista em Excel e Apaixonado por visualização de dados. Neste canal você encontrará vídeos sobre Excel Básico ao Avançado, Gráficos, Tabelas Dnâmicas, Fórmulas e Funções, Gráficos,  Dashboards e Power BI. Espero ajudar você e ser reconhecido no mercado através das aulas sobre esta fantástica ferramenta que é o Excel.
Inscreva-se e tenho certeza que você irá aproveitar e muito este canal. Sucesso.
Acesse também o site para ter mais dicas e planilhas prontas em Excel. http://www.minhasplanilhas.com.br
Veja os cursos: http://cursos.minhasplanilhas.com.br</t>
  </si>
  <si>
    <t>Power BI and DAX tips and tricks from a Microsoft Data Platform MVP. This channel is designed to teach you how to get the most out of Power BI and make you a super user in no time. So let's get started!
If you're new, check out the 3 Minute Tips or DAX for Power BI playlists. Make sure to leave a comment telling me what you'd like to see!
I look forward to connecting with you in the comments or by email!</t>
  </si>
  <si>
    <t>Everything about Informatica as Powerful ETL Tool . This Channel All About Informatica Development Scenarios</t>
  </si>
  <si>
    <t>Technology - Business intelligence Updates On Tableau and Power BI</t>
  </si>
  <si>
    <t>- קורס אקסל למתקדמים חינם!
- פיתוח תוספים לאקסל על פי דרישה
 http://excel.kova.co.il/</t>
  </si>
  <si>
    <t>Com mestrado em Engenharia Mecânica pela UFSC e certificações MCSA, PMP, PSM I e MCTS, possuo 7 anos de experiência em Desenvolvimento e Gerenciamento de Projetos de Software voltados para solução de problemas complexos de Engenharia de Petróleo. 
​
Atuei como Líder de Equipe e Líder Técnico de Business Intelligence na Softplan Sistemas e Planejamento e possuo mais de 4 anos de experiência em projetos de Data Analytics. tornando-se especialista e referência nacional em Business Intelligence, mais especificamente em tecnologias da Microsoft como o Power BI, Analysis Services (Modelo Tabular) e Excel.
Ofereço cursos online, além de cursos presenciais e Treinamentos In-Company, sendo que já forneci treinamentos de Power BI para equipes de grandes empresas, como 3M, Suzano, CBF, Arcelor Mittal, entre dezenas de outras.</t>
  </si>
  <si>
    <t>Nossa Missão é capacitar e desenvolver pessoas nas diversas áreas da sociedade.</t>
  </si>
  <si>
    <t>Разработка и внедрение эффективных решений для бизнеса.
Автоматизация бизнеса на базе:
- 1С
- Битрикс24
- amoCRM
- Power BI
- Мой склад
- Yclients
Делаем нашу страну лучше, совершенствуя бизнес наших клиентов.</t>
  </si>
  <si>
    <t>RESUMO DAS MINHAS QUALIFICAÇÔES:
ERP Sistemas SAP e Totvs Protheus, PCP, Gestão de sistema WMS, Supply Chain Management, Administração de Centro de Distribuição (Gestão de frotas, Cross Doking, Milk Run e Just in Time), Ravex Sistema de Gestão de Logística, TQC, Prática em auditoria, Desing 2D e 3D, Tecnologia da informação, Certificação ISO 9001 / Certificação BPF e HACCP.</t>
  </si>
  <si>
    <t>Please visit my site for blogs  related to the created videos. 
My blog is @ :http://www.dagdoo.org/
My aim in setting up this channel is to help people get awesome at
1. Data analysis
2. Data analytics
3. Data mining
4. Improving data quality</t>
  </si>
  <si>
    <t>NIM 180441100147</t>
  </si>
  <si>
    <t>Seja bem vindo ao meu canal de vídeos no Youtube!
Esse canal é uma plataforma de ensino sobre análise de dados no Microsoft Excel e Power BI dirigido por Valber Subtil. O intuito deste canal é permitir que mais pessoas possam alavancar suas carreiras com o conhecimento de Power BI. 
Valber é criador da Start Academy, empresa focada e especializada em treinamentos e consultorias sobre Power BI.
Obrigado por visitar este canal e desejo a você que está assistindo-o, muito SUCESSO!</t>
  </si>
  <si>
    <t>Learning By Doing ang By Sharing</t>
  </si>
  <si>
    <t>HI
I am Sujit Kumar Singh I was give Classes on Excel Last 15 Years, i try to Give Classes on base on Office Related  Work 
I have 10 Year Working Experience on Excel &amp; VBA on 5 Company and 5 State 
I Give Classes on Excel 365 , Dashboard, VBA Macros , Power BI, Access, Tableau</t>
  </si>
  <si>
    <t>Android Development from basics to advance using Android Studio</t>
  </si>
  <si>
    <t>We Provide online , one on one  and Corporate Trainings . Please call us at +91 9611344773. Our email id vijay.perepa@ameetz.com . You can WhatsApp us if you have any questions on Power BI, Excel, PowerPoint, VBA, Financial Modeling etc. Visit us @ https://www.ameetz.com</t>
  </si>
  <si>
    <t>Learn2All is a concept of Online learning on different technologies. Myself Dhruvin Shah. Professionally I am a Software Developer.
The main aim of the channel is Concept Learning, Here, I'm not focused only one single technology. We believe you should be flexible with the technology. Learning has no boundaries.
In this channel you can learn different concepts of Computer Engineering subjects like Computer Graphics, Information Security and Web Designing.
You can learn latest and Advanced Technologies like
 - ASP.NET Learning , C# , OOPS Concepts
 - Learn JAVA
 - Learn JavaScript
 - Learn SharePoint
 - Learn Power BI
 - Learn PowerPlatform
Many more things are coming in upcoming future. Stay connected with me!!</t>
  </si>
  <si>
    <t>Welcome to BI INFINITE. I am Murali Krishna.  I am a BI Developer and i offer training and do freelance in Power BI. 
I Post the Videos on Power BI Desktop,  Power BI Service, SSAS Tabular, Azure Analysis Services, Power BI Administration &amp; DAX. Learn Power BI Stack for free.
Happy Learning!!</t>
  </si>
  <si>
    <t>贊贊小屋（會計人的Excel小教室），專注Excel職場應用10年。
事務所查帳、公司會計、集團經理，工作中不斷實踐Excel。
部落格、著作、臉書、現場教學、線上課程、YouTube、Line，您學習Excel最佳選擇。</t>
  </si>
  <si>
    <t>EmailSoldiers - эффективный email-маркетинг
Наш емейл info@emailsoldiers.ru и номер телефона +7 (495) 374-62-03</t>
  </si>
  <si>
    <t>RADACAD is all about helping YOU to get more insight from YOUR data. We publish videos weekly about using Power BI and AI in real-life day-to-day challenges of using these tools to help you to learn how to analyze your data and get more meaningful information using dashboards, reports, visualization in Power BI. And Also, learn how to step up and do predictive analytics using Machine Learning and use AI.
Reza and Leila are both Microsoft Most Valuable Professionals (MVP) focused on Power BI and AI, Power BI All-Star winners, and consultants and coaches at RADACAD.
We are book authors, and Our books are amongst the most popular in the market in the world of AI and Power BI, and you can access those from the RADACAD website. 
We are also speaking at many events in-person all around the world, through this channel, you will know about where to find us next.
Through our channel, you can have access to tons of videos in the world of Power BI and AI, Subscribe now, we are here for you.</t>
  </si>
  <si>
    <t>Move er spesialister på IT-infrastruktur. Selskapet leverer spisskompetanse, tjenester og løsninger til offentlige og private virksomheter i Norge. Gjennom design, integrasjon og forvaltning bidrar Move til å gi virksomheter en kostnadseffektiv, sikker og fleksibel IT-infrastruktur basert på det beste markedet tilbyr av løsninger og tjenester.</t>
  </si>
  <si>
    <t>Free and practical guides, tips and tutorials for Microsoft Power BI.</t>
  </si>
  <si>
    <t>Aprenda a desenvolver soluções de apoio à gestão e melhore a tomada de decisão da sua empresa. Como fazer isso? Nós vamos te ensinar a trabalhar com as ferramentas: Excel, Power BI e Azure e muito mais. Bons estudos! :D #sejapower #somospower #planilheiros</t>
  </si>
  <si>
    <t>el propósito de esta comunidad es el de compartir los conocimientos que he adquirido durante muchos años utilizando Power BI, SQL Server, Power Automate &amp; Power Apps</t>
  </si>
  <si>
    <t>This is Power Bi free online Tutorials channel, here you can learn Power Bi from Basic to Advance Level with an example including DAX's &amp; Report Optimization technique.</t>
  </si>
  <si>
    <t>Learn and optimize DAX with Marco Russo and Alberto Ferrari - Visit www.sqlbi.com.
We are experts on DAX and Data Modeling for Power BI, Analysis Services, and Power Pivot.
Visit our website to get more than 200 free articles, books, videos, and courses.
Free video courses: 
- Introducing DAX: https://sql.bi/introdax
- Introduction to Data Modeling for Power BI: https://sql.bi/intromodeling
Advanced video courses:
- Mastering DAX: https://sql.bi/masterdax
- Optimizing DAX: https://sql.bi/optimizedax
- Data Modeling for Power BI: https://sql.bi/modeling
- Power BI Dashboard Design Course: https://sql.bi/dashboard
- SSAS Tabular Course: https://sql.bi/tabular
- Power Pivot Workshop: https://sql.bi/powerpivot
Our latest books:
- The Definitive Guide to DAX - 2nd edition: https://sql.bi/guidetodax
- Analyzing Data with Power BI and Power Pivot for Excel: https://sql.bi/modelingbook</t>
  </si>
  <si>
    <t>My mission ✊ is to go beyond just teaching you Power BI, and make you a Power BI Pro! A successful Power BI Professional, both in terms of money you earn and the impact you create.
Sure I have videos covering
➔Power BI Tutorials (Desktop, Query Editor, Relationships, DAX…)
➔Creating Beautiful Power BI Dashboards
➔Comparing Power BI vs Tableau
➔…and lots of other Tech Videos
But I also have videos covering
➔How to Make Money Using Your Power BI Skills
➔How to Get a Power BI Job
➔How to Become a Power BI Consultant
➔…and lots of other videos to make you a real Pro!
Ready to get started on your Power BI journey?
_xD83D__xDC49_ Hit that SUBSCRIBE button 
_xD83D__xDC49_ Get All my Download Files to follow along with my videos:
https://web.learnpowerbi.com/download/
★ABOUT ME★
I am Avi Singh, Microsoft MVP, bestselling Power BI Author and Expert. I left my corporate job at Microsoft to pursue my dream of changing people's lives using the magic of Power BI. I now live a life of freedom to do what I love ❤</t>
  </si>
  <si>
    <t>Hello Learners! Welcome to our channel, Machine Learning For Analytics (ML For Analytics). 
Here, you will get all you need to learn concepts of Business Intelligence, Machine Learning, Deep Learning, Business Analytics and Statistics from basics to advanced level with strong emphasis on hands-on. The coded examples will mainly be written in Python and R. All of the required algorithms will be taught step-by-step along with code for it.
We will cover business intelligence scenarios using Microsoft Power BI . in this journey, we will also learn DAX, which is the language used for data modelling and complex computation with Power BI.
Keep on following this channel to get the best knowledge about all these verticals of Data Science for engaging and interactive learning ahead.
Happy Learning!</t>
  </si>
  <si>
    <t>Compartilhando conhecimentos sobre Nuvem e Azure de forma prática e simplificada.</t>
  </si>
  <si>
    <t>Power BI, Power BI and Power BI.
I'm an expert in Microsoft Business Intelligence mainly focusing on Power BI and all things related. I will use this YouTube channel as a supplement to my Blog - to show tips and tricks and go more in dept on specific topics.</t>
  </si>
  <si>
    <t>guyinacube</t>
  </si>
  <si>
    <t>fernandocalero67</t>
  </si>
  <si>
    <t>andrewtuplin</t>
  </si>
  <si>
    <t>enterprisedna</t>
  </si>
  <si>
    <t>nestoradrianzen</t>
  </si>
  <si>
    <t>laxmiskills</t>
  </si>
  <si>
    <t>tutoliber</t>
  </si>
  <si>
    <t>hashtagtreinamentos</t>
  </si>
  <si>
    <t>mildestinos1</t>
  </si>
  <si>
    <t>pavanlalwani</t>
  </si>
  <si>
    <t>excelazvjp</t>
  </si>
  <si>
    <t>harshnathani</t>
  </si>
  <si>
    <t>computergaga</t>
  </si>
  <si>
    <t>paulaguilfoyletheexcelclub</t>
  </si>
  <si>
    <t>microsoftexcelatodonivel1605</t>
  </si>
  <si>
    <t>davidgarciaecoexcel</t>
  </si>
  <si>
    <t>briancastillo</t>
  </si>
  <si>
    <t>fabricadegeniosthe</t>
  </si>
  <si>
    <t>pettakatechnologies</t>
  </si>
  <si>
    <t>powerbianalytics</t>
  </si>
  <si>
    <t>sebastiangarciasgm94</t>
  </si>
  <si>
    <t>havensconsulting</t>
  </si>
  <si>
    <t>lernencapacitaciones</t>
  </si>
  <si>
    <t>minhasplanilhasbr</t>
  </si>
  <si>
    <t>bielite</t>
  </si>
  <si>
    <t>adamtech</t>
  </si>
  <si>
    <t>exceleratorbi</t>
  </si>
  <si>
    <t>aprendapowerbi</t>
  </si>
  <si>
    <t>1сидеяавтоматизациябизнеса</t>
  </si>
  <si>
    <t>franciscoadea</t>
  </si>
  <si>
    <t>learnexcelrelentless</t>
  </si>
  <si>
    <t>updegree</t>
  </si>
  <si>
    <t>sujeetkumaript</t>
  </si>
  <si>
    <t>informescedhinfo</t>
  </si>
  <si>
    <t>tuliomelibeu</t>
  </si>
  <si>
    <t>vijayperepa</t>
  </si>
  <si>
    <t>acctexcel</t>
  </si>
  <si>
    <t>radacad</t>
  </si>
  <si>
    <t>planilheirosbrasil</t>
  </si>
  <si>
    <t>sandiellyortega</t>
  </si>
  <si>
    <t>powerbitutorials</t>
  </si>
  <si>
    <t>sqlbi</t>
  </si>
  <si>
    <t>powerbipro</t>
  </si>
  <si>
    <t>mlforanalytics</t>
  </si>
  <si>
    <t>azurebrasilcomunidadetecnica</t>
  </si>
  <si>
    <t>justblindbaek</t>
  </si>
  <si>
    <t>Open Channel URL in Browser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</si>
  <si>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</si>
  <si>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</si>
  <si>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</si>
  <si>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</si>
  <si>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</si>
  <si>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</si>
  <si>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</si>
  <si>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</si>
  <si>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</si>
  <si>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</si>
  <si>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</si>
  <si>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</si>
  <si>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</si>
  <si>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</si>
  <si>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</si>
  <si>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</si>
  <si>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</si>
  <si>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</si>
  <si>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</si>
  <si>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</si>
  <si>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</si>
  <si>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</si>
  <si>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</si>
  <si>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</si>
  <si>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</si>
  <si>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</si>
  <si>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</si>
  <si>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</si>
  <si>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</si>
  <si>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</si>
  <si>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</si>
  <si>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</si>
  <si>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</si>
  <si>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</si>
  <si>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</si>
  <si>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</si>
  <si>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</si>
  <si>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</si>
  <si>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</si>
  <si>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</si>
  <si>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</si>
  <si>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</si>
  <si>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</si>
  <si>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</si>
  <si>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</si>
  <si>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</si>
  <si>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</si>
  <si>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</si>
  <si>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power</t>
  </si>
  <si>
    <t>dax</t>
  </si>
  <si>
    <t>data</t>
  </si>
  <si>
    <t>videos</t>
  </si>
  <si>
    <t>para</t>
  </si>
  <si>
    <t>sir</t>
  </si>
  <si>
    <t>muito</t>
  </si>
  <si>
    <t>uma</t>
  </si>
  <si>
    <t>por</t>
  </si>
  <si>
    <t>excel</t>
  </si>
  <si>
    <t>obrigado</t>
  </si>
  <si>
    <t>query</t>
  </si>
  <si>
    <t>project</t>
  </si>
  <si>
    <t>pivot</t>
  </si>
  <si>
    <t>file</t>
  </si>
  <si>
    <t>dados</t>
  </si>
  <si>
    <t>eu</t>
  </si>
  <si>
    <t>gracias</t>
  </si>
  <si>
    <t>2020</t>
  </si>
  <si>
    <t>download</t>
  </si>
  <si>
    <t>time</t>
  </si>
  <si>
    <t>como</t>
  </si>
  <si>
    <t>excelente</t>
  </si>
  <si>
    <t>lot</t>
  </si>
  <si>
    <t>os</t>
  </si>
  <si>
    <t>célula</t>
  </si>
  <si>
    <t>visuals</t>
  </si>
  <si>
    <t>você</t>
  </si>
  <si>
    <t>atualização</t>
  </si>
  <si>
    <t>el</t>
  </si>
  <si>
    <t>ha</t>
  </si>
  <si>
    <t>30</t>
  </si>
  <si>
    <t>mai</t>
  </si>
  <si>
    <t>link</t>
  </si>
  <si>
    <t>share</t>
  </si>
  <si>
    <t>excluir</t>
  </si>
  <si>
    <t>days</t>
  </si>
  <si>
    <t>essa</t>
  </si>
  <si>
    <t>pelo</t>
  </si>
  <si>
    <t>da</t>
  </si>
  <si>
    <t>única</t>
  </si>
  <si>
    <t>sobre</t>
  </si>
  <si>
    <t>jan</t>
  </si>
  <si>
    <t>learn</t>
  </si>
  <si>
    <t>hota</t>
  </si>
  <si>
    <t>hai</t>
  </si>
  <si>
    <t>pls</t>
  </si>
  <si>
    <t>banco</t>
  </si>
  <si>
    <t>melissa</t>
  </si>
  <si>
    <t>vídeos</t>
  </si>
  <si>
    <t>guys</t>
  </si>
  <si>
    <t>parabéns</t>
  </si>
  <si>
    <t>seu</t>
  </si>
  <si>
    <t>também</t>
  </si>
  <si>
    <t>00</t>
  </si>
  <si>
    <t>en</t>
  </si>
  <si>
    <t>based</t>
  </si>
  <si>
    <t>table</t>
  </si>
  <si>
    <t>lo</t>
  </si>
  <si>
    <t>sea</t>
  </si>
  <si>
    <t>day</t>
  </si>
  <si>
    <t>tips</t>
  </si>
  <si>
    <t>series</t>
  </si>
  <si>
    <t>dashboard</t>
  </si>
  <si>
    <t>sql</t>
  </si>
  <si>
    <t>question</t>
  </si>
  <si>
    <t>provide</t>
  </si>
  <si>
    <t>source</t>
  </si>
  <si>
    <t>learndax</t>
  </si>
  <si>
    <t>sample</t>
  </si>
  <si>
    <t>beginners</t>
  </si>
  <si>
    <t>vazia</t>
  </si>
  <si>
    <t>fazer</t>
  </si>
  <si>
    <t>tutorial</t>
  </si>
  <si>
    <t>paid</t>
  </si>
  <si>
    <t>hour</t>
  </si>
  <si>
    <t>20</t>
  </si>
  <si>
    <t>tutorials</t>
  </si>
  <si>
    <t>send</t>
  </si>
  <si>
    <t>gmail</t>
  </si>
  <si>
    <t>tu</t>
  </si>
  <si>
    <t>daxstudio</t>
  </si>
  <si>
    <t>alberto</t>
  </si>
  <si>
    <t>current</t>
  </si>
  <si>
    <t>month</t>
  </si>
  <si>
    <t>helpful</t>
  </si>
  <si>
    <t>boa</t>
  </si>
  <si>
    <t>conteúdo</t>
  </si>
  <si>
    <t>bom</t>
  </si>
  <si>
    <t>há</t>
  </si>
  <si>
    <t>email</t>
  </si>
  <si>
    <t>não</t>
  </si>
  <si>
    <t>redes</t>
  </si>
  <si>
    <t>olá</t>
  </si>
  <si>
    <t>professor</t>
  </si>
  <si>
    <t>sim</t>
  </si>
  <si>
    <t>sempre</t>
  </si>
  <si>
    <t>relatório</t>
  </si>
  <si>
    <t>isso</t>
  </si>
  <si>
    <t>mesmo</t>
  </si>
  <si>
    <t>hola</t>
  </si>
  <si>
    <t>poder</t>
  </si>
  <si>
    <t>recomienda</t>
  </si>
  <si>
    <t>add</t>
  </si>
  <si>
    <t>practice</t>
  </si>
  <si>
    <t>complete</t>
  </si>
  <si>
    <t>start</t>
  </si>
  <si>
    <t>visual</t>
  </si>
  <si>
    <t>files</t>
  </si>
  <si>
    <t>love</t>
  </si>
  <si>
    <t>tableau</t>
  </si>
  <si>
    <t>deep</t>
  </si>
  <si>
    <t>glad</t>
  </si>
  <si>
    <t>projects</t>
  </si>
  <si>
    <t>tools</t>
  </si>
  <si>
    <t>bem</t>
  </si>
  <si>
    <t>saber</t>
  </si>
  <si>
    <t>nice</t>
  </si>
  <si>
    <t>pavan</t>
  </si>
  <si>
    <t>recorded</t>
  </si>
  <si>
    <t>140</t>
  </si>
  <si>
    <t>sharing</t>
  </si>
  <si>
    <t>analysis</t>
  </si>
  <si>
    <t>08</t>
  </si>
  <si>
    <t>check</t>
  </si>
  <si>
    <t>ss</t>
  </si>
  <si>
    <t>unitech</t>
  </si>
  <si>
    <t>cool</t>
  </si>
  <si>
    <t>mais</t>
  </si>
  <si>
    <t>canva</t>
  </si>
  <si>
    <t>erp</t>
  </si>
  <si>
    <t>alegra</t>
  </si>
  <si>
    <t>utilidad</t>
  </si>
  <si>
    <t>list</t>
  </si>
  <si>
    <t>memory</t>
  </si>
  <si>
    <t>marco</t>
  </si>
  <si>
    <t>easy</t>
  </si>
  <si>
    <t>12</t>
  </si>
  <si>
    <t>tomorrow</t>
  </si>
  <si>
    <t>13</t>
  </si>
  <si>
    <t>explanation</t>
  </si>
  <si>
    <t>simple</t>
  </si>
  <si>
    <t>stay</t>
  </si>
  <si>
    <t>dica</t>
  </si>
  <si>
    <t>gerson</t>
  </si>
  <si>
    <t>mas</t>
  </si>
  <si>
    <t>suporte</t>
  </si>
  <si>
    <t>tenho</t>
  </si>
  <si>
    <t>nas</t>
  </si>
  <si>
    <t>mail</t>
  </si>
  <si>
    <t>consigo</t>
  </si>
  <si>
    <t>drive</t>
  </si>
  <si>
    <t>personal</t>
  </si>
  <si>
    <t>seria</t>
  </si>
  <si>
    <t>aula</t>
  </si>
  <si>
    <t>valeu</t>
  </si>
  <si>
    <t>ajude</t>
  </si>
  <si>
    <t>dúvida</t>
  </si>
  <si>
    <t>automática</t>
  </si>
  <si>
    <t>porém</t>
  </si>
  <si>
    <t>horário</t>
  </si>
  <si>
    <t>só</t>
  </si>
  <si>
    <t>7veyvnovmy0</t>
  </si>
  <si>
    <t>em</t>
  </si>
  <si>
    <t>posso</t>
  </si>
  <si>
    <t>los</t>
  </si>
  <si>
    <t>windows</t>
  </si>
  <si>
    <t>server</t>
  </si>
  <si>
    <t>posterior</t>
  </si>
  <si>
    <t>internet</t>
  </si>
  <si>
    <t>ram</t>
  </si>
  <si>
    <t>menos</t>
  </si>
  <si>
    <t>más</t>
  </si>
  <si>
    <t>pantalla</t>
  </si>
  <si>
    <t>900</t>
  </si>
  <si>
    <t>las</t>
  </si>
  <si>
    <t>resoluciones</t>
  </si>
  <si>
    <t>ya</t>
  </si>
  <si>
    <t>cpu</t>
  </si>
  <si>
    <t>lernen</t>
  </si>
  <si>
    <t>capacitaciones</t>
  </si>
  <si>
    <t>muchas</t>
  </si>
  <si>
    <t>cierto</t>
  </si>
  <si>
    <t>trabajo</t>
  </si>
  <si>
    <t>user</t>
  </si>
  <si>
    <t>rls</t>
  </si>
  <si>
    <t>detailed</t>
  </si>
  <si>
    <t>created</t>
  </si>
  <si>
    <t>report</t>
  </si>
  <si>
    <t>mis</t>
  </si>
  <si>
    <t>verdad</t>
  </si>
  <si>
    <t>una</t>
  </si>
  <si>
    <t>cómo</t>
  </si>
  <si>
    <t>porque</t>
  </si>
  <si>
    <t>changing</t>
  </si>
  <si>
    <t>language</t>
  </si>
  <si>
    <t>topic</t>
  </si>
  <si>
    <t>covered</t>
  </si>
  <si>
    <t>studio</t>
  </si>
  <si>
    <t>june</t>
  </si>
  <si>
    <t>resources</t>
  </si>
  <si>
    <t>hope</t>
  </si>
  <si>
    <t>difference</t>
  </si>
  <si>
    <t>people</t>
  </si>
  <si>
    <t>finish</t>
  </si>
  <si>
    <t>timing</t>
  </si>
  <si>
    <t>depends</t>
  </si>
  <si>
    <t>daily</t>
  </si>
  <si>
    <t>knowledge</t>
  </si>
  <si>
    <t>comment</t>
  </si>
  <si>
    <t>content</t>
  </si>
  <si>
    <t>bhai</t>
  </si>
  <si>
    <t>ka</t>
  </si>
  <si>
    <t>dono</t>
  </si>
  <si>
    <t>option</t>
  </si>
  <si>
    <t>job</t>
  </si>
  <si>
    <t>realtime</t>
  </si>
  <si>
    <t>oracle</t>
  </si>
  <si>
    <t>caso</t>
  </si>
  <si>
    <t>então</t>
  </si>
  <si>
    <t>algum</t>
  </si>
  <si>
    <t>comando</t>
  </si>
  <si>
    <t>desta</t>
  </si>
  <si>
    <t>todos</t>
  </si>
  <si>
    <t>incidência</t>
  </si>
  <si>
    <t>covid</t>
  </si>
  <si>
    <t>isto</t>
  </si>
  <si>
    <t>meu</t>
  </si>
  <si>
    <t>final</t>
  </si>
  <si>
    <t>linhas</t>
  </si>
  <si>
    <t>colunas</t>
  </si>
  <si>
    <t>obrigada</t>
  </si>
  <si>
    <t>abraço</t>
  </si>
  <si>
    <t>aulas</t>
  </si>
  <si>
    <t>sua</t>
  </si>
  <si>
    <t>explica</t>
  </si>
  <si>
    <t>melhor</t>
  </si>
  <si>
    <t>quer</t>
  </si>
  <si>
    <t>possui</t>
  </si>
  <si>
    <t>apenas</t>
  </si>
  <si>
    <t>lenguaje</t>
  </si>
  <si>
    <t>saludos</t>
  </si>
  <si>
    <t>compartir</t>
  </si>
  <si>
    <t>alan</t>
  </si>
  <si>
    <t>stuff</t>
  </si>
  <si>
    <t>lalwani</t>
  </si>
  <si>
    <t>uploaded</t>
  </si>
  <si>
    <t>edition</t>
  </si>
  <si>
    <t>pratik</t>
  </si>
  <si>
    <t>hours</t>
  </si>
  <si>
    <t>suggestion</t>
  </si>
  <si>
    <t>discussed</t>
  </si>
  <si>
    <t>feedback</t>
  </si>
  <si>
    <t>received</t>
  </si>
  <si>
    <t>upcoming</t>
  </si>
  <si>
    <t>address</t>
  </si>
  <si>
    <t>brian</t>
  </si>
  <si>
    <t>saturday</t>
  </si>
  <si>
    <t>10</t>
  </si>
  <si>
    <t>approaches</t>
  </si>
  <si>
    <t>hear</t>
  </si>
  <si>
    <t>bro</t>
  </si>
  <si>
    <t>demo</t>
  </si>
  <si>
    <t>cfjg1zgogp0</t>
  </si>
  <si>
    <t>yahoo</t>
  </si>
  <si>
    <t>eric</t>
  </si>
  <si>
    <t>já</t>
  </si>
  <si>
    <t>didática</t>
  </si>
  <si>
    <t>demais</t>
  </si>
  <si>
    <t>tabelas</t>
  </si>
  <si>
    <t>seus</t>
  </si>
  <si>
    <t>tem</t>
  </si>
  <si>
    <t>sympla</t>
  </si>
  <si>
    <t>evento__864452</t>
  </si>
  <si>
    <t>gk69vtpbv7</t>
  </si>
  <si>
    <t>próprio</t>
  </si>
  <si>
    <t>login</t>
  </si>
  <si>
    <t>telas</t>
  </si>
  <si>
    <t>esses</t>
  </si>
  <si>
    <t>puxar</t>
  </si>
  <si>
    <t>ajuda</t>
  </si>
  <si>
    <t>live</t>
  </si>
  <si>
    <t>onde</t>
  </si>
  <si>
    <t>enjoying</t>
  </si>
  <si>
    <t>answer</t>
  </si>
  <si>
    <t>details</t>
  </si>
  <si>
    <t>community</t>
  </si>
  <si>
    <t>powerbi</t>
  </si>
  <si>
    <t>sigue</t>
  </si>
  <si>
    <t>así</t>
  </si>
  <si>
    <t>éxitos</t>
  </si>
  <si>
    <t>mohd</t>
  </si>
  <si>
    <t>speed</t>
  </si>
  <si>
    <t>رائع</t>
  </si>
  <si>
    <t>و</t>
  </si>
  <si>
    <t>filter</t>
  </si>
  <si>
    <t>columns</t>
  </si>
  <si>
    <t>pbix</t>
  </si>
  <si>
    <t>model</t>
  </si>
  <si>
    <t>break</t>
  </si>
  <si>
    <t>watching</t>
  </si>
  <si>
    <t>github</t>
  </si>
  <si>
    <t>commit</t>
  </si>
  <si>
    <t>f9ee1a2502b437b2ee37b1eaad7f7c855733c156</t>
  </si>
  <si>
    <t>blog</t>
  </si>
  <si>
    <t>06</t>
  </si>
  <si>
    <t>reasons</t>
  </si>
  <si>
    <t>optimize</t>
  </si>
  <si>
    <t>eabg872taju</t>
  </si>
  <si>
    <t>9sv2vnybgg4</t>
  </si>
  <si>
    <t>slicer</t>
  </si>
  <si>
    <t>dropdown</t>
  </si>
  <si>
    <t>waiting</t>
  </si>
  <si>
    <t>reduce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</si>
  <si>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</si>
  <si>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</si>
  <si>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</si>
  <si>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</si>
  <si>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</si>
  <si>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</si>
  <si>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</si>
  <si>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</si>
  <si>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</si>
  <si>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</si>
  <si>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</si>
  <si>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</si>
  <si>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</si>
  <si>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</si>
  <si>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</si>
  <si>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</si>
  <si>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</si>
  <si>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</si>
  <si>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</si>
  <si>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</si>
  <si>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</si>
  <si>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</si>
  <si>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</si>
  <si>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</si>
  <si>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</si>
  <si>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</si>
  <si>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</si>
  <si>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</si>
  <si>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</si>
  <si>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</si>
  <si>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</si>
  <si>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</si>
  <si>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</si>
  <si>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</si>
  <si>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</si>
  <si>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</si>
  <si>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</si>
  <si>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</si>
  <si>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</si>
  <si>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</si>
  <si>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</si>
  <si>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</si>
  <si>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</si>
  <si>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</si>
  <si>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</si>
  <si>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</si>
  <si>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</si>
  <si>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</si>
  <si>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</si>
  <si>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</si>
  <si>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</si>
  <si>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</si>
  <si>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</si>
  <si>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</si>
  <si>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</si>
  <si>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</si>
  <si>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</si>
  <si>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</si>
  <si>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</si>
  <si>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</si>
  <si>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</si>
  <si>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</si>
  <si>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URLs In Comment in Entire Graph</t>
  </si>
  <si>
    <t>https://www.learndax.com/power-bi-sample-data-for-beginners-to-download/</t>
  </si>
  <si>
    <t>https://youtu.be/cFJg1ZGoGp0</t>
  </si>
  <si>
    <t>http://gmail.com/</t>
  </si>
  <si>
    <t>https://www.sympla.com.br/evento__864452</t>
  </si>
  <si>
    <t>https://canva.me/gk69VTPBv7</t>
  </si>
  <si>
    <t>https://github.com/DaxStudio/DaxStudio/commit/f9ee1a2502b437b2ee37b1eaad7f7c855733c156</t>
  </si>
  <si>
    <t>https://www.sqlbi.com/blog/alberto/2020/06/20/7-reasons-dax-is-not-easy/</t>
  </si>
  <si>
    <t>https://www.youtube.com/watch?v=eABg872TAJU</t>
  </si>
  <si>
    <t>https://www.youtube.com/watch?v=9SV2VnYbgg4</t>
  </si>
  <si>
    <t>https://www.youtube.com/watch?v=7VeYvnovMy0&amp;amp;t=6m00s</t>
  </si>
  <si>
    <t>Entire Graph Count</t>
  </si>
  <si>
    <t>Top URLs In Comment in G1</t>
  </si>
  <si>
    <t>Top URLs In Comment in G2</t>
  </si>
  <si>
    <t>G1 Count</t>
  </si>
  <si>
    <t>https://community.powerbi.com/</t>
  </si>
  <si>
    <t>https://community.powerbi.com</t>
  </si>
  <si>
    <t>http://www.youtube.com/results?search_query=%23new</t>
  </si>
  <si>
    <t>Top URLs In Comment in G3</t>
  </si>
  <si>
    <t>G2 Count</t>
  </si>
  <si>
    <t>Top URLs In Comment in G4</t>
  </si>
  <si>
    <t>G3 Count</t>
  </si>
  <si>
    <t>https://www.youtube.com/watch?v=hhZ62IlTxYs&amp;amp;t=6m30s</t>
  </si>
  <si>
    <t>Top URLs In Comment in G5</t>
  </si>
  <si>
    <t>G4 Count</t>
  </si>
  <si>
    <t>https://www.youtube.com/watch?v=7VeYvnovMy0&amp;amp;t=9m00s</t>
  </si>
  <si>
    <t>Top URLs In Comment in G6</t>
  </si>
  <si>
    <t>G5 Count</t>
  </si>
  <si>
    <t>http://analysis.link/</t>
  </si>
  <si>
    <t>http://yahoo.com/</t>
  </si>
  <si>
    <t>Top URLs In Comment in G7</t>
  </si>
  <si>
    <t>G6 Count</t>
  </si>
  <si>
    <t>Top URLs In Comment in G8</t>
  </si>
  <si>
    <t>G7 Count</t>
  </si>
  <si>
    <t>Top URLs In Comment in G9</t>
  </si>
  <si>
    <t>G8 Count</t>
  </si>
  <si>
    <t>Top URLs In Comment in G10</t>
  </si>
  <si>
    <t>G9 Count</t>
  </si>
  <si>
    <t>G10 Count</t>
  </si>
  <si>
    <t>Top URLs In Comment</t>
  </si>
  <si>
    <t>https://www.youtube.com/watch?v=9SV2VnYbgg4 https://www.youtube.com/watch?v=eABg872TAJU https://www.sqlbi.com/blog/alberto/2020/06/20/7-reasons-dax-is-not-easy/ https://github.com/DaxStudio/DaxStudio/commit/f9ee1a2502b437b2ee37b1eaad7f7c855733c156 https://community.powerbi.com/ https://community.powerbi.com http://www.youtube.com/results?search_query=%23new</t>
  </si>
  <si>
    <t>https://www.youtube.com/watch?v=7VeYvnovMy0&amp;amp;t=6m00s https://www.youtube.com/watch?v=7VeYvnovMy0&amp;amp;t=9m00s</t>
  </si>
  <si>
    <t>https://youtu.be/cFJg1ZGoGp0 http://gmail.com/ http://analysis.link/ http://yahoo.com/</t>
  </si>
  <si>
    <t>https://canva.me/gk69VTPBv7 https://www.sympla.com.br/evento__864452</t>
  </si>
  <si>
    <t>Top Domains In Comment in Entire Graph</t>
  </si>
  <si>
    <t>learndax.com</t>
  </si>
  <si>
    <t>youtu.be</t>
  </si>
  <si>
    <t>com.br</t>
  </si>
  <si>
    <t>canva.me</t>
  </si>
  <si>
    <t>powerbi.com</t>
  </si>
  <si>
    <t>github.com</t>
  </si>
  <si>
    <t>sqlbi.com</t>
  </si>
  <si>
    <t>analysis.link</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</si>
  <si>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</si>
  <si>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</si>
  <si>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</si>
  <si>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</si>
  <si>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</si>
  <si>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</si>
  <si>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</si>
  <si>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</si>
  <si>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</si>
  <si>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</si>
  <si>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</si>
  <si>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powerbi.com sqlbi.com github.com</t>
  </si>
  <si>
    <t>youtu.be gmail.com analysis.link yahoo.com</t>
  </si>
  <si>
    <t>canva.me com.br</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</si>
  <si>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</si>
  <si>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</si>
  <si>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</si>
  <si>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</si>
  <si>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</si>
  <si>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</si>
  <si>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</si>
  <si>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</si>
  <si>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</si>
  <si>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</si>
  <si>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</si>
  <si>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</si>
  <si>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</si>
  <si>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</si>
  <si>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</si>
  <si>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</si>
  <si>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</si>
  <si>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</si>
  <si>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</si>
  <si>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</si>
  <si>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</si>
  <si>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</si>
  <si>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</si>
  <si>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</si>
  <si>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</si>
  <si>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dax visuals data time alberto daxstudio query marco easy memory</t>
  </si>
  <si>
    <t>power pivot dax videos excel sir download mai learn hota</t>
  </si>
  <si>
    <t>power project series tableau data sir videos dashboard provide download</t>
  </si>
  <si>
    <t>atualização muito obrigado uma também parabéns sim conteúdo professor por</t>
  </si>
  <si>
    <t>file share send gmail source sir ss unitech demo analysis</t>
  </si>
  <si>
    <t>melissa hour jan 2020 30 based 08 hours discussed feedback</t>
  </si>
  <si>
    <t>tu alegra sea utilidad excelente tutorials sigue así éxitos gracias</t>
  </si>
  <si>
    <t>muito obrigado eu os sobre canva pelo mais eric boa</t>
  </si>
  <si>
    <t>gracias lenguaje por el saludos power query</t>
  </si>
  <si>
    <t>erp para dados próprio login telas eu esses puxar ajuda</t>
  </si>
  <si>
    <t>data realtime projects share</t>
  </si>
  <si>
    <t>guys deep</t>
  </si>
  <si>
    <t>recomienda hola para lernen capacitaciones windows posterior menos pantalla 900</t>
  </si>
  <si>
    <t>user table</t>
  </si>
  <si>
    <t>رائع و</t>
  </si>
  <si>
    <t>el gracias por lo</t>
  </si>
  <si>
    <t>dados célula excluir uma para como banco única vazia você</t>
  </si>
  <si>
    <t>Top Word Pairs in Comment in Entire Graph</t>
  </si>
  <si>
    <t>power,pivot</t>
  </si>
  <si>
    <t>power,query</t>
  </si>
  <si>
    <t>muito,obrigado</t>
  </si>
  <si>
    <t>gracias,por</t>
  </si>
  <si>
    <t>jan,2020</t>
  </si>
  <si>
    <t>hota,hai</t>
  </si>
  <si>
    <t>learndax,power</t>
  </si>
  <si>
    <t>power,sample</t>
  </si>
  <si>
    <t>sample,data</t>
  </si>
  <si>
    <t>data,beginners</t>
  </si>
  <si>
    <t>Top Word Pairs in Comment in G1</t>
  </si>
  <si>
    <t>Top Word Pairs in Comment in G2</t>
  </si>
  <si>
    <t>community,powerbi</t>
  </si>
  <si>
    <t>lot,visuals</t>
  </si>
  <si>
    <t>reduce,visuals</t>
  </si>
  <si>
    <t>sqlbi,blog</t>
  </si>
  <si>
    <t>blog,alberto</t>
  </si>
  <si>
    <t>alberto,2020</t>
  </si>
  <si>
    <t>2020,06</t>
  </si>
  <si>
    <t>06,20</t>
  </si>
  <si>
    <t>20,reasons</t>
  </si>
  <si>
    <t>reasons,dax</t>
  </si>
  <si>
    <t>Top Word Pairs in Comment in G3</t>
  </si>
  <si>
    <t>beginners,download</t>
  </si>
  <si>
    <t>learn,dax</t>
  </si>
  <si>
    <t>sir,power</t>
  </si>
  <si>
    <t>Top Word Pairs in Comment in G4</t>
  </si>
  <si>
    <t>knowledge,power</t>
  </si>
  <si>
    <t>Top Word Pairs in Comment in G5</t>
  </si>
  <si>
    <t>horário,da</t>
  </si>
  <si>
    <t>da,atualização</t>
  </si>
  <si>
    <t>muito,bom</t>
  </si>
  <si>
    <t>professor,consigo</t>
  </si>
  <si>
    <t>consigo,também</t>
  </si>
  <si>
    <t>também,drive</t>
  </si>
  <si>
    <t>drive,personal</t>
  </si>
  <si>
    <t>parabéns,pelo</t>
  </si>
  <si>
    <t>pelo,conteúdo</t>
  </si>
  <si>
    <t>Top Word Pairs in Comment in G6</t>
  </si>
  <si>
    <t>ss,unitech</t>
  </si>
  <si>
    <t>analysis,link</t>
  </si>
  <si>
    <t>send,source</t>
  </si>
  <si>
    <t>source,file</t>
  </si>
  <si>
    <t>send,file</t>
  </si>
  <si>
    <t>file,check</t>
  </si>
  <si>
    <t>gmail,gmail</t>
  </si>
  <si>
    <t>Top Word Pairs in Comment in G7</t>
  </si>
  <si>
    <t>08,30</t>
  </si>
  <si>
    <t>based,feedback</t>
  </si>
  <si>
    <t>feedback,received</t>
  </si>
  <si>
    <t>melissa,brian</t>
  </si>
  <si>
    <t>10,jan</t>
  </si>
  <si>
    <t>2020,08</t>
  </si>
  <si>
    <t>30,20</t>
  </si>
  <si>
    <t>20,jan</t>
  </si>
  <si>
    <t>columns,table</t>
  </si>
  <si>
    <t>Top Word Pairs in Comment in G8</t>
  </si>
  <si>
    <t>alegra,sea</t>
  </si>
  <si>
    <t>sea,tu</t>
  </si>
  <si>
    <t>tu,utilidad</t>
  </si>
  <si>
    <t>sigue,así</t>
  </si>
  <si>
    <t>excelente,alegra</t>
  </si>
  <si>
    <t>Top Word Pairs in Comment in G9</t>
  </si>
  <si>
    <t>canva,gk69vtpbv7</t>
  </si>
  <si>
    <t>sympla,evento__864452</t>
  </si>
  <si>
    <t>Top Word Pairs in Comment in G10</t>
  </si>
  <si>
    <t>Top Word Pairs in Comment</t>
  </si>
  <si>
    <t>community,powerbi  lot,visuals  reduce,visuals  sqlbi,blog  blog,alberto  alberto,2020  2020,06  06,20  20,reasons  reasons,dax</t>
  </si>
  <si>
    <t>power,pivot  power,query  learndax,power  power,sample  sample,data  data,beginners  beginners,download  hota,hai  learn,dax  sir,power</t>
  </si>
  <si>
    <t>muito,obrigado  horário,da  da,atualização  muito,bom  professor,consigo  consigo,também  também,drive  drive,personal  parabéns,pelo  pelo,conteúdo</t>
  </si>
  <si>
    <t>ss,unitech  analysis,link  send,source  source,file  send,file  file,check  gmail,gmail</t>
  </si>
  <si>
    <t>jan,2020  08,30  based,feedback  feedback,received  melissa,brian  10,jan  2020,08  30,20  20,jan  columns,table</t>
  </si>
  <si>
    <t>alegra,sea  sea,tu  tu,utilidad  sigue,así  excelente,alegra</t>
  </si>
  <si>
    <t>muito,obrigado  canva,gk69vtpbv7  sympla,evento__864452</t>
  </si>
  <si>
    <t>gracias,por  power,query</t>
  </si>
  <si>
    <t>esses,dados</t>
  </si>
  <si>
    <t>realtime,projects  projects,data</t>
  </si>
  <si>
    <t>lernen,capacitaciones</t>
  </si>
  <si>
    <t>banco,dados  única,célula  uma,única  célula,vazia  para,excluir  explica,melhor  melhor,como  como,você</t>
  </si>
  <si>
    <t>URLs In Comment by Count</t>
  </si>
  <si>
    <t>https://www.sqlbi.com/blog/alberto/2020/06/20/7-reasons-dax-is-not-easy/ https://www.youtube.com/watch?v=eABg872TAJU https://www.youtube.com/watch?v=9SV2VnYbgg4 https://community.powerbi.com/ https://community.powerbi.com</t>
  </si>
  <si>
    <t>https://www.sympla.com.br/evento__864452 https://canva.me/gk69VTPBv7</t>
  </si>
  <si>
    <t>https://youtu.be/cFJg1ZGoGp0 http://analysis.link/</t>
  </si>
  <si>
    <t>URLs In Comment by Salience</t>
  </si>
  <si>
    <t>Domains In Comment by Count</t>
  </si>
  <si>
    <t>youtube.com powerbi.com sqlbi.com</t>
  </si>
  <si>
    <t>com.br canva.me</t>
  </si>
  <si>
    <t>youtu.be analysis.link</t>
  </si>
  <si>
    <t>Domains In Comment by Salience</t>
  </si>
  <si>
    <t>Hashtags In Comment by Count</t>
  </si>
  <si>
    <t>Hashtags In Comment by Salience</t>
  </si>
  <si>
    <t>Top Words in Comment by Count</t>
  </si>
  <si>
    <t>visuals reduce curbal dax fusion advantage typically lot visual waiting</t>
  </si>
  <si>
    <t>time majority visuals spent bucket tips decrease edit</t>
  </si>
  <si>
    <t>change slicer dropdown list</t>
  </si>
  <si>
    <t>dax visuals alberto memory marco answer details community powerbi data</t>
  </si>
  <si>
    <t>adam</t>
  </si>
  <si>
    <t>storage engine query 266 approx 60s derive optimize dax improve</t>
  </si>
  <si>
    <t>dax simple easy</t>
  </si>
  <si>
    <t>daxstudio github commit f9ee1a2502b437b2ee37b1eaad7f7c855733c156 updated version dax studio</t>
  </si>
  <si>
    <t>start stopped bit dax optimization</t>
  </si>
  <si>
    <t>surprised guys popular love optimisation</t>
  </si>
  <si>
    <t>created report power data coming flat files pbix consume 100</t>
  </si>
  <si>
    <t>vishnu stay tune practice ideas shaik akram</t>
  </si>
  <si>
    <t>columns table return irrespective filter applied</t>
  </si>
  <si>
    <t>melissa enterprise dna videos insights isinscope lucky understand true meaning</t>
  </si>
  <si>
    <t>و سأبحث عن التتمة أتقاسمها معكم اظن انه مجاني يكفي</t>
  </si>
  <si>
    <t>شيء رائع جدا الله يجزيكم بخير اتمنا تنزيل تتمة التكوين</t>
  </si>
  <si>
    <t>mohd tutorials muzammil suggestion add list hope enjoying cheers glad</t>
  </si>
  <si>
    <t>speed sirve para logistica transportistas donde van optimizar cargas destinos</t>
  </si>
  <si>
    <t>nestor adrianzen kindly rls detailed basic dyanamic security levels tutorials</t>
  </si>
  <si>
    <t>updates</t>
  </si>
  <si>
    <t>job bro</t>
  </si>
  <si>
    <t>alegra sea tu utilidad excelente también te invito registrarte aún</t>
  </si>
  <si>
    <t>yo en finanzas ocurre cómo usarlo pero interesante saber existe</t>
  </si>
  <si>
    <t>gracias por compartir sigue así éxitos</t>
  </si>
  <si>
    <t>jean visto muchos vídeos power déjame decirte tu aporte gran</t>
  </si>
  <si>
    <t>search_query 23new #new</t>
  </si>
  <si>
    <t>data guy cube experts import power connect idea access datas</t>
  </si>
  <si>
    <t>deep plan diving lot topics setup initially feel comfortable throwing</t>
  </si>
  <si>
    <t>presentation guys</t>
  </si>
  <si>
    <t>content guys</t>
  </si>
  <si>
    <t>guys unique approaches items manually cool awesome tips practices efficient</t>
  </si>
  <si>
    <t>onde recebe link por live dele</t>
  </si>
  <si>
    <t>último live power não recebi link muito obrigada pelos vídeos</t>
  </si>
  <si>
    <t>próprio mostra quais bancos dados ele compatível sql oracle só</t>
  </si>
  <si>
    <t>para erp telas eu esses dados minha empresa possui próprio</t>
  </si>
  <si>
    <t>obrigado canva sympla evento__864452 pelo eu gk69vtpbv7 compartilhe os colegas</t>
  </si>
  <si>
    <t>boa tarde isso otimiza visualização power poderia fazer uma aula</t>
  </si>
  <si>
    <t>muito bom eric</t>
  </si>
  <si>
    <t>ótimas dicas</t>
  </si>
  <si>
    <t>os vídeos sobre você mais meu brother já todos power</t>
  </si>
  <si>
    <t>muito eu eric boa noite das melhores aulas já direto</t>
  </si>
  <si>
    <t>send file share analysis link cfjg1zgogp0 check bharat appreciation uploaded</t>
  </si>
  <si>
    <t>gmail sir provide source data kumbarss2007</t>
  </si>
  <si>
    <t>gmail ss unitech sir send source file srinivdatavisu</t>
  </si>
  <si>
    <t>yahoo sir share demo file ss unitech email shobikhan123</t>
  </si>
  <si>
    <t>tutorials project demo customer service finance</t>
  </si>
  <si>
    <t>videos recorded 140 link description sukhdev editing team cleaning voice</t>
  </si>
  <si>
    <t>daily videos</t>
  </si>
  <si>
    <t>support dude heart</t>
  </si>
  <si>
    <t>sharing wonderful tutorial</t>
  </si>
  <si>
    <t>based melissa discussed feedback received upcoming question suggestion providing comparing</t>
  </si>
  <si>
    <t>lot melissa brian videos</t>
  </si>
  <si>
    <t>hour jan 2020 30 08 10 20 00 melissa brian</t>
  </si>
  <si>
    <t>create hours excluding weekends holidays</t>
  </si>
  <si>
    <t>pratik bhai</t>
  </si>
  <si>
    <t>nice bhaiii 1st comment pratik sardar</t>
  </si>
  <si>
    <t>paid power videos difference additional response pavan covered max edition</t>
  </si>
  <si>
    <t>pawan sharing tutorial request data analysis software</t>
  </si>
  <si>
    <t>power pivot sir file pls option pavan lalwani excel plss</t>
  </si>
  <si>
    <t>paula darryl rob tamil</t>
  </si>
  <si>
    <t>fantastic stuff mate</t>
  </si>
  <si>
    <t>helpful tips image button tutorial alan</t>
  </si>
  <si>
    <t>brilliant nice alan</t>
  </si>
  <si>
    <t>gracias dije dax verdad correcto cierto por aclaración di cuenta</t>
  </si>
  <si>
    <t>excelente sorprender el poder power query saber siempre ha estado</t>
  </si>
  <si>
    <t>muy bueno gracias por compartir mis respetos</t>
  </si>
  <si>
    <t>hola en power query lenguaje saludos</t>
  </si>
  <si>
    <t>tal master lenguaje</t>
  </si>
  <si>
    <t>explica melhor como você fazer essa quer excluir apenas célula</t>
  </si>
  <si>
    <t>dados célula uma para excluir única banco como vazia caso</t>
  </si>
  <si>
    <t>realtime projects data database sql server oracle</t>
  </si>
  <si>
    <t>share practice sheet</t>
  </si>
  <si>
    <t>pls share raw data</t>
  </si>
  <si>
    <t>pettaka technologies excel csv files sir realtime projects data</t>
  </si>
  <si>
    <t>power download ha learndax sample data beginners dax excel pivot</t>
  </si>
  <si>
    <t>power mai dax hai learn hota pivot query dono bhai</t>
  </si>
  <si>
    <t>looked breaking bad episodes download power pc source application</t>
  </si>
  <si>
    <t>power tools skills beginner online resources</t>
  </si>
  <si>
    <t>project power provide tableau people series concept wise products companies</t>
  </si>
  <si>
    <t>sir knowledge power understandable</t>
  </si>
  <si>
    <t>30 videos depends daily hhz62iltxys 6m30s ist series earlier projects</t>
  </si>
  <si>
    <t>timing project</t>
  </si>
  <si>
    <t>glad person sir excited question python analyse data power</t>
  </si>
  <si>
    <t>sir videos deep learning</t>
  </si>
  <si>
    <t>project excellent hope lot exposure difference aspects challenges data analytics</t>
  </si>
  <si>
    <t>cvs files process love codebasics</t>
  </si>
  <si>
    <t>confusion qus power sas dashboard</t>
  </si>
  <si>
    <t>add day language power month row blank questions suppose jan</t>
  </si>
  <si>
    <t>gracias por tus comentarios sebastián javier</t>
  </si>
  <si>
    <t>el lo muchas gracias por curso gratuito compartiré en mis</t>
  </si>
  <si>
    <t>table joining user created report names</t>
  </si>
  <si>
    <t>doesnot hides user exports pdf hide based rls managers detailed</t>
  </si>
  <si>
    <t>lernen capacitaciones cierto necesita correo trabajo forzosamente</t>
  </si>
  <si>
    <t>hola cuáles son los requerimientos para poder instalarlo lernen capacitaciones</t>
  </si>
  <si>
    <t>recomienda windows posterior menos pantalla 900 resoluciones hola silvia server</t>
  </si>
  <si>
    <t>obrigado olá sim muito fernanda pode enviar novo mail consegue</t>
  </si>
  <si>
    <t>parabéns pelo conteúdo tão rico</t>
  </si>
  <si>
    <t>excelente professor pela lógica funcionaria excel também colocando minhas pastas</t>
  </si>
  <si>
    <t>atualização uma por eu porém para 7veyvnovmy0 00 parabéns pelo</t>
  </si>
  <si>
    <t>excelente mestre obrigado por compartilhar</t>
  </si>
  <si>
    <t>professor consigo também drive personal muito bom sim como seria</t>
  </si>
  <si>
    <t>seu não gerson conteúdo muito bom mas você precisa melhorar</t>
  </si>
  <si>
    <t>muito boa essa dica gerson parabéns</t>
  </si>
  <si>
    <t>explanation helpful real time environment explained simple videos</t>
  </si>
  <si>
    <t>days current month 12 13 requirement compare sales period tomorrow</t>
  </si>
  <si>
    <t>Top Words in Comment by Salience</t>
  </si>
  <si>
    <t>reduce curbal dax fusion advantage typically lot visual waiting complete</t>
  </si>
  <si>
    <t>alberto memory visuals dax community powerbi data model day sqlbi</t>
  </si>
  <si>
    <t>سأبحث عن التتمة أتقاسمها معكم اظن انه مجاني يكفي تنزيله</t>
  </si>
  <si>
    <t>muzammil suggestion add list hope enjoying cheers glad tutorial helpful</t>
  </si>
  <si>
    <t>también te invito registrarte aún lo hecho éxitos alegra sea</t>
  </si>
  <si>
    <t>canva sympla evento__864452 eu gk69vtpbv7 pelo obrigado compartilhe os colegas</t>
  </si>
  <si>
    <t>analysis link cfjg1zgogp0 send file share check bharat appreciation uploaded</t>
  </si>
  <si>
    <t>gmail sir send source file srinivdatavisu ss unitech</t>
  </si>
  <si>
    <t>based suggestion providing comparing dax power query solutions address approaches</t>
  </si>
  <si>
    <t>difference additional response pavan covered max edition 140 purchase paid</t>
  </si>
  <si>
    <t>power pivot pls file option pavan lalwani excel sir plss</t>
  </si>
  <si>
    <t>caso os então há comando desta incidência covid isto fábrica</t>
  </si>
  <si>
    <t>download learndax sample data beginners dax excel ha pivot power</t>
  </si>
  <si>
    <t>power dono hota mai hai pivot query bhai ek bat</t>
  </si>
  <si>
    <t>tableau project power provide people series concept wise products companies</t>
  </si>
  <si>
    <t>day language month row blank questions suppose jan 2020 changing</t>
  </si>
  <si>
    <t>muito bom sim como seria professor consigo também drive personal</t>
  </si>
  <si>
    <t>Top Word Pairs in Comment by Count</t>
  </si>
  <si>
    <t>reduce,visuals  visuals,curbal  curbal,dax  dax,fusion  fusion,advantage  typically,lot  lot,visuals  visuals,visual  visual,waiting  waiting,complete</t>
  </si>
  <si>
    <t>majority,time  time,visuals  visuals,spent  spent,bucket  bucket,tips  tips,decrease  decrease,time  time,edit</t>
  </si>
  <si>
    <t>change,slicer  slicer,dropdown  dropdown,list</t>
  </si>
  <si>
    <t>community,powerbi  data,model  sqlbi,blog  blog,alberto  alberto,2020  2020,06  06,20  20,reasons  reasons,dax  dax,easy</t>
  </si>
  <si>
    <t>storage,engine  engine,query  query,266  266,approx  approx,60s  60s,derive  derive,optimize  optimize,dax  dax,improve  improve,performance</t>
  </si>
  <si>
    <t>dax,simple  simple,easy</t>
  </si>
  <si>
    <t>github,daxstudio  daxstudio,daxstudio  daxstudio,commit  commit,f9ee1a2502b437b2ee37b1eaad7f7c855733c156  updated,version  version,dax  dax,studio  studio,github  f9ee1a2502b437b2ee37b1eaad7f7c855733c156,github</t>
  </si>
  <si>
    <t>start,stopped  stopped,bit  bit,dax  dax,optimization</t>
  </si>
  <si>
    <t>surprised,guys  guys,popular  popular,love  love,optimisation</t>
  </si>
  <si>
    <t>created,report  report,power  power,data  data,coming  coming,flat  flat,files  files,pbix  pbix,consume  consume,100  100,cpu</t>
  </si>
  <si>
    <t>stay,tune  practice,ideas  shaik,akram</t>
  </si>
  <si>
    <t>columns,table  return,columns  table,irrespective  irrespective,filter  filter,applied  applied,columns</t>
  </si>
  <si>
    <t>melissa,enterprise  enterprise,dna  dna,videos  videos,insights  insights,isinscope  isinscope,lucky  lucky,understand  understand,true  true,meaning  meaning,filter</t>
  </si>
  <si>
    <t>سأبحث,عن  عن,التتمة  التتمة,و  و,أتقاسمها  أتقاسمها,معكم  اظن,انه  انه,مجاني  مجاني,يكفي  يكفي,تنزيله  تنزيله,و</t>
  </si>
  <si>
    <t>برنامج,رائع  رائع,ماهو  ماهو,سعره</t>
  </si>
  <si>
    <t>شيء,رائع  رائع,جدا  جدا,الله  الله,يجزيكم  يجزيكم,بخير  بخير,اتمنا  اتمنا,تنزيل  تنزيل,تتمة  تتمة,التكوين  التكوين,فانا</t>
  </si>
  <si>
    <t>mohd,muzammil  muzammil,suggestion  suggestion,add  add,list  list,hope  hope,enjoying  enjoying,tutorials  tutorials,cheers  glad,tutorial  tutorial,helpful</t>
  </si>
  <si>
    <t>sirve,para  para,logistica  logistica,transportistas  transportistas,donde  donde,van  van,optimizar  optimizar,cargas  cargas,destinos  destinos,gracias  spanish,speed</t>
  </si>
  <si>
    <t>nestor,adrianzen  adrianzen,kindly  kindly,rls  rls,detailed  detailed,basic  basic,dyanamic  dyanamic,security  security,levels  levels,tutorials  tutorials,respond</t>
  </si>
  <si>
    <t>job,bro</t>
  </si>
  <si>
    <t>alegra,sea  sea,tu  tu,utilidad  excelente,alegra  utilidad,también  también,te  te,invito  invito,registrarte  registrarte,aún  aún,lo</t>
  </si>
  <si>
    <t>yo,en  en,finanzas  finanzas,ocurre  ocurre,cómo  cómo,usarlo  usarlo,pero  pero,interesante  interesante,saber  saber,existe</t>
  </si>
  <si>
    <t>gracias,por  por,compartir  compartir,sigue  sigue,así  así,éxitos</t>
  </si>
  <si>
    <t>jean,visto  visto,muchos  muchos,vídeos  vídeos,power  power,déjame  déjame,decirte  decirte,tu  tu,aporte  aporte,gran  gran,nivel</t>
  </si>
  <si>
    <t>search_query,23new  23new,#new</t>
  </si>
  <si>
    <t>guy,cube  experts,import  import,data  data,power  power,connect  connect,data  data,idea  idea,access  access,datas</t>
  </si>
  <si>
    <t>plan,diving  diving,deep  deep,lot  lot,topics  topics,setup  setup,initially  initially,feel  feel,comfortable  comfortable,throwing  throwing,deep</t>
  </si>
  <si>
    <t>presentation,guys</t>
  </si>
  <si>
    <t>content,guys</t>
  </si>
  <si>
    <t>guys,unique  unique,approaches  approaches,items  items,manually  manually,cool  cool,awesome  awesome,tips  tips,practices  practices,guys  guys,efficient</t>
  </si>
  <si>
    <t>recebe,link  link,por  por,onde  onde,onde  onde,live  live,dele</t>
  </si>
  <si>
    <t>último,live  live,power  power,não  não,recebi  recebi,link  link,muito  muito,obrigada  obrigada,pelos  pelos,vídeos  vídeos,são</t>
  </si>
  <si>
    <t>próprio,mostra  mostra,quais  quais,bancos  bancos,dados  dados,ele  ele,compatível  compatível,sql  sql,oracle  oracle,só  só,fazer</t>
  </si>
  <si>
    <t>esses,dados  minha,empresa  empresa,possui  possui,erp  erp,próprio  próprio,roda  roda,mas  mas,tem  tem,login  login,senha</t>
  </si>
  <si>
    <t>sympla,evento__864452  canva,gk69vtpbv7  obrigado,compartilhe  compartilhe,os  os,colegas  evento__864452,sympla  obrigado,pelo  pelo,comentário  comentário,tamo  tamo,junto</t>
  </si>
  <si>
    <t>boa,tarde  tarde,isso  isso,otimiza  otimiza,visualização  visualização,power  power,poderia  poderia,fazer  fazer,uma  uma,aula  aula,boas</t>
  </si>
  <si>
    <t>muito,bom  bom,eric</t>
  </si>
  <si>
    <t>ótimas,dicas</t>
  </si>
  <si>
    <t>meu,brother  brother,já  já,todos  todos,os  os,vídeos  vídeos,sobre  sobre,power  power,da  da,internet  internet,você</t>
  </si>
  <si>
    <t>eric,boa  boa,noite  noite,das  das,melhores  melhores,aulas  aulas,eu  eu,já  já,direto  direto,ponto  ponto,gosto</t>
  </si>
  <si>
    <t>analysis,link  send,file  file,check  bharat,appreciation  appreciation,uploaded  uploaded,gdp  gdp,growth  growth,analysis  link,analysis  link,cfjg1zgogp0</t>
  </si>
  <si>
    <t>sir,provide  provide,source  source,data  data,kumbarss2007  kumbarss2007,gmail  gmail,gmail</t>
  </si>
  <si>
    <t>ss,unitech  sir,send  send,source  source,file  file,srinivdatavisu  srinivdatavisu,gmail  gmail,gmail</t>
  </si>
  <si>
    <t>sir,share  share,demo  demo,file  ss,unitech  unitech,email  email,shobikhan123  shobikhan123,yahoo  yahoo,yahoo</t>
  </si>
  <si>
    <t>tutorials,project  project,demo  demo,customer  customer,service  service,finance</t>
  </si>
  <si>
    <t>link,description  sukhdev,videos  videos,recorded  recorded,editing  editing,team  team,cleaning  cleaning,voice  voice,background  background,videos  videos,uploading</t>
  </si>
  <si>
    <t>daily,videos</t>
  </si>
  <si>
    <t>support,dude</t>
  </si>
  <si>
    <t>sharing,wonderful  wonderful,tutorial</t>
  </si>
  <si>
    <t>based,feedback  feedback,received  suggestion,melissa  melissa,discussed  discussed,based  received,upcoming  upcoming,providing  providing,comparing  comparing,dax  dax,power</t>
  </si>
  <si>
    <t>lot,melissa  melissa,brian  brian,videos</t>
  </si>
  <si>
    <t>jan,2020  08,30  10,jan  2020,08  30,20  20,jan  melissa,brian  brian,extend  extend,calculate  calculate,hour</t>
  </si>
  <si>
    <t>create,hours  hours,excluding  excluding,weekends  weekends,holidays</t>
  </si>
  <si>
    <t>pratik,bhai</t>
  </si>
  <si>
    <t>nice,bhaiii  bhaiii,1st  1st,comment  comment,pratik  pratik,sardar</t>
  </si>
  <si>
    <t>difference,paid  paid,power  power,videos  videos,additional  additional,paid  response,pavan  pavan,covered  covered,max  max,power  power,edition</t>
  </si>
  <si>
    <t>pawan,sharing  sharing,tutorial  tutorial,request  request,data  data,analysis  analysis,software</t>
  </si>
  <si>
    <t>power,pivot  file,pls  sir,power  pavan,lalwani  pivot,power  sir,file  file,plss  power,mai  mai,power  pivot,ka</t>
  </si>
  <si>
    <t>fantastic,stuff  stuff,mate</t>
  </si>
  <si>
    <t>helpful,tips  tips,image  image,button  button,tutorial  tutorial,alan</t>
  </si>
  <si>
    <t>brilliant,nice  nice,alan</t>
  </si>
  <si>
    <t>dije,dax  dax,verdad  cierto,gracias  gracias,por  por,aclaración  aclaración,di  di,cuenta  cuenta,hasta  hasta,el  el,final</t>
  </si>
  <si>
    <t>excelente,sorprender  sorprender,el  el,poder  poder,power  power,query  query,saber  saber,siempre  siempre,ha  ha,estado  estado,ahí</t>
  </si>
  <si>
    <t>muy,bueno  bueno,gracias  gracias,por  por,compartir  compartir,mis  mis,respetos</t>
  </si>
  <si>
    <t>hola,en  en,power  power,query  query,lenguaje  lenguaje,saludos</t>
  </si>
  <si>
    <t>tal,master  master,lenguaje</t>
  </si>
  <si>
    <t>explica,melhor  melhor,como  como,você  olá,maria  maria,regiane  regiane,muito  muito,obrigado  obrigado,por  por,estar  estar,assistindo</t>
  </si>
  <si>
    <t>banco,dados  única,célula  uma,única  para,excluir  célula,vazia  fábrica,gênios  gênios,caso  caso,banco  dados,extenso  extenso,será</t>
  </si>
  <si>
    <t>realtime,projects  projects,data  data,database  database,sql  sql,server  server,oracle</t>
  </si>
  <si>
    <t>share,practice  practice,sheet</t>
  </si>
  <si>
    <t>pls,share  share,raw  raw,data</t>
  </si>
  <si>
    <t>pettaka,technologies  technologies,excel  excel,csv  csv,files  sir,realtime  realtime,projects  projects,data</t>
  </si>
  <si>
    <t>learndax,power  power,sample  sample,data  data,beginners  beginners,download  power,pivot  download,learndax  topic,complete  complete,current  current,series</t>
  </si>
  <si>
    <t>learn,dax  hota,hai  power,pivot  power,query  dono,mai  bhai,ek  ek,bat  bat,batado  batado,dax  dax,function</t>
  </si>
  <si>
    <t>looked,breaking  breaking,bad  bad,episodes  download,power  power,pc  pc,source  source,application</t>
  </si>
  <si>
    <t>power,tools  tools,skills  skills,beginner  beginner,online  online,resources</t>
  </si>
  <si>
    <t>concept,wise  wise,products  products,companies  provide,data  data,resources  resources,project  tableau,people  people,requested  requested,build  build,dashboard</t>
  </si>
  <si>
    <t>sir,knowledge  knowledge,power  power,understandable</t>
  </si>
  <si>
    <t>depends,daily  daily,hhz62iltxys  hhz62iltxys,6m30s  6m30s,30  30,30  30,ist  ist,series  series,earlier  earlier,projects  projects,videos</t>
  </si>
  <si>
    <t>timing,project</t>
  </si>
  <si>
    <t>glad,person  person,sir  sir,excited  excited,question  question,python  python,analyse  analyse,data  data,power</t>
  </si>
  <si>
    <t>sir,videos  videos,deep  deep,learning</t>
  </si>
  <si>
    <t>excellent,project  project,hope  hope,lot  lot,exposure  exposure,difference  difference,aspects  aspects,challenges  challenges,data  data,analytics  analytics,project</t>
  </si>
  <si>
    <t>cvs,files  files,process  process,love</t>
  </si>
  <si>
    <t>confusion,qus  qus,power  power,sas  sas,dashboard</t>
  </si>
  <si>
    <t>add,day  day,month  month,row  row,blank  blank,questions  questions,suppose  suppose,jan  jan,2020  2020,day  day,changing</t>
  </si>
  <si>
    <t>gracias,por  por,tus  tus,comentarios  comentarios,sebastián  sebastián,javier</t>
  </si>
  <si>
    <t>muchas,gracias  gracias,por  por,el  el,curso  curso,gratuito  gratuito,lo  lo,compartiré  compartiré,en  en,mis  mis,redes</t>
  </si>
  <si>
    <t>joining,user  user,table  table,table  table,created  created,report  report,names</t>
  </si>
  <si>
    <t>doesnot,hides  hides,user  user,exports  exports,pdf  pdf,hide  hide,based  based,rls  rls,managers  managers,detailed  detailed,emp</t>
  </si>
  <si>
    <t>lernen,capacitaciones  capacitaciones,cierto  cierto,necesita  necesita,correo  correo,trabajo  trabajo,forzosamente</t>
  </si>
  <si>
    <t>hola,cuáles  cuáles,son  son,los  los,requerimientos  requerimientos,para  para,poder  poder,instalarlo  lernen,capacitaciones  capacitaciones,muchas  muchas,gracias</t>
  </si>
  <si>
    <t>hola,silvia  silvia,windows  windows,windows  windows,server  server,2008  2008,r2  r2,posterior  posterior,internet  internet,explorer  explorer,posterior</t>
  </si>
  <si>
    <t>muito,obrigado  olá,fernanda  fernanda,pode  pode,enviar  enviar,novo  novo,mail  olá,consegue  consegue,sim  sim,vou  vou,gravar</t>
  </si>
  <si>
    <t>parabéns,pelo  pelo,conteúdo  conteúdo,tão  tão,rico</t>
  </si>
  <si>
    <t>excelente,professor  professor,pela  pela,lógica  lógica,funcionaria  funcionaria,excel  excel,também  também,colocando  colocando,minhas  minhas,pastas  pastas,nuvem</t>
  </si>
  <si>
    <t>parabéns,pelo  pelo,conteúdo  conteúdo,ajude  ajude,uma  uma,dúvida  dúvida,por  por,favor  favor,eu  eu,uso  uso,atualização</t>
  </si>
  <si>
    <t>excelente,mestre  mestre,obrigado  obrigado,por  por,compartilhar</t>
  </si>
  <si>
    <t>professor,consigo  consigo,também  também,drive  drive,personal  muito,bom  bom,professor  personal,sim  sim,como  como,seria</t>
  </si>
  <si>
    <t>gerson,seu  seu,conteúdo  conteúdo,muito  muito,bom  bom,mas  mas,você  você,precisa  precisa,melhorar  melhorar,seu  seu,suporte</t>
  </si>
  <si>
    <t>muito,boa  boa,essa  essa,dica  dica,gerson  gerson,parabéns</t>
  </si>
  <si>
    <t>explanation,helpful  helpful,real  real,time  time,environment  explained,simple  simple,videos</t>
  </si>
  <si>
    <t>month,12  12,days  requirement,compare  compare,sales  sales,days  days,current  current,month  days,period  period,month  days,tomorrow</t>
  </si>
  <si>
    <t>Top Word Pairs in Comment by Salience</t>
  </si>
  <si>
    <t>excelente,alegra  utilidad,también  también,te  te,invito  invito,registrarte  registrarte,aún  aún,lo  lo,hecho  hecho,éxitos  alegra,sea</t>
  </si>
  <si>
    <t>sir,send  send,source  source,file  file,srinivdatavisu  srinivdatavisu,gmail  gmail,gmail  ss,unitech</t>
  </si>
  <si>
    <t>suggestion,melissa  melissa,discussed  discussed,based  received,upcoming  upcoming,providing  providing,comparing  comparing,dax  dax,power  power,query  query,based</t>
  </si>
  <si>
    <t>fábrica,gênios  gênios,caso  caso,banco  dados,extenso  extenso,será  será,necessário  necessário,transformar  transformar,os  os,dados  dados,para</t>
  </si>
  <si>
    <t>dono,mai  hota,hai  power,pivot  power,query  bhai,ek  ek,bat  bat,batado  batado,dax  dax,function  function,power</t>
  </si>
  <si>
    <t>muito,bom  bom,professor  personal,sim  sim,como  como,seria  professor,consigo  consigo,também  também,drive  drive,personal</t>
  </si>
  <si>
    <t>Count of Publishet At</t>
  </si>
  <si>
    <t>Row Labels</t>
  </si>
  <si>
    <t>Grand Total</t>
  </si>
  <si>
    <t>Jun</t>
  </si>
  <si>
    <t>18-Jun</t>
  </si>
  <si>
    <t>19-Jun</t>
  </si>
  <si>
    <t>20-Jun</t>
  </si>
  <si>
    <t>21-Jun</t>
  </si>
  <si>
    <t>22-Jun</t>
  </si>
  <si>
    <t>23-Jun</t>
  </si>
  <si>
    <t>24-Jun</t>
  </si>
  <si>
    <t>Red</t>
  </si>
  <si>
    <t>128, 128, 128</t>
  </si>
  <si>
    <t>G2: dax visuals data time alberto daxstudio query marco easy memory</t>
  </si>
  <si>
    <t>G3: power pivot dax videos excel sir download mai learn hota</t>
  </si>
  <si>
    <t>G4: power project series tableau data sir videos dashboard provide download</t>
  </si>
  <si>
    <t>G5: atualização muito obrigado uma também parabéns sim conteúdo professor por</t>
  </si>
  <si>
    <t>G6: file share send gmail source sir ss unitech demo analysis</t>
  </si>
  <si>
    <t>G7: melissa hour jan 2020 30 based 08 hours discussed feedback</t>
  </si>
  <si>
    <t>G8: tu alegra sea utilidad excelente tutorials sigue así éxitos gracias</t>
  </si>
  <si>
    <t>G9: muito obrigado eu os sobre canva pelo mais eric boa</t>
  </si>
  <si>
    <t>G10: gracias lenguaje por el saludos power query</t>
  </si>
  <si>
    <t>G11: alan</t>
  </si>
  <si>
    <t>G12: erp para dados próprio login telas eu esses puxar ajuda</t>
  </si>
  <si>
    <t>G13: data realtime projects share</t>
  </si>
  <si>
    <t>G15: guys deep</t>
  </si>
  <si>
    <t>G17: recomienda hola para lernen capacitaciones windows posterior menos pantalla 900</t>
  </si>
  <si>
    <t>G18: user table</t>
  </si>
  <si>
    <t>G19: رائع و</t>
  </si>
  <si>
    <t>G20: el gracias por lo</t>
  </si>
  <si>
    <t>G21: dados célula excluir uma para como banco única vazia você</t>
  </si>
  <si>
    <t>G22: pratik</t>
  </si>
  <si>
    <t>Edge Weight▓1▓2▓0▓True▓Gray▓Red▓▓Edge Weight▓1▓2▓0▓3▓10▓False▓Edge Weight▓1▓2▓0▓50▓20▓False▓▓0▓0▓0▓True▓Black▓Black▓▓In-Degree▓0▓2▓0▓200▓1000▓False▓▓0▓0▓0▓0▓0▓False▓▓0▓0▓0▓0▓0▓False▓▓0▓0▓0▓0▓0▓False</t>
  </si>
  <si>
    <t>GraphSource░YouTubeUser▓GraphTerm░"Power BI"▓ImportDescription░The graph represents the network of YouTube videos whose title, keywords, description, categories, or author's username contain ""Power BI"".  The network was obtained from YouTube on Wednesday, 24 June 2020 at 11:08 UTC.
The network was limited to 100 videos.
There is an edge for each user who comented an a video.  There is an edge for each user who replied to a comment.▓ImportSuggestedTitle░YouTube Users "Power BI"▓ImportSuggestedFileNameNoExtension░2020-06-24 11-08-15 NodeXL YouTube Users "Power BI"▓GroupingDescription░The graph's vertices were grouped by cluster using the Clauset-Newman-Moore cluster algorithm.▓LayoutAlgorithm░The graph was laid out using the Harel-Koren Fast Multiscale layout algorithm.▓GraphDirectedness░The graph is directed.</t>
  </si>
  <si>
    <t>YouTubeUser</t>
  </si>
  <si>
    <t>"Power BI"</t>
  </si>
  <si>
    <t>The graph represents the network of YouTube videos whose title, keywords, description, categories, or author's username contain ""Power BI"".  The network was obtained from YouTube on Wednesday, 24 June 2020 at 11:08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</si>
  <si>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</si>
  <si>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</si>
  <si>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</si>
  <si>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</si>
  <si>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t>
  </si>
  <si>
    <t>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t>
  </si>
  <si>
    <t>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t>
  </si>
  <si>
    <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t>
  </si>
  <si>
    <t xml:space="preserve">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t>
  </si>
  <si>
    <t>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t>
  </si>
  <si>
    <t xml:space="preserve">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t>
  </si>
  <si>
    <t>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t>
  </si>
  <si>
    <t>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t>
  </si>
  <si>
    <t xml:space="preserve">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t>
  </si>
  <si>
    <t>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t>
  </si>
  <si>
    <t>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t>
  </si>
  <si>
    <t>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t>
  </si>
  <si>
    <t xml:space="preserve">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t>
  </si>
  <si>
    <t xml:space="preserve">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&lt;value&gt;8&lt;/value&gt;
      &lt;/setting&gt;
      &lt;setting name="AutoSelect" serializeAs="String"&gt;
        &lt;value&gt;True&lt;/value&gt;
      &lt;/setting&gt;
      &lt;setting name="LabelUserSettings" serializeAs="String"&gt;
        &lt;value&gt;Microsoft Sans Serif, 27.75pt White BottomCenter 30 2147483647 Black True 410 Black 86 TopLeft Microsoft Sans Serif, 48pt Microsoft Sans Serif, 9pt&lt;/value&gt;
      &lt;/setting&gt;
      &lt;setting name="EdgeAlpha" serializeAs="String"&gt;
        &lt;value&gt;100&lt;/value&gt;
      &lt;/setting&gt;
      &lt;setting name="SelectedVertexColor" serializeAs="String"&gt;
        &lt;value&gt;Re</t>
  </si>
  <si>
    <t>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</si>
  <si>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Top 10 Vertices, Ranked by Betweenness Centrality</t>
  </si>
  <si>
    <t>https://nodexlgraphgallery.org/Pages/Graph.aspx?graphID=229823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</si>
</sst>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660805"/>
        <c:axId val="57402926"/>
      </c:barChart>
      <c:catAx>
        <c:axId val="43660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02926"/>
        <c:crosses val="autoZero"/>
        <c:auto val="1"/>
        <c:lblOffset val="100"/>
        <c:noMultiLvlLbl val="0"/>
      </c:catAx>
      <c:valAx>
        <c:axId val="5740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"Power BI"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18-Jun
Jun
2020</c:v>
                </c:pt>
                <c:pt idx="1">
                  <c:v>19-Jun</c:v>
                </c:pt>
                <c:pt idx="2">
                  <c:v>20-Jun</c:v>
                </c:pt>
                <c:pt idx="3">
                  <c:v>21-Jun</c:v>
                </c:pt>
                <c:pt idx="4">
                  <c:v>22-Jun</c:v>
                </c:pt>
                <c:pt idx="5">
                  <c:v>23-Jun</c:v>
                </c:pt>
                <c:pt idx="6">
                  <c:v>24-Jun</c:v>
                </c:pt>
              </c:strCache>
            </c:strRef>
          </c:cat>
          <c:val>
            <c:numRef>
              <c:f>'Time Series'!$B$26:$B$35</c:f>
              <c:numCache>
                <c:formatCode>General</c:formatCode>
                <c:ptCount val="7"/>
                <c:pt idx="0">
                  <c:v>8</c:v>
                </c:pt>
                <c:pt idx="1">
                  <c:v>12</c:v>
                </c:pt>
                <c:pt idx="2">
                  <c:v>28</c:v>
                </c:pt>
                <c:pt idx="3">
                  <c:v>31</c:v>
                </c:pt>
                <c:pt idx="4">
                  <c:v>53</c:v>
                </c:pt>
                <c:pt idx="5">
                  <c:v>44</c:v>
                </c:pt>
                <c:pt idx="6">
                  <c:v>46</c:v>
                </c:pt>
              </c:numCache>
            </c:numRef>
          </c:val>
        </c:ser>
        <c:axId val="49623279"/>
        <c:axId val="43956328"/>
      </c:barChart>
      <c:catAx>
        <c:axId val="49623279"/>
        <c:scaling>
          <c:orientation val="minMax"/>
        </c:scaling>
        <c:axPos val="b"/>
        <c:delete val="0"/>
        <c:numFmt formatCode="General" sourceLinked="1"/>
        <c:majorTickMark val="out"/>
        <c:minorTickMark val="none"/>
        <c:tickLblPos val="nextTo"/>
        <c:crossAx val="43956328"/>
        <c:crosses val="autoZero"/>
        <c:auto val="1"/>
        <c:lblOffset val="100"/>
        <c:noMultiLvlLbl val="0"/>
      </c:catAx>
      <c:valAx>
        <c:axId val="43956328"/>
        <c:scaling>
          <c:orientation val="minMax"/>
        </c:scaling>
        <c:axPos val="l"/>
        <c:majorGridlines/>
        <c:delete val="0"/>
        <c:numFmt formatCode="General" sourceLinked="1"/>
        <c:majorTickMark val="out"/>
        <c:minorTickMark val="none"/>
        <c:tickLblPos val="nextTo"/>
        <c:crossAx val="496232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864287"/>
        <c:axId val="19125400"/>
      </c:barChart>
      <c:catAx>
        <c:axId val="46864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25400"/>
        <c:crosses val="autoZero"/>
        <c:auto val="1"/>
        <c:lblOffset val="100"/>
        <c:noMultiLvlLbl val="0"/>
      </c:catAx>
      <c:valAx>
        <c:axId val="1912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910873"/>
        <c:axId val="5653538"/>
      </c:barChart>
      <c:catAx>
        <c:axId val="37910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881843"/>
        <c:axId val="55283404"/>
      </c:barChart>
      <c:catAx>
        <c:axId val="50881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83404"/>
        <c:crosses val="autoZero"/>
        <c:auto val="1"/>
        <c:lblOffset val="100"/>
        <c:noMultiLvlLbl val="0"/>
      </c:catAx>
      <c:valAx>
        <c:axId val="5528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788589"/>
        <c:axId val="48770710"/>
      </c:barChart>
      <c:catAx>
        <c:axId val="27788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70710"/>
        <c:crosses val="autoZero"/>
        <c:auto val="1"/>
        <c:lblOffset val="100"/>
        <c:noMultiLvlLbl val="0"/>
      </c:catAx>
      <c:valAx>
        <c:axId val="48770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8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283207"/>
        <c:axId val="58113408"/>
      </c:barChart>
      <c:catAx>
        <c:axId val="36283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113408"/>
        <c:crosses val="autoZero"/>
        <c:auto val="1"/>
        <c:lblOffset val="100"/>
        <c:noMultiLvlLbl val="0"/>
      </c:catAx>
      <c:valAx>
        <c:axId val="5811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3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258625"/>
        <c:axId val="9565578"/>
      </c:barChart>
      <c:catAx>
        <c:axId val="53258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65578"/>
        <c:crosses val="autoZero"/>
        <c:auto val="1"/>
        <c:lblOffset val="100"/>
        <c:noMultiLvlLbl val="0"/>
      </c:catAx>
      <c:valAx>
        <c:axId val="956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981339"/>
        <c:axId val="36614324"/>
      </c:barChart>
      <c:catAx>
        <c:axId val="18981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14324"/>
        <c:crosses val="autoZero"/>
        <c:auto val="1"/>
        <c:lblOffset val="100"/>
        <c:noMultiLvlLbl val="0"/>
      </c:catAx>
      <c:valAx>
        <c:axId val="3661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093461"/>
        <c:axId val="12970238"/>
      </c:barChart>
      <c:catAx>
        <c:axId val="61093461"/>
        <c:scaling>
          <c:orientation val="minMax"/>
        </c:scaling>
        <c:axPos val="b"/>
        <c:delete val="1"/>
        <c:majorTickMark val="out"/>
        <c:minorTickMark val="none"/>
        <c:tickLblPos val="none"/>
        <c:crossAx val="12970238"/>
        <c:crosses val="autoZero"/>
        <c:auto val="1"/>
        <c:lblOffset val="100"/>
        <c:noMultiLvlLbl val="0"/>
      </c:catAx>
      <c:valAx>
        <c:axId val="12970238"/>
        <c:scaling>
          <c:orientation val="minMax"/>
        </c:scaling>
        <c:axPos val="l"/>
        <c:delete val="1"/>
        <c:majorTickMark val="out"/>
        <c:minorTickMark val="none"/>
        <c:tickLblPos val="none"/>
        <c:crossAx val="61093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142875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Digital Space Lab" refreshedVersion="6">
  <cacheSource type="worksheet">
    <worksheetSource ref="A2:AP224"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MixedTypes="0" count="0"/>
    </cacheField>
    <cacheField name="Comment">
      <sharedItems containsMixedTypes="0" longText="1" count="0"/>
    </cacheField>
    <cacheField name="Author Channel ID">
      <sharedItems containsMixedTypes="0" count="0"/>
    </cacheField>
    <cacheField name="Author Display Name">
      <sharedItems containsMixedTypes="0" count="0"/>
    </cacheField>
    <cacheField name="Author Channel URL">
      <sharedItems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MixedTypes="0" count="0"/>
    </cacheField>
    <cacheField name="Like Count">
      <sharedItems containsSemiMixedTypes="0" containsString="0" containsMixedTypes="0" containsNumber="1" containsInteger="1" count="0"/>
    </cacheField>
    <cacheField name="Publishet At" numFmtId="22">
      <sharedItems containsSemiMixedTypes="0" containsNonDate="0" containsDate="1" containsString="0" containsMixedTypes="0" count="222">
        <d v="2020-06-18T19:52:34.000"/>
        <d v="2020-06-18T19:57:19.000"/>
        <d v="2020-06-18T22:58:41.000"/>
        <d v="2020-06-20T23:37:01.000"/>
        <d v="2020-06-20T23:37:39.000"/>
        <d v="2020-06-18T18:58:14.000"/>
        <d v="2020-06-20T23:35:59.000"/>
        <d v="2020-06-18T19:46:28.000"/>
        <d v="2020-06-20T23:35:18.000"/>
        <d v="2020-06-20T23:35:44.000"/>
        <d v="2020-06-18T19:55:29.000"/>
        <d v="2020-06-20T23:32:26.000"/>
        <d v="2020-06-18T20:32:06.000"/>
        <d v="2020-06-20T23:30:41.000"/>
        <d v="2020-06-19T03:05:02.000"/>
        <d v="2020-06-20T23:30:18.000"/>
        <d v="2020-06-19T04:07:53.000"/>
        <d v="2020-06-20T23:26:52.000"/>
        <d v="2020-06-19T18:09:13.000"/>
        <d v="2020-06-20T23:26:29.000"/>
        <d v="2020-06-19T20:33:54.000"/>
        <d v="2020-06-20T23:25:25.000"/>
        <d v="2020-06-20T04:47:39.000"/>
        <d v="2020-06-19T04:33:20.000"/>
        <d v="2020-06-18T18:05:12.000"/>
        <d v="2020-06-21T10:59:57.000"/>
        <d v="2020-06-19T00:13:24.000"/>
        <d v="2020-06-19T19:12:51.000"/>
        <d v="2020-06-19T18:33:27.000"/>
        <d v="2020-06-19T19:13:16.000"/>
        <d v="2020-06-19T18:47:06.000"/>
        <d v="2020-06-20T16:34:28.000"/>
        <d v="2020-06-20T15:31:27.000"/>
        <d v="2020-06-21T04:02:13.000"/>
        <d v="2020-06-23T02:47:23.000"/>
        <d v="2020-06-20T22:00:09.000"/>
        <d v="2020-06-21T18:57:39.000"/>
        <d v="2020-06-20T16:02:51.000"/>
        <d v="2020-06-20T15:28:10.000"/>
        <d v="2020-06-20T16:02:58.000"/>
        <d v="2020-06-20T15:51:02.000"/>
        <d v="2020-06-20T16:03:03.000"/>
        <d v="2020-06-20T15:52:22.000"/>
        <d v="2020-06-20T17:43:58.000"/>
        <d v="2020-06-20T16:50:58.000"/>
        <d v="2020-06-21T03:50:46.000"/>
        <d v="2020-06-21T00:58:03.000"/>
        <d v="2020-06-21T03:50:42.000"/>
        <d v="2020-06-21T03:47:56.000"/>
        <d v="2020-06-23T07:56:55.000"/>
        <d v="2020-06-23T07:50:01.000"/>
        <d v="2020-06-20T23:21:08.000"/>
        <d v="2020-06-20T18:29:11.000"/>
        <d v="2020-06-21T00:30:52.000"/>
        <d v="2020-06-20T23:26:03.000"/>
        <d v="2020-06-21T02:11:01.000"/>
        <d v="2020-06-20T20:39:09.000"/>
        <d v="2020-06-20T20:15:43.000"/>
        <d v="2020-06-22T17:46:58.000"/>
        <d v="2020-06-22T05:10:07.000"/>
        <d v="2020-06-23T14:10:21.000"/>
        <d v="2020-06-23T04:51:53.000"/>
        <d v="2020-06-21T18:00:36.000"/>
        <d v="2020-06-21T17:07:06.000"/>
        <d v="2020-06-23T00:42:15.000"/>
        <d v="2020-06-22T04:50:13.000"/>
        <d v="2020-06-21T23:59:20.000"/>
        <d v="2020-06-22T03:43:06.000"/>
        <d v="2020-06-21T21:40:26.000"/>
        <d v="2020-06-22T00:22:48.000"/>
        <d v="2020-06-22T00:11:22.000"/>
        <d v="2020-06-22T19:23:31.000"/>
        <d v="2020-06-22T11:24:42.000"/>
        <d v="2020-06-22T23:53:10.000"/>
        <d v="2020-06-23T02:00:55.000"/>
        <d v="2020-06-22T23:48:42.000"/>
        <d v="2020-06-24T05:02:56.000"/>
        <d v="2020-06-23T06:02:22.000"/>
        <d v="2020-06-21T18:44:51.000"/>
        <d v="2020-06-21T18:37:36.000"/>
        <d v="2020-06-21T19:28:36.000"/>
        <d v="2020-06-21T19:24:44.000"/>
        <d v="2020-06-22T02:55:47.000"/>
        <d v="2020-06-21T20:40:22.000"/>
        <d v="2020-06-22T13:43:11.000"/>
        <d v="2020-06-22T14:21:22.000"/>
        <d v="2020-06-22T15:04:48.000"/>
        <d v="2020-06-22T15:23:51.000"/>
        <d v="2020-06-22T11:37:01.000"/>
        <d v="2020-06-22T18:01:02.000"/>
        <d v="2020-06-22T17:49:29.000"/>
        <d v="2020-06-22T18:42:01.000"/>
        <d v="2020-06-22T18:45:20.000"/>
        <d v="2020-06-22T18:48:53.000"/>
        <d v="2020-06-22T18:38:35.000"/>
        <d v="2020-06-23T02:47:16.000"/>
        <d v="2020-06-22T19:18:52.000"/>
        <d v="2020-06-22T07:50:24.000"/>
        <d v="2020-06-22T04:52:56.000"/>
        <d v="2020-06-22T10:18:31.000"/>
        <d v="2020-06-22T08:31:07.000"/>
        <d v="2020-06-22T13:44:12.000"/>
        <d v="2020-06-22T05:31:58.000"/>
        <d v="2020-06-22T08:32:17.000"/>
        <d v="2020-06-22T06:22:03.000"/>
        <d v="2020-06-22T00:44:53.000"/>
        <d v="2020-06-21T23:51:54.000"/>
        <d v="2020-06-22T17:22:56.000"/>
        <d v="2020-06-22T02:58:44.000"/>
        <d v="2020-06-22T17:20:00.000"/>
        <d v="2020-06-22T05:21:58.000"/>
        <d v="2020-06-22T12:40:58.000"/>
        <d v="2020-06-22T12:13:39.000"/>
        <d v="2020-06-22T13:40:08.000"/>
        <d v="2020-06-22T13:49:20.000"/>
        <d v="2020-06-22T13:23:42.000"/>
        <d v="2020-06-23T11:49:10.000"/>
        <d v="2020-06-22T22:42:22.000"/>
        <d v="2020-06-21T23:21:31.000"/>
        <d v="2020-06-21T22:53:09.000"/>
        <d v="2020-06-21T23:21:47.000"/>
        <d v="2020-06-21T22:53:43.000"/>
        <d v="2020-06-22T13:13:48.000"/>
        <d v="2020-06-22T13:01:09.000"/>
        <d v="2020-06-23T11:48:56.000"/>
        <d v="2020-06-23T11:39:26.000"/>
        <d v="2020-06-22T16:02:18.000"/>
        <d v="2020-06-22T14:48:23.000"/>
        <d v="2020-06-22T16:01:58.000"/>
        <d v="2020-06-22T14:52:22.000"/>
        <d v="2020-06-22T16:01:39.000"/>
        <d v="2020-06-22T15:01:47.000"/>
        <d v="2020-06-22T18:22:54.000"/>
        <d v="2020-06-22T17:15:28.000"/>
        <d v="2020-06-23T13:51:11.000"/>
        <d v="2020-06-23T03:25:20.000"/>
        <d v="2020-06-23T14:02:17.000"/>
        <d v="2020-06-23T03:28:51.000"/>
        <d v="2020-06-23T13:54:14.000"/>
        <d v="2020-06-23T03:45:08.000"/>
        <d v="2020-06-23T13:48:23.000"/>
        <d v="2020-06-23T13:53:22.000"/>
        <d v="2020-06-23T09:02:24.000"/>
        <d v="2020-06-24T03:37:23.000"/>
        <d v="2020-06-23T18:57:29.000"/>
        <d v="2020-06-24T03:53:33.000"/>
        <d v="2020-06-24T06:06:23.000"/>
        <d v="2020-06-23T08:38:44.000"/>
        <d v="2020-06-24T06:05:58.000"/>
        <d v="2020-06-23T19:45:22.000"/>
        <d v="2020-06-24T06:05:44.000"/>
        <d v="2020-06-24T05:14:19.000"/>
        <d v="2020-06-24T06:17:05.000"/>
        <d v="2020-06-21T19:07:44.000"/>
        <d v="2020-06-21T20:31:53.000"/>
        <d v="2020-06-21T20:53:52.000"/>
        <d v="2020-06-21T21:07:23.000"/>
        <d v="2020-06-21T17:54:51.000"/>
        <d v="2020-06-21T19:08:47.000"/>
        <d v="2020-06-21T17:55:13.000"/>
        <d v="2020-06-21T23:33:54.000"/>
        <d v="2020-06-22T13:21:17.000"/>
        <d v="2020-06-23T11:54:24.000"/>
        <d v="2020-06-23T11:34:28.000"/>
        <d v="2020-06-23T09:37:48.000"/>
        <d v="2020-06-23T12:48:24.000"/>
        <d v="2020-06-23T08:34:05.000"/>
        <d v="2020-06-23T12:47:05.000"/>
        <d v="2020-06-23T09:04:44.000"/>
        <d v="2020-06-23T16:30:27.000"/>
        <d v="2020-06-23T14:04:53.000"/>
        <d v="2020-06-23T17:52:55.000"/>
        <d v="2020-06-23T15:25:58.000"/>
        <d v="2020-06-23T20:41:51.000"/>
        <d v="2020-06-23T15:29:15.000"/>
        <d v="2020-06-23T17:53:24.000"/>
        <d v="2020-06-23T16:05:26.000"/>
        <d v="2020-06-24T11:11:51.000"/>
        <d v="2020-06-24T00:36:50.000"/>
        <d v="2020-06-24T11:10:15.000"/>
        <d v="2020-06-24T12:07:40.000"/>
        <d v="2020-06-24T05:09:56.000"/>
        <d v="2020-06-24T11:19:15.000"/>
        <d v="2020-06-24T09:51:55.000"/>
        <d v="2020-06-24T09:44:09.000"/>
        <d v="2020-06-24T09:16:04.000"/>
        <d v="2020-06-24T09:28:20.000"/>
        <d v="2020-06-24T09:20:16.000"/>
        <d v="2020-06-23T21:53:57.000"/>
        <d v="2020-06-23T19:36:40.000"/>
        <d v="2020-06-23T22:25:48.000"/>
        <d v="2020-06-23T22:26:03.000"/>
        <d v="2020-06-24T06:40:23.000"/>
        <d v="2020-06-23T19:38:33.000"/>
        <d v="2020-06-24T06:08:09.000"/>
        <d v="2020-06-24T02:15:15.000"/>
        <d v="2020-06-24T02:59:06.000"/>
        <d v="2020-06-24T01:49:47.000"/>
        <d v="2020-06-24T00:50:35.000"/>
        <d v="2020-06-24T01:59:43.000"/>
        <d v="2020-06-24T00:12:36.000"/>
        <d v="2020-06-24T00:12:09.000"/>
        <d v="2020-06-24T00:37:43.000"/>
        <d v="2020-06-24T00:24:46.000"/>
        <d v="2020-06-24T00:39:57.000"/>
        <d v="2020-06-24T00:32:55.000"/>
        <d v="2020-06-24T01:55:04.000"/>
        <d v="2020-06-24T01:29:49.000"/>
        <d v="2020-06-24T03:15:11.000"/>
        <d v="2020-06-24T03:56:40.000"/>
        <d v="2020-06-24T03:04:26.000"/>
        <d v="2020-06-24T03:56:00.000"/>
        <d v="2020-06-24T03:16:44.000"/>
        <d v="2020-06-24T06:06:11.000"/>
        <d v="2020-06-24T04:54:38.000"/>
        <d v="2020-06-19T14:39:25.000"/>
        <d v="2020-06-19T06:44:21.000"/>
        <d v="2020-06-24T08:48:52.000"/>
        <d v="2020-06-24T08:39:03.000"/>
        <d v="2020-06-24T11:10:04.000"/>
        <d v="2020-06-24T09:50:02.000"/>
        <d v="2020-06-24T09:10:04.000"/>
      </sharedItems>
      <fieldGroup par="43" base="25">
        <rangePr groupBy="days" autoEnd="1" autoStart="1" startDate="2020-06-18T18:05:12.000" endDate="2020-06-24T12:07:40.000"/>
        <groupItems count="368">
          <s v="&lt;6/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0"/>
        </groupItems>
      </fieldGroup>
    </cacheField>
    <cacheField name="Updated At" numFmtId="22">
      <sharedItems containsSemiMixedTypes="0" containsNonDate="0" containsDate="1" containsString="0"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25">
        <rangePr groupBy="months" autoEnd="1" autoStart="1" startDate="2020-06-18T18:05:12.000" endDate="2020-06-24T12:07:40.000"/>
        <groupItems count="14">
          <s v="&lt;6/18/2020"/>
          <s v="Jan"/>
          <s v="Feb"/>
          <s v="Mar"/>
          <s v="Apr"/>
          <s v="May"/>
          <s v="Jun"/>
          <s v="Jul"/>
          <s v="Aug"/>
          <s v="Sep"/>
          <s v="Oct"/>
          <s v="Nov"/>
          <s v="Dec"/>
          <s v="&gt;6/24/2020"/>
        </groupItems>
      </fieldGroup>
    </cacheField>
    <cacheField name="Years" databaseField="0">
      <sharedItems containsMixedTypes="0" count="0"/>
      <fieldGroup base="25">
        <rangePr groupBy="years" autoEnd="1" autoStart="1" startDate="2020-06-18T18:05:12.000" endDate="2020-06-24T12:07:40.000"/>
        <groupItems count="3">
          <s v="&lt;6/18/2020"/>
          <s v="2020"/>
          <s v="&gt;6/24/2020"/>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22">
  <r>
    <s v="UCqop8tlrCuuuczAfxrR5j1A"/>
    <s v="UCDRa3hAzNSyCXYMm6zncajQ"/>
    <m/>
    <m/>
    <m/>
    <m/>
    <m/>
    <m/>
    <m/>
    <m/>
    <s v="No"/>
    <n v="3"/>
    <m/>
    <m/>
    <s v="Replied Comment"/>
    <s v="Reply"/>
    <s v="That typically means that you have a lot of visuals and your visual is waiting for others to complete."/>
    <s v="UCqop8tlrCuuuczAfxrR5j1A"/>
    <s v="Dan Szepesi"/>
    <s v="http://www.youtube.com/channel/UCqop8tlrCuuuczAfxrR5j1A"/>
    <s v="UgyO3W6ZpRD3qEV0ODJ4AaABAg"/>
    <s v="14KCckNbmvs"/>
    <s v="https://www.youtube.com/watch?v=14KCckNbmvs"/>
    <s v="none"/>
    <n v="0"/>
    <x v="0"/>
    <d v="2020-06-18T19:52:34.000"/>
    <m/>
    <m/>
    <m/>
    <n v="2"/>
    <s v="2"/>
    <s v="2"/>
    <n v="0"/>
    <n v="0"/>
    <n v="0"/>
    <n v="0"/>
    <n v="0"/>
    <n v="0"/>
    <n v="19"/>
    <n v="100"/>
    <n v="19"/>
  </r>
  <r>
    <s v="UCqop8tlrCuuuczAfxrR5j1A"/>
    <s v="UCDRa3hAzNSyCXYMm6zncajQ"/>
    <m/>
    <m/>
    <m/>
    <m/>
    <m/>
    <m/>
    <m/>
    <m/>
    <s v="No"/>
    <n v="4"/>
    <m/>
    <m/>
    <s v="Replied Comment"/>
    <s v="Reply"/>
    <s v="If you can&amp;#39;t reduce the number of visuals, look for Curbal&amp;#39;s video on DAX Fusion to see if you can take advantage of that."/>
    <s v="UCqop8tlrCuuuczAfxrR5j1A"/>
    <s v="Dan Szepesi"/>
    <s v="http://www.youtube.com/channel/UCqop8tlrCuuuczAfxrR5j1A"/>
    <s v="UgyO3W6ZpRD3qEV0ODJ4AaABAg"/>
    <s v="14KCckNbmvs"/>
    <s v="https://www.youtube.com/watch?v=14KCckNbmvs"/>
    <s v="none"/>
    <n v="0"/>
    <x v="1"/>
    <d v="2020-06-18T19:57:19.000"/>
    <m/>
    <m/>
    <m/>
    <n v="2"/>
    <s v="2"/>
    <s v="2"/>
    <n v="1"/>
    <n v="3.5714285714285716"/>
    <n v="0"/>
    <n v="0"/>
    <n v="0"/>
    <n v="0"/>
    <n v="27"/>
    <n v="96.42857142857143"/>
    <n v="28"/>
  </r>
  <r>
    <s v="UCfth7ICp0EaKM6YyQPjvoOg"/>
    <s v="UCDRa3hAzNSyCXYMm6zncajQ"/>
    <m/>
    <m/>
    <m/>
    <m/>
    <m/>
    <m/>
    <m/>
    <m/>
    <s v="No"/>
    <n v="5"/>
    <m/>
    <m/>
    <s v="Replied Comment"/>
    <s v="Reply"/>
    <s v="Try Change slicer to dropdown. Not list"/>
    <s v="UCfth7ICp0EaKM6YyQPjvoOg"/>
    <s v="Jokoams"/>
    <s v="http://www.youtube.com/channel/UCfth7ICp0EaKM6YyQPjvoOg"/>
    <s v="UgyO3W6ZpRD3qEV0ODJ4AaABAg"/>
    <s v="14KCckNbmvs"/>
    <s v="https://www.youtube.com/watch?v=14KCckNbmvs"/>
    <s v="none"/>
    <n v="0"/>
    <x v="2"/>
    <d v="2020-06-18T22:58:41.000"/>
    <m/>
    <m/>
    <m/>
    <n v="1"/>
    <s v="2"/>
    <s v="2"/>
    <n v="0"/>
    <n v="0"/>
    <n v="0"/>
    <n v="0"/>
    <n v="0"/>
    <n v="0"/>
    <n v="7"/>
    <n v="100"/>
    <n v="7"/>
  </r>
  <r>
    <s v="UCFp1vaKzpfvoGai0vE5VJ0w"/>
    <s v="UCDRa3hAzNSyCXYMm6zncajQ"/>
    <m/>
    <m/>
    <m/>
    <m/>
    <m/>
    <m/>
    <m/>
    <m/>
    <s v="Yes"/>
    <n v="6"/>
    <m/>
    <m/>
    <s v="Replied Comment"/>
    <s v="Reply"/>
    <s v="It&amp;#39;s the time that is taking for waiting on other stuff to finish. Usually you have a lot of visuals. We saw one where they had 45 visuals and their slowest DAX query was 123ms. :| Had to reduce the number of visuals."/>
    <s v="UCFp1vaKzpfvoGai0vE5VJ0w"/>
    <s v="Guy in a Cube"/>
    <s v="http://www.youtube.com/channel/UCFp1vaKzpfvoGai0vE5VJ0w"/>
    <s v="UgyO3W6ZpRD3qEV0ODJ4AaABAg"/>
    <s v="14KCckNbmvs"/>
    <s v="https://www.youtube.com/watch?v=14KCckNbmvs"/>
    <s v="none"/>
    <n v="1"/>
    <x v="3"/>
    <d v="2020-06-20T23:37:01.000"/>
    <m/>
    <m/>
    <m/>
    <n v="2"/>
    <s v="2"/>
    <s v="2"/>
    <n v="0"/>
    <n v="0"/>
    <n v="1"/>
    <n v="2.272727272727273"/>
    <n v="0"/>
    <n v="0"/>
    <n v="43"/>
    <n v="97.72727272727273"/>
    <n v="44"/>
  </r>
  <r>
    <s v="UCFp1vaKzpfvoGai0vE5VJ0w"/>
    <s v="UCDRa3hAzNSyCXYMm6zncajQ"/>
    <m/>
    <m/>
    <m/>
    <m/>
    <m/>
    <m/>
    <m/>
    <m/>
    <s v="Yes"/>
    <n v="7"/>
    <m/>
    <m/>
    <s v="Replied Comment"/>
    <s v="Reply"/>
    <s v="Changing a slicer from list to dropdown will defer the DAX statement, but it&amp;#39;s still a visual that has to be rendered and will contribute to the Other timing."/>
    <s v="UCFp1vaKzpfvoGai0vE5VJ0w"/>
    <s v="Guy in a Cube"/>
    <s v="http://www.youtube.com/channel/UCFp1vaKzpfvoGai0vE5VJ0w"/>
    <s v="UgyO3W6ZpRD3qEV0ODJ4AaABAg"/>
    <s v="14KCckNbmvs"/>
    <s v="https://www.youtube.com/watch?v=14KCckNbmvs"/>
    <s v="none"/>
    <n v="0"/>
    <x v="4"/>
    <d v="2020-06-20T23:37:39.000"/>
    <m/>
    <m/>
    <m/>
    <n v="2"/>
    <s v="2"/>
    <s v="2"/>
    <n v="0"/>
    <n v="0"/>
    <n v="0"/>
    <n v="0"/>
    <n v="0"/>
    <n v="0"/>
    <n v="31"/>
    <n v="100"/>
    <n v="31"/>
  </r>
  <r>
    <s v="UCDRa3hAzNSyCXYMm6zncajQ"/>
    <s v="UCFp1vaKzpfvoGai0vE5VJ0w"/>
    <m/>
    <m/>
    <m/>
    <m/>
    <m/>
    <m/>
    <m/>
    <m/>
    <s v="Yes"/>
    <n v="8"/>
    <m/>
    <m/>
    <s v="Commented Video"/>
    <s v="Comment"/>
    <s v="The majority of the time for my longest visuals to run is spent in the &amp;quot;Other&amp;quot; bucket - any tips on how to decrease the time on that?&lt;br /&gt;&lt;br /&gt;Edit: Also thanks for this video!"/>
    <s v="UCDRa3hAzNSyCXYMm6zncajQ"/>
    <s v="Grant Culp"/>
    <s v="http://www.youtube.com/channel/UCDRa3hAzNSyCXYMm6zncajQ"/>
    <m/>
    <s v="14KCckNbmvs"/>
    <s v="https://www.youtube.com/watch?v=14KCckNbmvs"/>
    <s v="none"/>
    <n v="1"/>
    <x v="5"/>
    <d v="2020-06-18T18:58:37.000"/>
    <m/>
    <m/>
    <m/>
    <n v="1"/>
    <s v="2"/>
    <s v="2"/>
    <n v="0"/>
    <n v="0"/>
    <n v="0"/>
    <n v="0"/>
    <n v="0"/>
    <n v="0"/>
    <n v="37"/>
    <n v="100"/>
    <n v="37"/>
  </r>
  <r>
    <s v="UCFp1vaKzpfvoGai0vE5VJ0w"/>
    <s v="UCvr2RftXJBsY7vTlQCmxZaw"/>
    <m/>
    <m/>
    <m/>
    <m/>
    <m/>
    <m/>
    <m/>
    <m/>
    <s v="Yes"/>
    <n v="9"/>
    <m/>
    <m/>
    <s v="Replied Comment"/>
    <s v="Reply"/>
    <s v="Appreciate that! Thanks for watching 👊"/>
    <s v="UCFp1vaKzpfvoGai0vE5VJ0w"/>
    <s v="Guy in a Cube"/>
    <s v="http://www.youtube.com/channel/UCFp1vaKzpfvoGai0vE5VJ0w"/>
    <s v="UgyWP7pnaz9UFfUhcNd4AaABAg"/>
    <s v="14KCckNbmvs"/>
    <s v="https://www.youtube.com/watch?v=14KCckNbmvs"/>
    <s v="none"/>
    <n v="0"/>
    <x v="6"/>
    <d v="2020-06-20T23:35:59.000"/>
    <m/>
    <m/>
    <m/>
    <n v="1"/>
    <s v="2"/>
    <s v="2"/>
    <n v="1"/>
    <n v="20"/>
    <n v="0"/>
    <n v="0"/>
    <n v="0"/>
    <n v="0"/>
    <n v="4"/>
    <n v="80"/>
    <n v="5"/>
  </r>
  <r>
    <s v="UCvr2RftXJBsY7vTlQCmxZaw"/>
    <s v="UCFp1vaKzpfvoGai0vE5VJ0w"/>
    <m/>
    <m/>
    <m/>
    <m/>
    <m/>
    <m/>
    <m/>
    <m/>
    <s v="Yes"/>
    <n v="10"/>
    <m/>
    <m/>
    <s v="Commented Video"/>
    <s v="Comment"/>
    <s v="Thanx Adam! Great video"/>
    <s v="UCvr2RftXJBsY7vTlQCmxZaw"/>
    <s v="arnohoedelmans"/>
    <s v="http://www.youtube.com/channel/UCvr2RftXJBsY7vTlQCmxZaw"/>
    <m/>
    <s v="14KCckNbmvs"/>
    <s v="https://www.youtube.com/watch?v=14KCckNbmvs"/>
    <s v="none"/>
    <n v="1"/>
    <x v="7"/>
    <d v="2020-06-18T19:46:28.000"/>
    <m/>
    <m/>
    <m/>
    <n v="1"/>
    <s v="2"/>
    <s v="2"/>
    <n v="1"/>
    <n v="25"/>
    <n v="0"/>
    <n v="0"/>
    <n v="0"/>
    <n v="0"/>
    <n v="3"/>
    <n v="75"/>
    <n v="4"/>
  </r>
  <r>
    <s v="UCFp1vaKzpfvoGai0vE5VJ0w"/>
    <s v="UCO7kLxBbcZ-F6jdssKIMfFw"/>
    <m/>
    <m/>
    <m/>
    <m/>
    <m/>
    <m/>
    <m/>
    <m/>
    <s v="Yes"/>
    <n v="11"/>
    <m/>
    <m/>
    <s v="Replied Comment"/>
    <s v="Reply"/>
    <s v="need to break down the DAX. Check out the video that Patrick and Marco did on debugging DAX. You definitely need to optimize that. &lt;a href=&quot;https://www.youtube.com/watch?v=9SV2VnYbgg4&quot;&gt;https://www.youtube.com/watch?v=9SV2VnYbgg4&lt;/a&gt;"/>
    <s v="UCFp1vaKzpfvoGai0vE5VJ0w"/>
    <s v="Guy in a Cube"/>
    <s v="http://www.youtube.com/channel/UCFp1vaKzpfvoGai0vE5VJ0w"/>
    <s v="UgwMT9PF5eXprCQEkYd4AaABAg"/>
    <s v="14KCckNbmvs"/>
    <s v="https://www.youtube.com/watch?v=14KCckNbmvs"/>
    <s v="none"/>
    <n v="0"/>
    <x v="8"/>
    <d v="2020-06-20T23:35:18.000"/>
    <s v=" https://www.youtube.com/watch?v=9SV2VnYbgg4 https://www.youtube.com/watch?v=9SV2VnYbgg4"/>
    <s v="youtube.com youtube.com"/>
    <m/>
    <n v="2"/>
    <s v="2"/>
    <s v="2"/>
    <n v="0"/>
    <n v="0"/>
    <n v="1"/>
    <n v="2.4390243902439024"/>
    <n v="0"/>
    <n v="0"/>
    <n v="40"/>
    <n v="97.5609756097561"/>
    <n v="41"/>
  </r>
  <r>
    <s v="UCFp1vaKzpfvoGai0vE5VJ0w"/>
    <s v="UCO7kLxBbcZ-F6jdssKIMfFw"/>
    <m/>
    <m/>
    <m/>
    <m/>
    <m/>
    <m/>
    <m/>
    <m/>
    <s v="Yes"/>
    <n v="12"/>
    <m/>
    <m/>
    <s v="Replied Comment"/>
    <s v="Reply"/>
    <s v="Also look at this video we did with Phil Seamark: &lt;a href=&quot;https://www.youtube.com/watch?v=eABg872TAJU&quot;&gt;https://www.youtube.com/watch?v=eABg872TAJU&lt;/a&gt;"/>
    <s v="UCFp1vaKzpfvoGai0vE5VJ0w"/>
    <s v="Guy in a Cube"/>
    <s v="http://www.youtube.com/channel/UCFp1vaKzpfvoGai0vE5VJ0w"/>
    <s v="UgwMT9PF5eXprCQEkYd4AaABAg"/>
    <s v="14KCckNbmvs"/>
    <s v="https://www.youtube.com/watch?v=14KCckNbmvs"/>
    <s v="none"/>
    <n v="0"/>
    <x v="9"/>
    <d v="2020-06-20T23:35:44.000"/>
    <s v=" https://www.youtube.com/watch?v=eABg872TAJU https://www.youtube.com/watch?v=eABg872TAJU"/>
    <s v="youtube.com youtube.com"/>
    <m/>
    <n v="2"/>
    <s v="2"/>
    <s v="2"/>
    <n v="0"/>
    <n v="0"/>
    <n v="0"/>
    <n v="0"/>
    <n v="0"/>
    <n v="0"/>
    <n v="27"/>
    <n v="100"/>
    <n v="27"/>
  </r>
  <r>
    <s v="UCO7kLxBbcZ-F6jdssKIMfFw"/>
    <s v="UCFp1vaKzpfvoGai0vE5VJ0w"/>
    <m/>
    <m/>
    <m/>
    <m/>
    <m/>
    <m/>
    <m/>
    <m/>
    <s v="Yes"/>
    <n v="13"/>
    <m/>
    <m/>
    <s v="Commented Video"/>
    <s v="Comment"/>
    <s v="My storage engine query is 266 approx and is taking 60s to derive :( is there a way which can help optimize my dax to improve the performance?"/>
    <s v="UCO7kLxBbcZ-F6jdssKIMfFw"/>
    <s v="Chandan Gadodia"/>
    <s v="http://www.youtube.com/channel/UCO7kLxBbcZ-F6jdssKIMfFw"/>
    <m/>
    <s v="14KCckNbmvs"/>
    <s v="https://www.youtube.com/watch?v=14KCckNbmvs"/>
    <s v="none"/>
    <n v="1"/>
    <x v="10"/>
    <d v="2020-06-18T19:55:29.000"/>
    <m/>
    <m/>
    <m/>
    <n v="1"/>
    <s v="2"/>
    <s v="2"/>
    <n v="1"/>
    <n v="3.7037037037037037"/>
    <n v="0"/>
    <n v="0"/>
    <n v="0"/>
    <n v="0"/>
    <n v="26"/>
    <n v="96.29629629629629"/>
    <n v="27"/>
  </r>
  <r>
    <s v="UCFp1vaKzpfvoGai0vE5VJ0w"/>
    <s v="UCFiPHO5NgaQdVggOroJP_nw"/>
    <m/>
    <m/>
    <m/>
    <m/>
    <m/>
    <m/>
    <m/>
    <m/>
    <s v="Yes"/>
    <n v="14"/>
    <m/>
    <m/>
    <s v="Replied Comment"/>
    <s v="Reply"/>
    <s v="Agreed. Have heard Marco and Alberto say that all the time. I also liked the article that Alberto just posted - &lt;a href=&quot;https://www.sqlbi.com/blog/alberto/2020/06/20/7-reasons-dax-is-not-easy/&quot;&gt;https://www.sqlbi.com/blog/alberto/2020/06/20/7-reasons-dax-is-not-easy/&lt;/a&gt;"/>
    <s v="UCFp1vaKzpfvoGai0vE5VJ0w"/>
    <s v="Guy in a Cube"/>
    <s v="http://www.youtube.com/channel/UCFp1vaKzpfvoGai0vE5VJ0w"/>
    <s v="UgxNq9dOO7FG3plkjqZ4AaABAg"/>
    <s v="14KCckNbmvs"/>
    <s v="https://www.youtube.com/watch?v=14KCckNbmvs"/>
    <s v="none"/>
    <n v="0"/>
    <x v="11"/>
    <d v="2020-06-20T23:32:26.000"/>
    <s v=" https://www.sqlbi.com/blog/alberto/2020/06/20/7-reasons-dax-is-not-easy/ https://www.sqlbi.com/blog/alberto/2020/06/20/7-reasons-dax-is-not-easy/"/>
    <s v="sqlbi.com sqlbi.com"/>
    <m/>
    <n v="1"/>
    <s v="2"/>
    <s v="2"/>
    <n v="3"/>
    <n v="5.660377358490566"/>
    <n v="0"/>
    <n v="0"/>
    <n v="0"/>
    <n v="0"/>
    <n v="50"/>
    <n v="94.33962264150944"/>
    <n v="53"/>
  </r>
  <r>
    <s v="UCFiPHO5NgaQdVggOroJP_nw"/>
    <s v="UCFp1vaKzpfvoGai0vE5VJ0w"/>
    <m/>
    <m/>
    <m/>
    <m/>
    <m/>
    <m/>
    <m/>
    <m/>
    <s v="Yes"/>
    <n v="15"/>
    <m/>
    <m/>
    <s v="Commented Video"/>
    <s v="Comment"/>
    <s v="DAX is simple, but not easy at all"/>
    <s v="UCFiPHO5NgaQdVggOroJP_nw"/>
    <s v="Gulherme Pereira"/>
    <s v="http://www.youtube.com/channel/UCFiPHO5NgaQdVggOroJP_nw"/>
    <m/>
    <s v="14KCckNbmvs"/>
    <s v="https://www.youtube.com/watch?v=14KCckNbmvs"/>
    <s v="none"/>
    <n v="5"/>
    <x v="12"/>
    <d v="2020-06-18T20:32:06.000"/>
    <m/>
    <m/>
    <m/>
    <n v="1"/>
    <s v="2"/>
    <s v="2"/>
    <n v="1"/>
    <n v="12.5"/>
    <n v="0"/>
    <n v="0"/>
    <n v="0"/>
    <n v="0"/>
    <n v="7"/>
    <n v="87.5"/>
    <n v="8"/>
  </r>
  <r>
    <s v="UCFp1vaKzpfvoGai0vE5VJ0w"/>
    <s v="UCQSAWg2c-QMRHUyywmilREQ"/>
    <m/>
    <m/>
    <m/>
    <m/>
    <m/>
    <m/>
    <m/>
    <m/>
    <s v="Yes"/>
    <n v="16"/>
    <m/>
    <m/>
    <s v="Replied Comment"/>
    <s v="Reply"/>
    <s v="yes! thanks for sharing."/>
    <s v="UCFp1vaKzpfvoGai0vE5VJ0w"/>
    <s v="Guy in a Cube"/>
    <s v="http://www.youtube.com/channel/UCFp1vaKzpfvoGai0vE5VJ0w"/>
    <s v="UgzHTnE07bZtKV6LI9t4AaABAg"/>
    <s v="14KCckNbmvs"/>
    <s v="https://www.youtube.com/watch?v=14KCckNbmvs"/>
    <s v="none"/>
    <n v="0"/>
    <x v="13"/>
    <d v="2020-06-20T23:30:41.000"/>
    <m/>
    <m/>
    <m/>
    <n v="1"/>
    <s v="2"/>
    <s v="2"/>
    <n v="0"/>
    <n v="0"/>
    <n v="0"/>
    <n v="0"/>
    <n v="0"/>
    <n v="0"/>
    <n v="4"/>
    <n v="100"/>
    <n v="4"/>
  </r>
  <r>
    <s v="UCQSAWg2c-QMRHUyywmilREQ"/>
    <s v="UCFp1vaKzpfvoGai0vE5VJ0w"/>
    <m/>
    <m/>
    <m/>
    <m/>
    <m/>
    <m/>
    <m/>
    <m/>
    <s v="Yes"/>
    <n v="17"/>
    <m/>
    <m/>
    <s v="Commented Video"/>
    <s v="Comment"/>
    <s v="There&amp;#39;s an updated version of Dax Studio &lt;a href=&quot;https://github.com/DaxStudio/DaxStudio/commit/f9ee1a2502b437b2ee37b1eaad7f7c855733c156&quot;&gt;https://github.com/DaxStudio/DaxStudio/commit/f9ee1a2502b437b2ee37b1eaad7f7c855733c156&lt;/a&gt;"/>
    <s v="UCQSAWg2c-QMRHUyywmilREQ"/>
    <s v="Fernando Calero"/>
    <s v="http://www.youtube.com/channel/UCQSAWg2c-QMRHUyywmilREQ"/>
    <m/>
    <s v="14KCckNbmvs"/>
    <s v="https://www.youtube.com/watch?v=14KCckNbmvs"/>
    <s v="none"/>
    <n v="1"/>
    <x v="14"/>
    <d v="2020-06-19T03:05:02.000"/>
    <s v=" https://github.com/DaxStudio/DaxStudio/commit/f9ee1a2502b437b2ee37b1eaad7f7c855733c156 https://github.com/DaxStudio/DaxStudio/commit/f9ee1a2502b437b2ee37b1eaad7f7c855733c156"/>
    <s v="github.com github.com"/>
    <m/>
    <n v="1"/>
    <s v="2"/>
    <s v="2"/>
    <n v="0"/>
    <n v="0"/>
    <n v="0"/>
    <n v="0"/>
    <n v="0"/>
    <n v="0"/>
    <n v="26"/>
    <n v="100"/>
    <n v="26"/>
  </r>
  <r>
    <s v="UCFp1vaKzpfvoGai0vE5VJ0w"/>
    <s v="UCtlTqmbJidEUZFkxHptY1FA"/>
    <m/>
    <m/>
    <m/>
    <m/>
    <m/>
    <m/>
    <m/>
    <m/>
    <s v="Yes"/>
    <n v="18"/>
    <m/>
    <m/>
    <s v="Replied Comment"/>
    <s v="Reply"/>
    <s v="That is a huge topic :) we have some videos covering some. Also pointed in the video to the video we did with Marco about how to debug DAX."/>
    <s v="UCFp1vaKzpfvoGai0vE5VJ0w"/>
    <s v="Guy in a Cube"/>
    <s v="http://www.youtube.com/channel/UCFp1vaKzpfvoGai0vE5VJ0w"/>
    <s v="Ugz3Eqa7bewykL_-aqR4AaABAg"/>
    <s v="14KCckNbmvs"/>
    <s v="https://www.youtube.com/watch?v=14KCckNbmvs"/>
    <s v="none"/>
    <n v="0"/>
    <x v="15"/>
    <d v="2020-06-20T23:30:18.000"/>
    <m/>
    <m/>
    <m/>
    <n v="1"/>
    <s v="2"/>
    <s v="2"/>
    <n v="0"/>
    <n v="0"/>
    <n v="0"/>
    <n v="0"/>
    <n v="0"/>
    <n v="0"/>
    <n v="28"/>
    <n v="100"/>
    <n v="28"/>
  </r>
  <r>
    <s v="UCtlTqmbJidEUZFkxHptY1FA"/>
    <s v="UCFp1vaKzpfvoGai0vE5VJ0w"/>
    <m/>
    <m/>
    <m/>
    <m/>
    <m/>
    <m/>
    <m/>
    <m/>
    <s v="Yes"/>
    <n v="19"/>
    <m/>
    <m/>
    <s v="Commented Video"/>
    <s v="Comment"/>
    <s v="That was a good start but I felt like you stopped at the most interesting bit: DAX optimization. How about a part 2?"/>
    <s v="UCtlTqmbJidEUZFkxHptY1FA"/>
    <s v="Andrew Tuplin"/>
    <s v="http://www.youtube.com/channel/UCtlTqmbJidEUZFkxHptY1FA"/>
    <m/>
    <s v="14KCckNbmvs"/>
    <s v="https://www.youtube.com/watch?v=14KCckNbmvs"/>
    <s v="none"/>
    <n v="8"/>
    <x v="16"/>
    <d v="2020-06-19T04:07:53.000"/>
    <m/>
    <m/>
    <m/>
    <n v="1"/>
    <s v="2"/>
    <s v="2"/>
    <n v="3"/>
    <n v="13.043478260869565"/>
    <n v="0"/>
    <n v="0"/>
    <n v="0"/>
    <n v="0"/>
    <n v="20"/>
    <n v="86.95652173913044"/>
    <n v="23"/>
  </r>
  <r>
    <s v="UCFp1vaKzpfvoGai0vE5VJ0w"/>
    <s v="UCYyKfXHo6Jho0ICP9TZFZRg"/>
    <m/>
    <m/>
    <m/>
    <m/>
    <m/>
    <m/>
    <m/>
    <m/>
    <s v="Yes"/>
    <n v="20"/>
    <m/>
    <m/>
    <s v="Replied Comment"/>
    <s v="Reply"/>
    <s v="Taking it day by day :) We have plans to do more."/>
    <s v="UCFp1vaKzpfvoGai0vE5VJ0w"/>
    <s v="Guy in a Cube"/>
    <s v="http://www.youtube.com/channel/UCFp1vaKzpfvoGai0vE5VJ0w"/>
    <s v="Ugz5m9nhv_mmwKDeveN4AaABAg"/>
    <s v="14KCckNbmvs"/>
    <s v="https://www.youtube.com/watch?v=14KCckNbmvs"/>
    <s v="none"/>
    <n v="0"/>
    <x v="17"/>
    <d v="2020-06-20T23:26:52.000"/>
    <m/>
    <m/>
    <m/>
    <n v="1"/>
    <s v="2"/>
    <s v="2"/>
    <n v="0"/>
    <n v="0"/>
    <n v="0"/>
    <n v="0"/>
    <n v="0"/>
    <n v="0"/>
    <n v="11"/>
    <n v="100"/>
    <n v="11"/>
  </r>
  <r>
    <s v="UCYyKfXHo6Jho0ICP9TZFZRg"/>
    <s v="UCFp1vaKzpfvoGai0vE5VJ0w"/>
    <m/>
    <m/>
    <m/>
    <m/>
    <m/>
    <m/>
    <m/>
    <m/>
    <s v="Yes"/>
    <n v="21"/>
    <m/>
    <m/>
    <s v="Commented Video"/>
    <s v="Comment"/>
    <s v="Good Video, I&amp;#39;m surprised that you guys aren&amp;#39;t more popular. I&amp;#39;d love to see more on Optimisation"/>
    <s v="UCYyKfXHo6Jho0ICP9TZFZRg"/>
    <s v="Jesse Cox"/>
    <s v="http://www.youtube.com/channel/UCYyKfXHo6Jho0ICP9TZFZRg"/>
    <m/>
    <s v="14KCckNbmvs"/>
    <s v="https://www.youtube.com/watch?v=14KCckNbmvs"/>
    <s v="none"/>
    <n v="1"/>
    <x v="18"/>
    <d v="2020-06-19T18:09:13.000"/>
    <m/>
    <m/>
    <m/>
    <n v="1"/>
    <s v="2"/>
    <s v="2"/>
    <n v="3"/>
    <n v="13.043478260869565"/>
    <n v="0"/>
    <n v="0"/>
    <n v="0"/>
    <n v="0"/>
    <n v="20"/>
    <n v="86.95652173913044"/>
    <n v="23"/>
  </r>
  <r>
    <s v="UCFp1vaKzpfvoGai0vE5VJ0w"/>
    <s v="UCHVkfQ6eBHYzyRh0LLjpNpg"/>
    <m/>
    <m/>
    <m/>
    <m/>
    <m/>
    <m/>
    <m/>
    <m/>
    <s v="Yes"/>
    <n v="22"/>
    <m/>
    <m/>
    <s v="Replied Comment"/>
    <s v="Reply"/>
    <s v="Thanks for watching Anthony! 👊"/>
    <s v="UCFp1vaKzpfvoGai0vE5VJ0w"/>
    <s v="Guy in a Cube"/>
    <s v="http://www.youtube.com/channel/UCFp1vaKzpfvoGai0vE5VJ0w"/>
    <s v="UgyB_HvvxVRF6GCiaHB4AaABAg"/>
    <s v="14KCckNbmvs"/>
    <s v="https://www.youtube.com/watch?v=14KCckNbmvs"/>
    <s v="none"/>
    <n v="0"/>
    <x v="19"/>
    <d v="2020-06-20T23:26:29.000"/>
    <m/>
    <m/>
    <m/>
    <n v="1"/>
    <s v="2"/>
    <s v="2"/>
    <n v="0"/>
    <n v="0"/>
    <n v="0"/>
    <n v="0"/>
    <n v="0"/>
    <n v="0"/>
    <n v="4"/>
    <n v="100"/>
    <n v="4"/>
  </r>
  <r>
    <s v="UCHVkfQ6eBHYzyRh0LLjpNpg"/>
    <s v="UCFp1vaKzpfvoGai0vE5VJ0w"/>
    <m/>
    <m/>
    <m/>
    <m/>
    <m/>
    <m/>
    <m/>
    <m/>
    <s v="Yes"/>
    <n v="23"/>
    <m/>
    <m/>
    <s v="Commented Video"/>
    <s v="Comment"/>
    <s v="Cool."/>
    <s v="UCHVkfQ6eBHYzyRh0LLjpNpg"/>
    <s v="Anthony P Cheng"/>
    <s v="http://www.youtube.com/channel/UCHVkfQ6eBHYzyRh0LLjpNpg"/>
    <m/>
    <s v="14KCckNbmvs"/>
    <s v="https://www.youtube.com/watch?v=14KCckNbmvs"/>
    <s v="none"/>
    <n v="1"/>
    <x v="20"/>
    <d v="2020-06-19T20:33:54.000"/>
    <m/>
    <m/>
    <m/>
    <n v="1"/>
    <s v="2"/>
    <s v="2"/>
    <n v="1"/>
    <n v="100"/>
    <n v="0"/>
    <n v="0"/>
    <n v="0"/>
    <n v="0"/>
    <n v="0"/>
    <n v="0"/>
    <n v="1"/>
  </r>
  <r>
    <s v="UCFp1vaKzpfvoGai0vE5VJ0w"/>
    <s v="UCIOXfx8ziM1LrWylHIsrN0Q"/>
    <m/>
    <m/>
    <m/>
    <m/>
    <m/>
    <m/>
    <m/>
    <m/>
    <s v="Yes"/>
    <n v="24"/>
    <m/>
    <m/>
    <s v="Replied Comment"/>
    <s v="Reply"/>
    <s v="hard to answer without more details. The memory consumption is probably tied to your data model. You should see the memory break down in Task Manager for the sub processes. When you launch the the PBIX, it will also try rendering the visuals, which in turn will query the data model. Not sure how long you see that for. Also depends on what kind of machine you have. If you are limited memory, OS paging will kick in as well which will slow things down."/>
    <s v="UCFp1vaKzpfvoGai0vE5VJ0w"/>
    <s v="Guy in a Cube"/>
    <s v="http://www.youtube.com/channel/UCFp1vaKzpfvoGai0vE5VJ0w"/>
    <s v="UgzQNARl-zCYfasNlNd4AaABAg"/>
    <s v="14KCckNbmvs"/>
    <s v="https://www.youtube.com/watch?v=14KCckNbmvs"/>
    <s v="none"/>
    <n v="0"/>
    <x v="21"/>
    <d v="2020-06-20T23:25:25.000"/>
    <m/>
    <m/>
    <m/>
    <n v="1"/>
    <s v="2"/>
    <s v="2"/>
    <n v="1"/>
    <n v="1.1764705882352942"/>
    <n v="4"/>
    <n v="4.705882352941177"/>
    <n v="0"/>
    <n v="0"/>
    <n v="80"/>
    <n v="94.11764705882354"/>
    <n v="85"/>
  </r>
  <r>
    <s v="UCIOXfx8ziM1LrWylHIsrN0Q"/>
    <s v="UCFp1vaKzpfvoGai0vE5VJ0w"/>
    <m/>
    <m/>
    <m/>
    <m/>
    <m/>
    <m/>
    <m/>
    <m/>
    <s v="Yes"/>
    <n v="25"/>
    <m/>
    <m/>
    <s v="Commented Video"/>
    <s v="Comment"/>
    <s v="I have created a report in power bi where all data is coming from flat files. I don&amp;#39;t know why, when I open pbix it consume 100% of CPU and more than 2 gb of RAM and slows down the system. Any reason behind that?"/>
    <s v="UCIOXfx8ziM1LrWylHIsrN0Q"/>
    <s v="Ranjan Mehta"/>
    <s v="http://www.youtube.com/channel/UCIOXfx8ziM1LrWylHIsrN0Q"/>
    <m/>
    <s v="14KCckNbmvs"/>
    <s v="https://www.youtube.com/watch?v=14KCckNbmvs"/>
    <s v="none"/>
    <n v="0"/>
    <x v="22"/>
    <d v="2020-06-20T04:47:39.000"/>
    <m/>
    <m/>
    <m/>
    <n v="1"/>
    <s v="2"/>
    <s v="2"/>
    <n v="0"/>
    <n v="0"/>
    <n v="0"/>
    <n v="0"/>
    <n v="0"/>
    <n v="0"/>
    <n v="47"/>
    <n v="100"/>
    <n v="47"/>
  </r>
  <r>
    <s v="UCIUV3lP4RQEOqbY1funMH3w"/>
    <s v="UCQgAbIWD4HdKm-HJ91VvZuw"/>
    <m/>
    <m/>
    <m/>
    <m/>
    <m/>
    <m/>
    <m/>
    <m/>
    <s v="Yes"/>
    <n v="26"/>
    <m/>
    <m/>
    <s v="Replied Comment"/>
    <s v="Reply"/>
    <s v="thank  you  shaik akram"/>
    <s v="UCIUV3lP4RQEOqbY1funMH3w"/>
    <s v="Power BI Real-time"/>
    <s v="http://www.youtube.com/channel/UCIUV3lP4RQEOqbY1funMH3w"/>
    <s v="Ugw-_FruFMYnp0i64Px4AaABAg"/>
    <s v="IpwV3URrFOc"/>
    <s v="https://www.youtube.com/watch?v=IpwV3URrFOc"/>
    <s v="none"/>
    <n v="0"/>
    <x v="23"/>
    <d v="2020-06-19T04:33:20.000"/>
    <m/>
    <m/>
    <m/>
    <n v="1"/>
    <s v="3"/>
    <s v="3"/>
    <n v="1"/>
    <n v="25"/>
    <n v="0"/>
    <n v="0"/>
    <n v="0"/>
    <n v="0"/>
    <n v="3"/>
    <n v="75"/>
    <n v="4"/>
  </r>
  <r>
    <s v="UCQgAbIWD4HdKm-HJ91VvZuw"/>
    <s v="UCIUV3lP4RQEOqbY1funMH3w"/>
    <m/>
    <m/>
    <m/>
    <m/>
    <m/>
    <m/>
    <m/>
    <m/>
    <s v="Yes"/>
    <n v="27"/>
    <m/>
    <m/>
    <s v="Commented Video"/>
    <s v="Comment"/>
    <s v="Clear explanation 👏"/>
    <s v="UCQgAbIWD4HdKm-HJ91VvZuw"/>
    <s v="shaik akram"/>
    <s v="http://www.youtube.com/channel/UCQgAbIWD4HdKm-HJ91VvZuw"/>
    <m/>
    <s v="IpwV3URrFOc"/>
    <s v="https://www.youtube.com/watch?v=IpwV3URrFOc"/>
    <s v="none"/>
    <n v="0"/>
    <x v="24"/>
    <d v="2020-06-18T18:05:12.000"/>
    <m/>
    <m/>
    <m/>
    <n v="1"/>
    <s v="3"/>
    <s v="3"/>
    <n v="1"/>
    <n v="50"/>
    <n v="0"/>
    <n v="0"/>
    <n v="0"/>
    <n v="0"/>
    <n v="1"/>
    <n v="50"/>
    <n v="2"/>
  </r>
  <r>
    <s v="UCHuFeq6O8IE77zuClBDkATg"/>
    <s v="UCMHwup1V_k48AWCCFNe2yqQ"/>
    <m/>
    <m/>
    <m/>
    <m/>
    <m/>
    <m/>
    <m/>
    <m/>
    <s v="No"/>
    <n v="28"/>
    <m/>
    <m/>
    <s v="Replied Comment"/>
    <s v="Reply"/>
    <s v="All just return all of the columns or the table irrespective of any filter that has been applied on the columns or the table."/>
    <s v="UCHuFeq6O8IE77zuClBDkATg"/>
    <s v="MSBI ninja"/>
    <s v="http://www.youtube.com/channel/UCHuFeq6O8IE77zuClBDkATg"/>
    <s v="UgxiyL6P545UkhtK1DN4AaABAg"/>
    <s v="Ieh0EhJzJgo"/>
    <s v="https://www.youtube.com/watch?v=Ieh0EhJzJgo"/>
    <s v="none"/>
    <n v="0"/>
    <x v="25"/>
    <d v="2020-06-21T10:59:57.000"/>
    <m/>
    <m/>
    <m/>
    <n v="1"/>
    <s v="7"/>
    <s v="7"/>
    <n v="0"/>
    <n v="0"/>
    <n v="0"/>
    <n v="0"/>
    <n v="0"/>
    <n v="0"/>
    <n v="24"/>
    <n v="100"/>
    <n v="24"/>
  </r>
  <r>
    <s v="UCMHwup1V_k48AWCCFNe2yqQ"/>
    <s v="UCy2rBgj4M1tzK-urTZ28zcA"/>
    <m/>
    <m/>
    <m/>
    <m/>
    <m/>
    <m/>
    <m/>
    <m/>
    <s v="No"/>
    <n v="29"/>
    <m/>
    <m/>
    <s v="Commented Video"/>
    <s v="Comment"/>
    <s v="Thanks, Melissa! Enterprise DNA videos always give me insights really. So did this one... &amp;quot;ISINSCOPE&amp;quot;, &amp;quot;&amp;amp;&amp;amp;&amp;quot; as AND... And if I am lucky enough, I will someday understand the true meaning of &amp;quot;FILTER (ALL(&amp;quot; thingy..."/>
    <s v="UCMHwup1V_k48AWCCFNe2yqQ"/>
    <s v="leo iakovlev"/>
    <s v="http://www.youtube.com/channel/UCMHwup1V_k48AWCCFNe2yqQ"/>
    <m/>
    <s v="Ieh0EhJzJgo"/>
    <s v="https://www.youtube.com/watch?v=Ieh0EhJzJgo"/>
    <s v="none"/>
    <n v="2"/>
    <x v="26"/>
    <d v="2020-06-19T00:13:24.000"/>
    <m/>
    <m/>
    <m/>
    <n v="1"/>
    <s v="7"/>
    <s v="7"/>
    <n v="2"/>
    <n v="4.761904761904762"/>
    <n v="0"/>
    <n v="0"/>
    <n v="0"/>
    <n v="0"/>
    <n v="40"/>
    <n v="95.23809523809524"/>
    <n v="42"/>
  </r>
  <r>
    <s v="UCz4eajnBYLumJR1qQj2SR9w"/>
    <s v="UCTM43tLnMPEe1n93r_hJIJQ"/>
    <m/>
    <m/>
    <m/>
    <m/>
    <m/>
    <m/>
    <m/>
    <m/>
    <s v="Yes"/>
    <n v="30"/>
    <m/>
    <m/>
    <s v="Replied Comment"/>
    <s v="Reply"/>
    <s v="اظن انه مجاني يكفي تنزيله و ربطه بحساب taalim"/>
    <s v="UCz4eajnBYLumJR1qQj2SR9w"/>
    <s v="رواق التعليم"/>
    <s v="http://www.youtube.com/channel/UCz4eajnBYLumJR1qQj2SR9w"/>
    <s v="UgwlrafYxw5LBx6WrVF4AaABAg"/>
    <s v="FM4zsUFg_iE"/>
    <s v="https://www.youtube.com/watch?v=FM4zsUFg_iE"/>
    <s v="none"/>
    <n v="0"/>
    <x v="27"/>
    <d v="2020-06-19T19:12:51.000"/>
    <m/>
    <m/>
    <m/>
    <n v="1"/>
    <s v="19"/>
    <s v="19"/>
    <n v="0"/>
    <n v="0"/>
    <n v="0"/>
    <n v="0"/>
    <n v="0"/>
    <n v="0"/>
    <n v="9"/>
    <n v="100"/>
    <n v="9"/>
  </r>
  <r>
    <s v="UCTM43tLnMPEe1n93r_hJIJQ"/>
    <s v="UCz4eajnBYLumJR1qQj2SR9w"/>
    <m/>
    <m/>
    <m/>
    <m/>
    <m/>
    <m/>
    <m/>
    <m/>
    <s v="Yes"/>
    <n v="31"/>
    <m/>
    <m/>
    <s v="Commented Video"/>
    <s v="Comment"/>
    <s v="برنامج رائع ماهو سعره"/>
    <s v="UCTM43tLnMPEe1n93r_hJIJQ"/>
    <s v="bureau informatique"/>
    <s v="http://www.youtube.com/channel/UCTM43tLnMPEe1n93r_hJIJQ"/>
    <m/>
    <s v="FM4zsUFg_iE"/>
    <s v="https://www.youtube.com/watch?v=FM4zsUFg_iE"/>
    <s v="none"/>
    <n v="1"/>
    <x v="28"/>
    <d v="2020-06-19T18:33:27.000"/>
    <m/>
    <m/>
    <m/>
    <n v="1"/>
    <s v="19"/>
    <s v="19"/>
    <n v="0"/>
    <n v="0"/>
    <n v="0"/>
    <n v="0"/>
    <n v="0"/>
    <n v="0"/>
    <n v="4"/>
    <n v="100"/>
    <n v="4"/>
  </r>
  <r>
    <s v="UCz4eajnBYLumJR1qQj2SR9w"/>
    <s v="UCh_KxM9jaD6DCzneVuwjXNA"/>
    <m/>
    <m/>
    <m/>
    <m/>
    <m/>
    <m/>
    <m/>
    <m/>
    <s v="Yes"/>
    <n v="32"/>
    <m/>
    <m/>
    <s v="Replied Comment"/>
    <s v="Reply"/>
    <s v="سأبحث عن التتمة و أتقاسمها معكم"/>
    <s v="UCz4eajnBYLumJR1qQj2SR9w"/>
    <s v="رواق التعليم"/>
    <s v="http://www.youtube.com/channel/UCz4eajnBYLumJR1qQj2SR9w"/>
    <s v="UgzqRTgWd6vTEu3t-CV4AaABAg"/>
    <s v="FM4zsUFg_iE"/>
    <s v="https://www.youtube.com/watch?v=FM4zsUFg_iE"/>
    <s v="none"/>
    <n v="1"/>
    <x v="29"/>
    <d v="2020-06-19T19:13:16.000"/>
    <m/>
    <m/>
    <m/>
    <n v="1"/>
    <s v="19"/>
    <s v="19"/>
    <n v="0"/>
    <n v="0"/>
    <n v="0"/>
    <n v="0"/>
    <n v="0"/>
    <n v="0"/>
    <n v="6"/>
    <n v="100"/>
    <n v="6"/>
  </r>
  <r>
    <s v="UCh_KxM9jaD6DCzneVuwjXNA"/>
    <s v="UCz4eajnBYLumJR1qQj2SR9w"/>
    <m/>
    <m/>
    <m/>
    <m/>
    <m/>
    <m/>
    <m/>
    <m/>
    <s v="Yes"/>
    <n v="33"/>
    <m/>
    <m/>
    <s v="Commented Video"/>
    <s v="Comment"/>
    <s v="شيء رائع جدا الله يجزيكم بخير اتمنا تنزيل تتمة التكوين فانا في امس الحاجة اليه"/>
    <s v="UCh_KxM9jaD6DCzneVuwjXNA"/>
    <s v="الطالب الباحث: بدر المرابط"/>
    <s v="http://www.youtube.com/channel/UCh_KxM9jaD6DCzneVuwjXNA"/>
    <m/>
    <s v="FM4zsUFg_iE"/>
    <s v="https://www.youtube.com/watch?v=FM4zsUFg_iE"/>
    <s v="none"/>
    <n v="1"/>
    <x v="30"/>
    <d v="2020-06-19T18:47:06.000"/>
    <m/>
    <m/>
    <m/>
    <n v="1"/>
    <s v="19"/>
    <s v="19"/>
    <n v="0"/>
    <n v="0"/>
    <n v="0"/>
    <n v="0"/>
    <n v="0"/>
    <n v="0"/>
    <n v="15"/>
    <n v="100"/>
    <n v="15"/>
  </r>
  <r>
    <s v="UCR5WT6Lkv9pdX_xsvQ6YyDg"/>
    <s v="UCJNf_zUjSFMnCJSjjr2I2cw"/>
    <m/>
    <m/>
    <m/>
    <m/>
    <m/>
    <m/>
    <m/>
    <m/>
    <s v="Yes"/>
    <n v="34"/>
    <m/>
    <m/>
    <s v="Replied Comment"/>
    <s v="Reply"/>
    <s v="Carlos, Thanks for following my tutorials. Yes, I&amp;#39;m working on it. I&amp;#39;ll upload it next Saturday. Stay tuned."/>
    <s v="UCR5WT6Lkv9pdX_xsvQ6YyDg"/>
    <s v="Nestor Adrianzen"/>
    <s v="http://www.youtube.com/channel/UCR5WT6Lkv9pdX_xsvQ6YyDg"/>
    <s v="UgyqX18sP3EfOmEoFJx4AaABAg"/>
    <s v="6vJIAJNTdG0"/>
    <s v="https://www.youtube.com/watch?v=6vJIAJNTdG0"/>
    <s v="none"/>
    <n v="1"/>
    <x v="31"/>
    <d v="2020-06-20T16:34:28.000"/>
    <m/>
    <m/>
    <m/>
    <n v="1"/>
    <s v="8"/>
    <s v="8"/>
    <n v="0"/>
    <n v="0"/>
    <n v="0"/>
    <n v="0"/>
    <n v="0"/>
    <n v="0"/>
    <n v="22"/>
    <n v="100"/>
    <n v="22"/>
  </r>
  <r>
    <s v="UCJNf_zUjSFMnCJSjjr2I2cw"/>
    <s v="UCR5WT6Lkv9pdX_xsvQ6YyDg"/>
    <m/>
    <m/>
    <m/>
    <m/>
    <m/>
    <m/>
    <m/>
    <m/>
    <s v="Yes"/>
    <n v="35"/>
    <m/>
    <m/>
    <s v="Commented Video"/>
    <s v="Comment"/>
    <s v="In spanish first please, speed speed, jeejje. Thanks a lot"/>
    <s v="UCJNf_zUjSFMnCJSjjr2I2cw"/>
    <s v="Carlos Alvarez Solis"/>
    <s v="http://www.youtube.com/channel/UCJNf_zUjSFMnCJSjjr2I2cw"/>
    <m/>
    <s v="6vJIAJNTdG0"/>
    <s v="https://www.youtube.com/watch?v=6vJIAJNTdG0"/>
    <s v="none"/>
    <n v="1"/>
    <x v="32"/>
    <d v="2020-06-20T15:31:27.000"/>
    <m/>
    <m/>
    <m/>
    <n v="1"/>
    <s v="8"/>
    <s v="8"/>
    <n v="0"/>
    <n v="0"/>
    <n v="0"/>
    <n v="0"/>
    <n v="0"/>
    <n v="0"/>
    <n v="10"/>
    <n v="100"/>
    <n v="10"/>
  </r>
  <r>
    <s v="UCR5WT6Lkv9pdX_xsvQ6YyDg"/>
    <s v="UCOnfASrbw0effD5EpxKpnmA"/>
    <m/>
    <m/>
    <m/>
    <m/>
    <m/>
    <m/>
    <m/>
    <m/>
    <s v="Yes"/>
    <n v="36"/>
    <m/>
    <m/>
    <s v="Replied Comment"/>
    <s v="Reply"/>
    <s v="Glad you found this tutorial helpful, Mohd. Keep up the good work!"/>
    <s v="UCR5WT6Lkv9pdX_xsvQ6YyDg"/>
    <s v="Nestor Adrianzen"/>
    <s v="http://www.youtube.com/channel/UCR5WT6Lkv9pdX_xsvQ6YyDg"/>
    <s v="UgyuB98lsQbXjD4YkQh4AaABAg"/>
    <s v="6vJIAJNTdG0"/>
    <s v="https://www.youtube.com/watch?v=6vJIAJNTdG0"/>
    <s v="none"/>
    <n v="1"/>
    <x v="33"/>
    <d v="2020-06-21T04:02:13.000"/>
    <m/>
    <m/>
    <m/>
    <n v="2"/>
    <s v="8"/>
    <s v="8"/>
    <n v="4"/>
    <n v="33.333333333333336"/>
    <n v="0"/>
    <n v="0"/>
    <n v="0"/>
    <n v="0"/>
    <n v="8"/>
    <n v="66.66666666666667"/>
    <n v="12"/>
  </r>
  <r>
    <s v="UCR5WT6Lkv9pdX_xsvQ6YyDg"/>
    <s v="UCOnfASrbw0effD5EpxKpnmA"/>
    <m/>
    <m/>
    <m/>
    <m/>
    <m/>
    <m/>
    <m/>
    <m/>
    <s v="Yes"/>
    <n v="37"/>
    <m/>
    <m/>
    <s v="Replied Comment"/>
    <s v="Reply"/>
    <s v="@mohd muzammil Thanks for your suggestion. I&amp;#39;ll add it to my to-do list. In the meantime, I hope you are enjoying the tutorials. Cheers!"/>
    <s v="UCR5WT6Lkv9pdX_xsvQ6YyDg"/>
    <s v="Nestor Adrianzen"/>
    <s v="http://www.youtube.com/channel/UCR5WT6Lkv9pdX_xsvQ6YyDg"/>
    <s v="UgyuB98lsQbXjD4YkQh4AaABAg"/>
    <s v="6vJIAJNTdG0"/>
    <s v="https://www.youtube.com/watch?v=6vJIAJNTdG0"/>
    <s v="none"/>
    <n v="0"/>
    <x v="34"/>
    <d v="2020-06-23T02:47:23.000"/>
    <m/>
    <m/>
    <m/>
    <n v="2"/>
    <s v="8"/>
    <s v="8"/>
    <n v="1"/>
    <n v="3.7037037037037037"/>
    <n v="0"/>
    <n v="0"/>
    <n v="0"/>
    <n v="0"/>
    <n v="26"/>
    <n v="96.29629629629629"/>
    <n v="27"/>
  </r>
  <r>
    <s v="UCOnfASrbw0effD5EpxKpnmA"/>
    <s v="UCR5WT6Lkv9pdX_xsvQ6YyDg"/>
    <m/>
    <m/>
    <m/>
    <m/>
    <m/>
    <m/>
    <m/>
    <m/>
    <s v="Yes"/>
    <n v="38"/>
    <m/>
    <m/>
    <s v="Commented Video"/>
    <s v="Comment"/>
    <s v="Found very useful thank you"/>
    <s v="UCOnfASrbw0effD5EpxKpnmA"/>
    <s v="mohd muzammil"/>
    <s v="http://www.youtube.com/channel/UCOnfASrbw0effD5EpxKpnmA"/>
    <m/>
    <s v="6vJIAJNTdG0"/>
    <s v="https://www.youtube.com/watch?v=6vJIAJNTdG0"/>
    <s v="none"/>
    <n v="0"/>
    <x v="35"/>
    <d v="2020-06-20T22:00:09.000"/>
    <m/>
    <m/>
    <m/>
    <n v="1"/>
    <s v="8"/>
    <s v="8"/>
    <n v="2"/>
    <n v="40"/>
    <n v="0"/>
    <n v="0"/>
    <n v="0"/>
    <n v="0"/>
    <n v="3"/>
    <n v="60"/>
    <n v="5"/>
  </r>
  <r>
    <s v="UCOnfASrbw0effD5EpxKpnmA"/>
    <s v="UCOnfASrbw0effD5EpxKpnmA"/>
    <m/>
    <m/>
    <m/>
    <m/>
    <m/>
    <m/>
    <m/>
    <m/>
    <s v="No"/>
    <n v="39"/>
    <m/>
    <m/>
    <s v="Replied Comment"/>
    <s v="Reply"/>
    <s v="@Nestor Adrianzen kindly need your help with a RLS detailed on basic &amp;amp; Dyanamic security levels tutorials your respond will highly. appreciated"/>
    <s v="UCOnfASrbw0effD5EpxKpnmA"/>
    <s v="mohd muzammil"/>
    <s v="http://www.youtube.com/channel/UCOnfASrbw0effD5EpxKpnmA"/>
    <s v="UgyuB98lsQbXjD4YkQh4AaABAg"/>
    <s v="6vJIAJNTdG0"/>
    <s v="https://www.youtube.com/watch?v=6vJIAJNTdG0"/>
    <s v="none"/>
    <n v="1"/>
    <x v="36"/>
    <d v="2020-06-21T18:57:39.000"/>
    <m/>
    <m/>
    <m/>
    <n v="1"/>
    <s v="8"/>
    <s v="8"/>
    <n v="2"/>
    <n v="9.090909090909092"/>
    <n v="0"/>
    <n v="0"/>
    <n v="0"/>
    <n v="0"/>
    <n v="20"/>
    <n v="90.9090909090909"/>
    <n v="22"/>
  </r>
  <r>
    <s v="UCHQ7g1xX-e9rghxNR4ChsOg"/>
    <s v="UCKhZm9FwH3Agf6k2p_OIsAQ"/>
    <m/>
    <m/>
    <m/>
    <m/>
    <m/>
    <m/>
    <m/>
    <m/>
    <s v="Yes"/>
    <n v="40"/>
    <m/>
    <m/>
    <s v="Replied Comment"/>
    <s v="Reply"/>
    <s v="Thanks"/>
    <s v="UCHQ7g1xX-e9rghxNR4ChsOg"/>
    <s v="laxmi skills"/>
    <s v="http://www.youtube.com/channel/UCHQ7g1xX-e9rghxNR4ChsOg"/>
    <s v="UgzMXEO2cK-UYJVKxVJ4AaABAg"/>
    <s v="XDmnHdGD5iE"/>
    <s v="https://www.youtube.com/watch?v=XDmnHdGD5iE"/>
    <s v="none"/>
    <n v="0"/>
    <x v="37"/>
    <d v="2020-06-20T16:02:51.000"/>
    <m/>
    <m/>
    <m/>
    <n v="1"/>
    <s v="16"/>
    <s v="16"/>
    <n v="0"/>
    <n v="0"/>
    <n v="0"/>
    <n v="0"/>
    <n v="0"/>
    <n v="0"/>
    <n v="1"/>
    <n v="100"/>
    <n v="1"/>
  </r>
  <r>
    <s v="UCKhZm9FwH3Agf6k2p_OIsAQ"/>
    <s v="UCHQ7g1xX-e9rghxNR4ChsOg"/>
    <m/>
    <m/>
    <m/>
    <m/>
    <m/>
    <m/>
    <m/>
    <m/>
    <s v="Yes"/>
    <n v="41"/>
    <m/>
    <m/>
    <s v="Commented Video"/>
    <s v="Comment"/>
    <s v="Nice"/>
    <s v="UCKhZm9FwH3Agf6k2p_OIsAQ"/>
    <s v="Way To Excel"/>
    <s v="http://www.youtube.com/channel/UCKhZm9FwH3Agf6k2p_OIsAQ"/>
    <m/>
    <s v="XDmnHdGD5iE"/>
    <s v="https://www.youtube.com/watch?v=XDmnHdGD5iE"/>
    <s v="none"/>
    <n v="1"/>
    <x v="38"/>
    <d v="2020-06-20T15:28:10.000"/>
    <m/>
    <m/>
    <m/>
    <n v="1"/>
    <s v="16"/>
    <s v="16"/>
    <n v="1"/>
    <n v="100"/>
    <n v="0"/>
    <n v="0"/>
    <n v="0"/>
    <n v="0"/>
    <n v="0"/>
    <n v="0"/>
    <n v="1"/>
  </r>
  <r>
    <s v="UCHQ7g1xX-e9rghxNR4ChsOg"/>
    <s v="UCrh8CGftRFYnUFanFFE932A"/>
    <m/>
    <m/>
    <m/>
    <m/>
    <m/>
    <m/>
    <m/>
    <m/>
    <s v="Yes"/>
    <n v="42"/>
    <m/>
    <m/>
    <s v="Replied Comment"/>
    <s v="Reply"/>
    <s v="Always welcome"/>
    <s v="UCHQ7g1xX-e9rghxNR4ChsOg"/>
    <s v="laxmi skills"/>
    <s v="http://www.youtube.com/channel/UCHQ7g1xX-e9rghxNR4ChsOg"/>
    <s v="Ugxg3zms5LQAwAWTufd4AaABAg"/>
    <s v="XDmnHdGD5iE"/>
    <s v="https://www.youtube.com/watch?v=XDmnHdGD5iE"/>
    <s v="none"/>
    <n v="0"/>
    <x v="39"/>
    <d v="2020-06-20T16:02:58.000"/>
    <m/>
    <m/>
    <m/>
    <n v="1"/>
    <s v="16"/>
    <s v="16"/>
    <n v="1"/>
    <n v="50"/>
    <n v="0"/>
    <n v="0"/>
    <n v="0"/>
    <n v="0"/>
    <n v="1"/>
    <n v="50"/>
    <n v="2"/>
  </r>
  <r>
    <s v="UCrh8CGftRFYnUFanFFE932A"/>
    <s v="UCHQ7g1xX-e9rghxNR4ChsOg"/>
    <m/>
    <m/>
    <m/>
    <m/>
    <m/>
    <m/>
    <m/>
    <m/>
    <s v="Yes"/>
    <n v="43"/>
    <m/>
    <m/>
    <s v="Commented Video"/>
    <s v="Comment"/>
    <s v="Thanks for the giving latest updates"/>
    <s v="UCrh8CGftRFYnUFanFFE932A"/>
    <s v="madhu m"/>
    <s v="http://www.youtube.com/channel/UCrh8CGftRFYnUFanFFE932A"/>
    <m/>
    <s v="XDmnHdGD5iE"/>
    <s v="https://www.youtube.com/watch?v=XDmnHdGD5iE"/>
    <s v="none"/>
    <n v="1"/>
    <x v="40"/>
    <d v="2020-06-20T15:51:02.000"/>
    <m/>
    <m/>
    <m/>
    <n v="1"/>
    <s v="16"/>
    <s v="16"/>
    <n v="0"/>
    <n v="0"/>
    <n v="0"/>
    <n v="0"/>
    <n v="0"/>
    <n v="0"/>
    <n v="6"/>
    <n v="100"/>
    <n v="6"/>
  </r>
  <r>
    <s v="UCHQ7g1xX-e9rghxNR4ChsOg"/>
    <s v="UCYyWCfl36cbHL4ObejxDLNw"/>
    <m/>
    <m/>
    <m/>
    <m/>
    <m/>
    <m/>
    <m/>
    <m/>
    <s v="Yes"/>
    <n v="44"/>
    <m/>
    <m/>
    <s v="Replied Comment"/>
    <s v="Reply"/>
    <s v="Thanks"/>
    <s v="UCHQ7g1xX-e9rghxNR4ChsOg"/>
    <s v="laxmi skills"/>
    <s v="http://www.youtube.com/channel/UCHQ7g1xX-e9rghxNR4ChsOg"/>
    <s v="UgxN9fYFznq-7OZmCWl4AaABAg"/>
    <s v="XDmnHdGD5iE"/>
    <s v="https://www.youtube.com/watch?v=XDmnHdGD5iE"/>
    <s v="none"/>
    <n v="0"/>
    <x v="41"/>
    <d v="2020-06-20T16:03:03.000"/>
    <m/>
    <m/>
    <m/>
    <n v="1"/>
    <s v="16"/>
    <s v="16"/>
    <n v="0"/>
    <n v="0"/>
    <n v="0"/>
    <n v="0"/>
    <n v="0"/>
    <n v="0"/>
    <n v="1"/>
    <n v="100"/>
    <n v="1"/>
  </r>
  <r>
    <s v="UCYyWCfl36cbHL4ObejxDLNw"/>
    <s v="UCHQ7g1xX-e9rghxNR4ChsOg"/>
    <m/>
    <m/>
    <m/>
    <m/>
    <m/>
    <m/>
    <m/>
    <m/>
    <s v="Yes"/>
    <n v="45"/>
    <m/>
    <m/>
    <s v="Commented Video"/>
    <s v="Comment"/>
    <s v="Good job bro"/>
    <s v="UCYyWCfl36cbHL4ObejxDLNw"/>
    <s v="v sr"/>
    <s v="http://www.youtube.com/channel/UCYyWCfl36cbHL4ObejxDLNw"/>
    <m/>
    <s v="XDmnHdGD5iE"/>
    <s v="https://www.youtube.com/watch?v=XDmnHdGD5iE"/>
    <s v="none"/>
    <n v="1"/>
    <x v="42"/>
    <d v="2020-06-20T15:52:22.000"/>
    <m/>
    <m/>
    <m/>
    <n v="1"/>
    <s v="16"/>
    <s v="16"/>
    <n v="1"/>
    <n v="33.333333333333336"/>
    <n v="0"/>
    <n v="0"/>
    <n v="0"/>
    <n v="0"/>
    <n v="2"/>
    <n v="66.66666666666667"/>
    <n v="3"/>
  </r>
  <r>
    <s v="UCLKL6RjR4FG0_kWNw7mJS1A"/>
    <s v="UCJNf_zUjSFMnCJSjjr2I2cw"/>
    <m/>
    <m/>
    <m/>
    <m/>
    <m/>
    <m/>
    <m/>
    <m/>
    <s v="Yes"/>
    <n v="46"/>
    <m/>
    <m/>
    <s v="Replied Comment"/>
    <s v="Reply"/>
    <s v="Excelente."/>
    <s v="UCLKL6RjR4FG0_kWNw7mJS1A"/>
    <s v="Tutoliber"/>
    <s v="http://www.youtube.com/channel/UCLKL6RjR4FG0_kWNw7mJS1A"/>
    <s v="UgwSpq6-UjR9JgZTJkZ4AaABAg"/>
    <s v="oVhk6C3hzvk"/>
    <s v="https://www.youtube.com/watch?v=oVhk6C3hzvk"/>
    <s v="none"/>
    <n v="0"/>
    <x v="43"/>
    <d v="2020-06-20T17:43:58.000"/>
    <m/>
    <m/>
    <m/>
    <n v="1"/>
    <s v="8"/>
    <s v="8"/>
    <n v="0"/>
    <n v="0"/>
    <n v="0"/>
    <n v="0"/>
    <n v="0"/>
    <n v="0"/>
    <n v="1"/>
    <n v="100"/>
    <n v="1"/>
  </r>
  <r>
    <s v="UCJNf_zUjSFMnCJSjjr2I2cw"/>
    <s v="UCLKL6RjR4FG0_kWNw7mJS1A"/>
    <m/>
    <m/>
    <m/>
    <m/>
    <m/>
    <m/>
    <m/>
    <m/>
    <s v="Yes"/>
    <n v="47"/>
    <m/>
    <m/>
    <s v="Commented Video"/>
    <s v="Comment"/>
    <s v="Me sirve para logistica, 6 transportistas a donde van y optimizar cargas y destinos. Gracias"/>
    <s v="UCJNf_zUjSFMnCJSjjr2I2cw"/>
    <s v="Carlos Alvarez Solis"/>
    <s v="http://www.youtube.com/channel/UCJNf_zUjSFMnCJSjjr2I2cw"/>
    <m/>
    <s v="oVhk6C3hzvk"/>
    <s v="https://www.youtube.com/watch?v=oVhk6C3hzvk"/>
    <s v="none"/>
    <n v="1"/>
    <x v="44"/>
    <d v="2020-06-20T16:50:58.000"/>
    <m/>
    <m/>
    <m/>
    <n v="1"/>
    <s v="8"/>
    <s v="8"/>
    <n v="0"/>
    <n v="0"/>
    <n v="0"/>
    <n v="0"/>
    <n v="0"/>
    <n v="0"/>
    <n v="15"/>
    <n v="100"/>
    <n v="15"/>
  </r>
  <r>
    <s v="UCLKL6RjR4FG0_kWNw7mJS1A"/>
    <s v="UCMhHl1VbqopFrfmyV9nmCWA"/>
    <m/>
    <m/>
    <m/>
    <m/>
    <m/>
    <m/>
    <m/>
    <m/>
    <s v="Yes"/>
    <n v="48"/>
    <m/>
    <m/>
    <s v="Replied Comment"/>
    <s v="Reply"/>
    <s v="Excelente me alegra que sea de tu utilidad."/>
    <s v="UCLKL6RjR4FG0_kWNw7mJS1A"/>
    <s v="Tutoliber"/>
    <s v="http://www.youtube.com/channel/UCLKL6RjR4FG0_kWNw7mJS1A"/>
    <s v="UgxkA7bf64NuYsju1IN4AaABAg"/>
    <s v="oVhk6C3hzvk"/>
    <s v="https://www.youtube.com/watch?v=oVhk6C3hzvk"/>
    <s v="none"/>
    <n v="0"/>
    <x v="45"/>
    <d v="2020-06-21T03:50:46.000"/>
    <m/>
    <m/>
    <m/>
    <n v="1"/>
    <s v="8"/>
    <s v="8"/>
    <n v="0"/>
    <n v="0"/>
    <n v="0"/>
    <n v="0"/>
    <n v="0"/>
    <n v="0"/>
    <n v="8"/>
    <n v="100"/>
    <n v="8"/>
  </r>
  <r>
    <s v="UCMhHl1VbqopFrfmyV9nmCWA"/>
    <s v="UCLKL6RjR4FG0_kWNw7mJS1A"/>
    <m/>
    <m/>
    <m/>
    <m/>
    <m/>
    <m/>
    <m/>
    <m/>
    <s v="Yes"/>
    <n v="49"/>
    <m/>
    <m/>
    <s v="Commented Video"/>
    <s v="Comment"/>
    <s v="Yo en Finanzas no se me ocurre cómo usarlo, pero es interesante saber que existe."/>
    <s v="UCMhHl1VbqopFrfmyV9nmCWA"/>
    <s v="totvabe1"/>
    <s v="http://www.youtube.com/channel/UCMhHl1VbqopFrfmyV9nmCWA"/>
    <m/>
    <s v="oVhk6C3hzvk"/>
    <s v="https://www.youtube.com/watch?v=oVhk6C3hzvk"/>
    <s v="none"/>
    <n v="1"/>
    <x v="46"/>
    <d v="2020-06-21T00:58:03.000"/>
    <m/>
    <m/>
    <m/>
    <n v="1"/>
    <s v="8"/>
    <s v="8"/>
    <n v="0"/>
    <n v="0"/>
    <n v="0"/>
    <n v="0"/>
    <n v="0"/>
    <n v="0"/>
    <n v="15"/>
    <n v="100"/>
    <n v="15"/>
  </r>
  <r>
    <s v="UCLKL6RjR4FG0_kWNw7mJS1A"/>
    <s v="UCUGy2u7dX3z-0TxexjH6Y7Q"/>
    <m/>
    <m/>
    <m/>
    <m/>
    <m/>
    <m/>
    <m/>
    <m/>
    <s v="Yes"/>
    <n v="50"/>
    <m/>
    <m/>
    <s v="Replied Comment"/>
    <s v="Reply"/>
    <s v="Excelente me alegra que sea de tu utilidad."/>
    <s v="UCLKL6RjR4FG0_kWNw7mJS1A"/>
    <s v="Tutoliber"/>
    <s v="http://www.youtube.com/channel/UCLKL6RjR4FG0_kWNw7mJS1A"/>
    <s v="UgyI_YPtbECqajJqqHF4AaABAg"/>
    <s v="oVhk6C3hzvk"/>
    <s v="https://www.youtube.com/watch?v=oVhk6C3hzvk"/>
    <s v="none"/>
    <n v="0"/>
    <x v="47"/>
    <d v="2020-06-21T03:50:42.000"/>
    <m/>
    <m/>
    <m/>
    <n v="1"/>
    <s v="8"/>
    <s v="8"/>
    <n v="0"/>
    <n v="0"/>
    <n v="0"/>
    <n v="0"/>
    <n v="0"/>
    <n v="0"/>
    <n v="8"/>
    <n v="100"/>
    <n v="8"/>
  </r>
  <r>
    <s v="UCUGy2u7dX3z-0TxexjH6Y7Q"/>
    <s v="UCLKL6RjR4FG0_kWNw7mJS1A"/>
    <m/>
    <m/>
    <m/>
    <m/>
    <m/>
    <m/>
    <m/>
    <m/>
    <s v="Yes"/>
    <n v="51"/>
    <m/>
    <m/>
    <s v="Commented Video"/>
    <s v="Comment"/>
    <s v="Gracias por compartir sigue así, éxitos"/>
    <s v="UCUGy2u7dX3z-0TxexjH6Y7Q"/>
    <s v="Ernesto Cornejo"/>
    <s v="http://www.youtube.com/channel/UCUGy2u7dX3z-0TxexjH6Y7Q"/>
    <m/>
    <s v="oVhk6C3hzvk"/>
    <s v="https://www.youtube.com/watch?v=oVhk6C3hzvk"/>
    <s v="none"/>
    <n v="1"/>
    <x v="48"/>
    <d v="2020-06-21T03:47:56.000"/>
    <m/>
    <m/>
    <m/>
    <n v="1"/>
    <s v="8"/>
    <s v="8"/>
    <n v="0"/>
    <n v="0"/>
    <n v="0"/>
    <n v="0"/>
    <n v="0"/>
    <n v="0"/>
    <n v="6"/>
    <n v="100"/>
    <n v="6"/>
  </r>
  <r>
    <s v="UCLKL6RjR4FG0_kWNw7mJS1A"/>
    <s v="UC-rXjJvywcQKgiGeGcZCATA"/>
    <m/>
    <m/>
    <m/>
    <m/>
    <m/>
    <m/>
    <m/>
    <m/>
    <s v="Yes"/>
    <n v="52"/>
    <m/>
    <m/>
    <s v="Replied Comment"/>
    <s v="Reply"/>
    <s v="Me alegra que sea de tu utilidad.  Y también te invito a registrarte si aún no lo has hecho . Éxitos"/>
    <s v="UCLKL6RjR4FG0_kWNw7mJS1A"/>
    <s v="Tutoliber"/>
    <s v="http://www.youtube.com/channel/UCLKL6RjR4FG0_kWNw7mJS1A"/>
    <s v="UgwG_DX-lWDj4pR9N-d4AaABAg"/>
    <s v="oVhk6C3hzvk"/>
    <s v="https://www.youtube.com/watch?v=oVhk6C3hzvk"/>
    <s v="none"/>
    <n v="0"/>
    <x v="49"/>
    <d v="2020-06-23T07:56:55.000"/>
    <m/>
    <m/>
    <m/>
    <n v="1"/>
    <s v="8"/>
    <s v="8"/>
    <n v="0"/>
    <n v="0"/>
    <n v="0"/>
    <n v="0"/>
    <n v="0"/>
    <n v="0"/>
    <n v="20"/>
    <n v="100"/>
    <n v="20"/>
  </r>
  <r>
    <s v="UC-rXjJvywcQKgiGeGcZCATA"/>
    <s v="UCLKL6RjR4FG0_kWNw7mJS1A"/>
    <m/>
    <m/>
    <m/>
    <m/>
    <m/>
    <m/>
    <m/>
    <m/>
    <s v="Yes"/>
    <n v="53"/>
    <m/>
    <m/>
    <s v="Commented Video"/>
    <s v="Comment"/>
    <s v="Jean he visto muchos vídeos de Power BI y déjame decirte que tu aporte es de gran nivel, nada que envidiar a udemy o corusera. &lt;br /&gt;Sigue así, llegaras lejos"/>
    <s v="UC-rXjJvywcQKgiGeGcZCATA"/>
    <s v="Eddie Palomino Ochoa"/>
    <s v="http://www.youtube.com/channel/UC-rXjJvywcQKgiGeGcZCATA"/>
    <m/>
    <s v="oVhk6C3hzvk"/>
    <s v="https://www.youtube.com/watch?v=oVhk6C3hzvk"/>
    <s v="none"/>
    <n v="1"/>
    <x v="50"/>
    <d v="2020-06-23T07:50:01.000"/>
    <m/>
    <m/>
    <m/>
    <n v="1"/>
    <s v="8"/>
    <s v="8"/>
    <n v="0"/>
    <n v="0"/>
    <n v="0"/>
    <n v="0"/>
    <n v="0"/>
    <n v="0"/>
    <n v="30"/>
    <n v="100"/>
    <n v="30"/>
  </r>
  <r>
    <s v="UCFp1vaKzpfvoGai0vE5VJ0w"/>
    <s v="UCmTk8A8oJsDRZk15-Zs0rng"/>
    <m/>
    <m/>
    <m/>
    <m/>
    <m/>
    <m/>
    <m/>
    <m/>
    <s v="Yes"/>
    <n v="54"/>
    <m/>
    <m/>
    <s v="Replied Comment"/>
    <s v="Reply"/>
    <s v="Welcome Amit! 👊"/>
    <s v="UCFp1vaKzpfvoGai0vE5VJ0w"/>
    <s v="Guy in a Cube"/>
    <s v="http://www.youtube.com/channel/UCFp1vaKzpfvoGai0vE5VJ0w"/>
    <s v="UgxPH8nqLTJK3DQY9KJ4AaABAg"/>
    <s v="f9gYFWp4Zb4"/>
    <s v="https://www.youtube.com/watch?v=f9gYFWp4Zb4"/>
    <s v="none"/>
    <n v="0"/>
    <x v="51"/>
    <d v="2020-06-20T23:21:08.000"/>
    <m/>
    <m/>
    <m/>
    <n v="1"/>
    <s v="2"/>
    <s v="2"/>
    <n v="1"/>
    <n v="50"/>
    <n v="0"/>
    <n v="0"/>
    <n v="0"/>
    <n v="0"/>
    <n v="1"/>
    <n v="50"/>
    <n v="2"/>
  </r>
  <r>
    <s v="UCmTk8A8oJsDRZk15-Zs0rng"/>
    <s v="UCFp1vaKzpfvoGai0vE5VJ0w"/>
    <m/>
    <m/>
    <m/>
    <m/>
    <m/>
    <m/>
    <m/>
    <m/>
    <s v="Yes"/>
    <n v="55"/>
    <m/>
    <m/>
    <s v="Commented Video"/>
    <s v="Comment"/>
    <s v="&lt;a href=&quot;http://www.youtube.com/results?search_query=%23new&quot;&gt;#new&lt;/a&gt;"/>
    <s v="UCmTk8A8oJsDRZk15-Zs0rng"/>
    <s v="Amit Upadhyay"/>
    <s v="http://www.youtube.com/channel/UCmTk8A8oJsDRZk15-Zs0rng"/>
    <m/>
    <s v="f9gYFWp4Zb4"/>
    <s v="https://www.youtube.com/watch?v=f9gYFWp4Zb4"/>
    <s v="none"/>
    <n v="1"/>
    <x v="52"/>
    <d v="2020-06-20T18:29:11.000"/>
    <s v=" http://www.youtube.com/results?search_query=%23new"/>
    <s v="youtube.com"/>
    <m/>
    <n v="1"/>
    <s v="2"/>
    <s v="2"/>
    <n v="0"/>
    <n v="0"/>
    <n v="0"/>
    <n v="0"/>
    <n v="0"/>
    <n v="0"/>
    <n v="11"/>
    <n v="100"/>
    <n v="11"/>
  </r>
  <r>
    <s v="UCFp1vaKzpfvoGai0vE5VJ0w"/>
    <s v="UC6bRQV45_B5wpO2bnDjDyow"/>
    <m/>
    <m/>
    <m/>
    <m/>
    <m/>
    <m/>
    <m/>
    <m/>
    <s v="Yes"/>
    <n v="56"/>
    <m/>
    <m/>
    <s v="Replied Comment"/>
    <s v="Reply"/>
    <s v="Not enough info to answer. Please provide more details or post a longer form post on &lt;a href=&quot;https://community.powerbi.com/&quot;&gt;https://community.powerbi.com&lt;/a&gt;"/>
    <s v="UCFp1vaKzpfvoGai0vE5VJ0w"/>
    <s v="Guy in a Cube"/>
    <s v="http://www.youtube.com/channel/UCFp1vaKzpfvoGai0vE5VJ0w"/>
    <s v="UgyHsrnStsVqYYsOgcR4AaABAg"/>
    <s v="f9gYFWp4Zb4"/>
    <s v="https://www.youtube.com/watch?v=f9gYFWp4Zb4"/>
    <s v="none"/>
    <n v="1"/>
    <x v="53"/>
    <d v="2020-06-21T00:30:52.000"/>
    <s v=" https://community.powerbi.com/ https://community.powerbi.com"/>
    <s v="powerbi.com powerbi.com"/>
    <m/>
    <n v="1"/>
    <s v="2"/>
    <s v="2"/>
    <n v="1"/>
    <n v="3.7037037037037037"/>
    <n v="0"/>
    <n v="0"/>
    <n v="0"/>
    <n v="0"/>
    <n v="26"/>
    <n v="96.29629629629629"/>
    <n v="27"/>
  </r>
  <r>
    <s v="UC6bRQV45_B5wpO2bnDjDyow"/>
    <s v="UCFp1vaKzpfvoGai0vE5VJ0w"/>
    <m/>
    <m/>
    <m/>
    <m/>
    <m/>
    <m/>
    <m/>
    <m/>
    <s v="Yes"/>
    <n v="57"/>
    <m/>
    <m/>
    <s v="Commented Video"/>
    <s v="Comment"/>
    <s v="Hello the experts out there , i&amp;#39;ve been trying for a while to import data from the web in power bi. But my problem is that i need first to connect before getting the data. Any one here an idea on how to access those datas ???"/>
    <s v="UC6bRQV45_B5wpO2bnDjDyow"/>
    <s v="Jean-Louis Manga"/>
    <s v="http://www.youtube.com/channel/UC6bRQV45_B5wpO2bnDjDyow"/>
    <m/>
    <s v="f9gYFWp4Zb4"/>
    <s v="https://www.youtube.com/watch?v=f9gYFWp4Zb4"/>
    <s v="none"/>
    <n v="0"/>
    <x v="54"/>
    <d v="2020-06-20T23:26:03.000"/>
    <m/>
    <m/>
    <m/>
    <n v="1"/>
    <s v="2"/>
    <s v="2"/>
    <n v="0"/>
    <n v="0"/>
    <n v="1"/>
    <n v="2.127659574468085"/>
    <n v="0"/>
    <n v="0"/>
    <n v="46"/>
    <n v="97.87234042553192"/>
    <n v="47"/>
  </r>
  <r>
    <s v="UC6bRQV45_B5wpO2bnDjDyow"/>
    <s v="UC6bRQV45_B5wpO2bnDjDyow"/>
    <m/>
    <m/>
    <m/>
    <m/>
    <m/>
    <m/>
    <m/>
    <m/>
    <s v="No"/>
    <n v="58"/>
    <m/>
    <m/>
    <s v="Replied Comment"/>
    <s v="Reply"/>
    <s v="@Guy in a Cube Ok then i will do that !!"/>
    <s v="UC6bRQV45_B5wpO2bnDjDyow"/>
    <s v="Jean-Louis Manga"/>
    <s v="http://www.youtube.com/channel/UC6bRQV45_B5wpO2bnDjDyow"/>
    <s v="UgyHsrnStsVqYYsOgcR4AaABAg"/>
    <s v="f9gYFWp4Zb4"/>
    <s v="https://www.youtube.com/watch?v=f9gYFWp4Zb4"/>
    <s v="none"/>
    <n v="0"/>
    <x v="55"/>
    <d v="2020-06-21T02:11:01.000"/>
    <m/>
    <m/>
    <m/>
    <n v="1"/>
    <s v="2"/>
    <s v="2"/>
    <n v="0"/>
    <n v="0"/>
    <n v="0"/>
    <n v="0"/>
    <n v="0"/>
    <n v="0"/>
    <n v="10"/>
    <n v="100"/>
    <n v="10"/>
  </r>
  <r>
    <s v="UCOZRKgwJMnfnipCEy9CxCjg"/>
    <s v="UCefzkIWdkuRt3d5LpN315rw"/>
    <m/>
    <m/>
    <m/>
    <m/>
    <m/>
    <m/>
    <m/>
    <m/>
    <s v="Yes"/>
    <n v="59"/>
    <m/>
    <m/>
    <s v="Replied Comment"/>
    <s v="Reply"/>
    <s v="Great to hear!"/>
    <s v="UCOZRKgwJMnfnipCEy9CxCjg"/>
    <s v="Two Alex's"/>
    <s v="http://www.youtube.com/channel/UCOZRKgwJMnfnipCEy9CxCjg"/>
    <s v="UgwNnSwz6JZit3fAobZ4AaABAg"/>
    <s v="eUiSVGoMnPA"/>
    <s v="https://www.youtube.com/watch?v=eUiSVGoMnPA"/>
    <s v="none"/>
    <n v="0"/>
    <x v="56"/>
    <d v="2020-06-20T20:39:09.000"/>
    <m/>
    <m/>
    <m/>
    <n v="1"/>
    <s v="15"/>
    <s v="15"/>
    <n v="1"/>
    <n v="33.333333333333336"/>
    <n v="0"/>
    <n v="0"/>
    <n v="0"/>
    <n v="0"/>
    <n v="2"/>
    <n v="66.66666666666667"/>
    <n v="3"/>
  </r>
  <r>
    <s v="UCefzkIWdkuRt3d5LpN315rw"/>
    <s v="UCOZRKgwJMnfnipCEy9CxCjg"/>
    <m/>
    <m/>
    <m/>
    <m/>
    <m/>
    <m/>
    <m/>
    <m/>
    <s v="Yes"/>
    <n v="60"/>
    <m/>
    <m/>
    <s v="Commented Video"/>
    <s v="Comment"/>
    <s v="This presentation was exactly what I needed. Thank you so much guys!"/>
    <s v="UCefzkIWdkuRt3d5LpN315rw"/>
    <s v="Christian V"/>
    <s v="http://www.youtube.com/channel/UCefzkIWdkuRt3d5LpN315rw"/>
    <m/>
    <s v="eUiSVGoMnPA"/>
    <s v="https://www.youtube.com/watch?v=eUiSVGoMnPA"/>
    <s v="none"/>
    <n v="1"/>
    <x v="57"/>
    <d v="2020-06-20T20:15:43.000"/>
    <m/>
    <m/>
    <m/>
    <n v="1"/>
    <s v="15"/>
    <s v="15"/>
    <n v="1"/>
    <n v="8.333333333333334"/>
    <n v="0"/>
    <n v="0"/>
    <n v="0"/>
    <n v="0"/>
    <n v="11"/>
    <n v="91.66666666666667"/>
    <n v="12"/>
  </r>
  <r>
    <s v="UCOZRKgwJMnfnipCEy9CxCjg"/>
    <s v="UCKp092ExKFKNPf0rFaWOS8Q"/>
    <m/>
    <m/>
    <m/>
    <m/>
    <m/>
    <m/>
    <m/>
    <m/>
    <s v="Yes"/>
    <n v="61"/>
    <m/>
    <m/>
    <s v="Replied Comment"/>
    <s v="Reply"/>
    <s v="Thanks Felipe! Love hearing that everyone is enjoying it."/>
    <s v="UCOZRKgwJMnfnipCEy9CxCjg"/>
    <s v="Two Alex's"/>
    <s v="http://www.youtube.com/channel/UCOZRKgwJMnfnipCEy9CxCjg"/>
    <s v="UgzOnXthKpwyAqxIMiR4AaABAg"/>
    <s v="eUiSVGoMnPA"/>
    <s v="https://www.youtube.com/watch?v=eUiSVGoMnPA"/>
    <s v="none"/>
    <n v="1"/>
    <x v="58"/>
    <d v="2020-06-22T17:46:58.000"/>
    <m/>
    <m/>
    <m/>
    <n v="1"/>
    <s v="15"/>
    <s v="15"/>
    <n v="2"/>
    <n v="22.22222222222222"/>
    <n v="0"/>
    <n v="0"/>
    <n v="0"/>
    <n v="0"/>
    <n v="7"/>
    <n v="77.77777777777777"/>
    <n v="9"/>
  </r>
  <r>
    <s v="UCKp092ExKFKNPf0rFaWOS8Q"/>
    <s v="UCOZRKgwJMnfnipCEy9CxCjg"/>
    <m/>
    <m/>
    <m/>
    <m/>
    <m/>
    <m/>
    <m/>
    <m/>
    <s v="Yes"/>
    <n v="62"/>
    <m/>
    <m/>
    <s v="Commented Video"/>
    <s v="Comment"/>
    <s v="Great content guys, thank you so much!"/>
    <s v="UCKp092ExKFKNPf0rFaWOS8Q"/>
    <s v="Felipe Lopes"/>
    <s v="http://www.youtube.com/channel/UCKp092ExKFKNPf0rFaWOS8Q"/>
    <m/>
    <s v="eUiSVGoMnPA"/>
    <s v="https://www.youtube.com/watch?v=eUiSVGoMnPA"/>
    <s v="none"/>
    <n v="1"/>
    <x v="59"/>
    <d v="2020-06-22T05:10:07.000"/>
    <m/>
    <m/>
    <m/>
    <n v="1"/>
    <s v="15"/>
    <s v="15"/>
    <n v="2"/>
    <n v="28.571428571428573"/>
    <n v="0"/>
    <n v="0"/>
    <n v="0"/>
    <n v="0"/>
    <n v="5"/>
    <n v="71.42857142857143"/>
    <n v="7"/>
  </r>
  <r>
    <s v="UCOZRKgwJMnfnipCEy9CxCjg"/>
    <s v="UCB4WHxT7ICmN6NBDBHlhysA"/>
    <m/>
    <m/>
    <m/>
    <m/>
    <m/>
    <m/>
    <m/>
    <m/>
    <s v="Yes"/>
    <n v="63"/>
    <m/>
    <m/>
    <s v="Replied Comment"/>
    <s v="Reply"/>
    <s v="Thank you so much! We definitely plan on diving in way deep here soon, a lot of topics need to be setup initially before we feel comfortable throwing everyone into the deep end :)"/>
    <s v="UCOZRKgwJMnfnipCEy9CxCjg"/>
    <s v="Two Alex's"/>
    <s v="http://www.youtube.com/channel/UCOZRKgwJMnfnipCEy9CxCjg"/>
    <s v="Ugy2iMX5_FHK7E1eEM94AaABAg"/>
    <s v="eUiSVGoMnPA"/>
    <s v="https://www.youtube.com/watch?v=eUiSVGoMnPA"/>
    <s v="none"/>
    <n v="0"/>
    <x v="60"/>
    <d v="2020-06-23T14:10:21.000"/>
    <m/>
    <m/>
    <m/>
    <n v="1"/>
    <s v="15"/>
    <s v="15"/>
    <n v="2"/>
    <n v="6.0606060606060606"/>
    <n v="0"/>
    <n v="0"/>
    <n v="0"/>
    <n v="0"/>
    <n v="31"/>
    <n v="93.93939393939394"/>
    <n v="33"/>
  </r>
  <r>
    <s v="UCB4WHxT7ICmN6NBDBHlhysA"/>
    <s v="UCOZRKgwJMnfnipCEy9CxCjg"/>
    <m/>
    <m/>
    <m/>
    <m/>
    <m/>
    <m/>
    <m/>
    <m/>
    <s v="Yes"/>
    <n v="64"/>
    <m/>
    <m/>
    <s v="Commented Video"/>
    <s v="Comment"/>
    <s v="Great video guys. It seems you both have found unique approaches to items many of us have been doing manually. Very cool. I&amp;#39;d be interested in seeing what other awesome tips/practices you guys use to be more efficient and automate."/>
    <s v="UCB4WHxT7ICmN6NBDBHlhysA"/>
    <s v="turkey turkey"/>
    <s v="http://www.youtube.com/channel/UCB4WHxT7ICmN6NBDBHlhysA"/>
    <m/>
    <s v="eUiSVGoMnPA"/>
    <s v="https://www.youtube.com/watch?v=eUiSVGoMnPA"/>
    <s v="none"/>
    <n v="1"/>
    <x v="61"/>
    <d v="2020-06-23T04:51:53.000"/>
    <m/>
    <m/>
    <m/>
    <n v="1"/>
    <s v="15"/>
    <s v="15"/>
    <n v="4"/>
    <n v="9.30232558139535"/>
    <n v="0"/>
    <n v="0"/>
    <n v="0"/>
    <n v="0"/>
    <n v="39"/>
    <n v="90.69767441860465"/>
    <n v="43"/>
  </r>
  <r>
    <s v="UC0kpOb4XER93vxjw7DysYsg"/>
    <s v="UCJT-Fnl8tDkFWLESDSDZjng"/>
    <m/>
    <m/>
    <m/>
    <m/>
    <m/>
    <m/>
    <m/>
    <m/>
    <s v="No"/>
    <n v="65"/>
    <m/>
    <m/>
    <s v="Replied Comment"/>
    <s v="Reply"/>
    <s v="E recebe o link por onde?.e onde é a live dele?"/>
    <s v="UC0kpOb4XER93vxjw7DysYsg"/>
    <s v="Lucas Almeida"/>
    <s v="http://www.youtube.com/channel/UC0kpOb4XER93vxjw7DysYsg"/>
    <s v="Ugz4TQ2xteRpOirAOXV4AaABAg"/>
    <s v="t8XEwOyKk00"/>
    <s v="https://www.youtube.com/watch?v=t8XEwOyKk00"/>
    <s v="none"/>
    <n v="0"/>
    <x v="62"/>
    <d v="2020-06-21T18:00:36.000"/>
    <m/>
    <m/>
    <m/>
    <n v="1"/>
    <s v="12"/>
    <s v="12"/>
    <n v="0"/>
    <n v="0"/>
    <n v="0"/>
    <n v="0"/>
    <n v="0"/>
    <n v="0"/>
    <n v="12"/>
    <n v="100"/>
    <n v="12"/>
  </r>
  <r>
    <s v="UCJT-Fnl8tDkFWLESDSDZjng"/>
    <s v="UCw0leRmeaX7R_9BDd3TvCzg"/>
    <m/>
    <m/>
    <m/>
    <m/>
    <m/>
    <m/>
    <m/>
    <m/>
    <s v="No"/>
    <n v="66"/>
    <m/>
    <m/>
    <s v="Commented Video"/>
    <s v="Comment"/>
    <s v="Último live do power BI não recebi o link. Muito obrigada pelos vídeos, são bem explicados 👍🏾🙏🏾"/>
    <s v="UCJT-Fnl8tDkFWLESDSDZjng"/>
    <s v="Imelda Mujovo"/>
    <s v="http://www.youtube.com/channel/UCJT-Fnl8tDkFWLESDSDZjng"/>
    <m/>
    <s v="t8XEwOyKk00"/>
    <s v="https://www.youtube.com/watch?v=t8XEwOyKk00"/>
    <s v="none"/>
    <n v="0"/>
    <x v="63"/>
    <d v="2020-06-21T17:07:06.000"/>
    <m/>
    <m/>
    <m/>
    <n v="1"/>
    <s v="12"/>
    <s v="12"/>
    <n v="0"/>
    <n v="0"/>
    <n v="0"/>
    <n v="0"/>
    <n v="0"/>
    <n v="0"/>
    <n v="16"/>
    <n v="100"/>
    <n v="16"/>
  </r>
  <r>
    <s v="UC4090jrwobUxtTmgxFuKxEg"/>
    <s v="UCcocBjwKz7xbgMHpMc6I_9Q"/>
    <m/>
    <m/>
    <m/>
    <m/>
    <m/>
    <m/>
    <m/>
    <m/>
    <s v="No"/>
    <n v="67"/>
    <m/>
    <m/>
    <s v="Replied Comment"/>
    <s v="Reply"/>
    <s v="No próprio BI mostra quais bancos de dados ele é compatível, sql.. Oracle.. é só fazer o login e puxar as tabelas do banco. Sugiro pedir ajuda ao suporte do ERP."/>
    <s v="UC4090jrwobUxtTmgxFuKxEg"/>
    <s v="pedroeth0"/>
    <s v="http://www.youtube.com/channel/UC4090jrwobUxtTmgxFuKxEg"/>
    <s v="UgxZCDM2obsVMq_YUPJ4AaABAg"/>
    <s v="t8XEwOyKk00"/>
    <s v="https://www.youtube.com/watch?v=t8XEwOyKk00"/>
    <s v="none"/>
    <n v="0"/>
    <x v="64"/>
    <d v="2020-06-23T00:42:15.000"/>
    <m/>
    <m/>
    <m/>
    <n v="1"/>
    <s v="12"/>
    <s v="12"/>
    <n v="0"/>
    <n v="0"/>
    <n v="0"/>
    <n v="0"/>
    <n v="0"/>
    <n v="0"/>
    <n v="31"/>
    <n v="100"/>
    <n v="31"/>
  </r>
  <r>
    <s v="UCcocBjwKz7xbgMHpMc6I_9Q"/>
    <s v="UCw0leRmeaX7R_9BDd3TvCzg"/>
    <m/>
    <m/>
    <m/>
    <m/>
    <m/>
    <m/>
    <m/>
    <m/>
    <s v="No"/>
    <n v="68"/>
    <m/>
    <m/>
    <s v="Commented Video"/>
    <s v="Comment"/>
    <s v="A minha empresa possui um ERP próprio que roda na web, mas tem login e senha pra entrar e várias sub telas para navegar, incluindo telas que geram relatórios. Para poder gerar o Dashboard no BI eu preciso sempre copiar esses dados para o Excel e importar no BI ou eu posso puxar esses dados diretamente do ERP? Agradeço a ajuda, curto demais seus vídeos!"/>
    <s v="UCcocBjwKz7xbgMHpMc6I_9Q"/>
    <s v="Rossano Monezi"/>
    <s v="http://www.youtube.com/channel/UCcocBjwKz7xbgMHpMc6I_9Q"/>
    <m/>
    <s v="t8XEwOyKk00"/>
    <s v="https://www.youtube.com/watch?v=t8XEwOyKk00"/>
    <s v="none"/>
    <n v="1"/>
    <x v="65"/>
    <d v="2020-06-22T04:50:13.000"/>
    <m/>
    <m/>
    <m/>
    <n v="1"/>
    <s v="12"/>
    <s v="12"/>
    <n v="1"/>
    <n v="1.5384615384615385"/>
    <n v="0"/>
    <n v="0"/>
    <n v="0"/>
    <n v="0"/>
    <n v="64"/>
    <n v="98.46153846153847"/>
    <n v="65"/>
  </r>
  <r>
    <s v="UCH4mvHhRxr_WHPjun9cr5PA"/>
    <s v="UCjijs1unp8JQ06H8Jrc7Kdg"/>
    <m/>
    <m/>
    <m/>
    <m/>
    <m/>
    <m/>
    <m/>
    <m/>
    <s v="Yes"/>
    <n v="69"/>
    <m/>
    <m/>
    <s v="Replied Comment"/>
    <s v="Reply"/>
    <s v="Eu tenho materia top sobre isso&lt;br /&gt;Dá uma olhada no design que eu fiz no Canva! &lt;a href=&quot;https://canva.me/gk69VTPBv7&quot;&gt;https://canva.me/gk69VTPBv7&lt;/a&gt;"/>
    <s v="UCH4mvHhRxr_WHPjun9cr5PA"/>
    <s v="Power BI na Real"/>
    <s v="http://www.youtube.com/channel/UCH4mvHhRxr_WHPjun9cr5PA"/>
    <s v="Ugzezq5hTwMIfw3Tm_Z4AaABAg"/>
    <s v="B2MDLI5o7ik"/>
    <s v="https://www.youtube.com/watch?v=B2MDLI5o7ik"/>
    <s v="none"/>
    <n v="1"/>
    <x v="66"/>
    <d v="2020-06-21T23:59:20.000"/>
    <s v=" https://canva.me/gk69VTPBv7 https://canva.me/gk69VTPBv7"/>
    <s v="canva.me canva.me"/>
    <m/>
    <n v="1"/>
    <s v="9"/>
    <s v="9"/>
    <n v="1"/>
    <n v="3.5714285714285716"/>
    <n v="0"/>
    <n v="0"/>
    <n v="0"/>
    <n v="0"/>
    <n v="27"/>
    <n v="96.42857142857143"/>
    <n v="28"/>
  </r>
  <r>
    <s v="UCjijs1unp8JQ06H8Jrc7Kdg"/>
    <s v="UCjijs1unp8JQ06H8Jrc7Kdg"/>
    <m/>
    <m/>
    <m/>
    <m/>
    <m/>
    <m/>
    <m/>
    <m/>
    <s v="No"/>
    <n v="70"/>
    <m/>
    <m/>
    <s v="Replied Comment"/>
    <s v="Reply"/>
    <s v="Top mesmo. Muito obrigado.👏👏👏👏👏👏👏"/>
    <s v="UCjijs1unp8JQ06H8Jrc7Kdg"/>
    <s v="Luciano Barros"/>
    <s v="http://www.youtube.com/channel/UCjijs1unp8JQ06H8Jrc7Kdg"/>
    <s v="Ugzezq5hTwMIfw3Tm_Z4AaABAg"/>
    <s v="B2MDLI5o7ik"/>
    <s v="https://www.youtube.com/watch?v=B2MDLI5o7ik"/>
    <s v="none"/>
    <n v="1"/>
    <x v="67"/>
    <d v="2020-06-22T03:43:06.000"/>
    <m/>
    <m/>
    <m/>
    <n v="1"/>
    <s v="9"/>
    <s v="9"/>
    <n v="1"/>
    <n v="25"/>
    <n v="0"/>
    <n v="0"/>
    <n v="0"/>
    <n v="0"/>
    <n v="3"/>
    <n v="75"/>
    <n v="4"/>
  </r>
  <r>
    <s v="UCjijs1unp8JQ06H8Jrc7Kdg"/>
    <s v="UCH4mvHhRxr_WHPjun9cr5PA"/>
    <m/>
    <m/>
    <m/>
    <m/>
    <m/>
    <m/>
    <m/>
    <m/>
    <s v="Yes"/>
    <n v="71"/>
    <m/>
    <m/>
    <s v="Commented Video"/>
    <s v="Comment"/>
    <s v="Boa tarde!&lt;br /&gt;Isso otimiza a visualização do power bi. Poderia fazer uma aula de boas práticas para que o modelo carregue mais rápido."/>
    <s v="UCjijs1unp8JQ06H8Jrc7Kdg"/>
    <s v="Luciano Barros"/>
    <s v="http://www.youtube.com/channel/UCjijs1unp8JQ06H8Jrc7Kdg"/>
    <m/>
    <s v="B2MDLI5o7ik"/>
    <s v="https://www.youtube.com/watch?v=B2MDLI5o7ik"/>
    <s v="none"/>
    <n v="2"/>
    <x v="68"/>
    <d v="2020-06-21T21:40:26.000"/>
    <m/>
    <m/>
    <m/>
    <n v="1"/>
    <s v="9"/>
    <s v="9"/>
    <n v="0"/>
    <n v="0"/>
    <n v="0"/>
    <n v="0"/>
    <n v="0"/>
    <n v="0"/>
    <n v="24"/>
    <n v="100"/>
    <n v="24"/>
  </r>
  <r>
    <s v="UCH4mvHhRxr_WHPjun9cr5PA"/>
    <s v="UCh50QUhw9b4NQmOSWVc3iWg"/>
    <m/>
    <m/>
    <m/>
    <m/>
    <m/>
    <m/>
    <m/>
    <m/>
    <s v="Yes"/>
    <n v="72"/>
    <m/>
    <m/>
    <s v="Replied Comment"/>
    <s v="Reply"/>
    <s v="Obrigado...ajude compartilhando nas redes."/>
    <s v="UCH4mvHhRxr_WHPjun9cr5PA"/>
    <s v="Power BI na Real"/>
    <s v="http://www.youtube.com/channel/UCH4mvHhRxr_WHPjun9cr5PA"/>
    <s v="UgwTy7BNqQrMDgYA5mJ4AaABAg"/>
    <s v="B2MDLI5o7ik"/>
    <s v="https://www.youtube.com/watch?v=B2MDLI5o7ik"/>
    <s v="none"/>
    <n v="0"/>
    <x v="69"/>
    <d v="2020-06-22T00:22:48.000"/>
    <m/>
    <m/>
    <m/>
    <n v="1"/>
    <s v="9"/>
    <s v="9"/>
    <n v="0"/>
    <n v="0"/>
    <n v="0"/>
    <n v="0"/>
    <n v="0"/>
    <n v="0"/>
    <n v="5"/>
    <n v="100"/>
    <n v="5"/>
  </r>
  <r>
    <s v="UCh50QUhw9b4NQmOSWVc3iWg"/>
    <s v="UCH4mvHhRxr_WHPjun9cr5PA"/>
    <m/>
    <m/>
    <m/>
    <m/>
    <m/>
    <m/>
    <m/>
    <m/>
    <s v="Yes"/>
    <n v="73"/>
    <m/>
    <m/>
    <s v="Commented Video"/>
    <s v="Comment"/>
    <s v="Muito bom Eric!"/>
    <s v="UCh50QUhw9b4NQmOSWVc3iWg"/>
    <s v="Carlos Eduardo"/>
    <s v="http://www.youtube.com/channel/UCh50QUhw9b4NQmOSWVc3iWg"/>
    <m/>
    <s v="B2MDLI5o7ik"/>
    <s v="https://www.youtube.com/watch?v=B2MDLI5o7ik"/>
    <s v="none"/>
    <n v="1"/>
    <x v="70"/>
    <d v="2020-06-22T00:11:22.000"/>
    <m/>
    <m/>
    <m/>
    <n v="1"/>
    <s v="9"/>
    <s v="9"/>
    <n v="0"/>
    <n v="0"/>
    <n v="0"/>
    <n v="0"/>
    <n v="0"/>
    <n v="0"/>
    <n v="3"/>
    <n v="100"/>
    <n v="3"/>
  </r>
  <r>
    <s v="UCH4mvHhRxr_WHPjun9cr5PA"/>
    <s v="UCwgBbIyCmAHxGC2_lL2JllQ"/>
    <m/>
    <m/>
    <m/>
    <m/>
    <m/>
    <m/>
    <m/>
    <m/>
    <s v="Yes"/>
    <n v="74"/>
    <m/>
    <m/>
    <s v="Replied Comment"/>
    <s v="Reply"/>
    <s v="Valeu pelo.apoio sempre"/>
    <s v="UCH4mvHhRxr_WHPjun9cr5PA"/>
    <s v="Power BI na Real"/>
    <s v="http://www.youtube.com/channel/UCH4mvHhRxr_WHPjun9cr5PA"/>
    <s v="Ugwre3bFwGi4OmyjS_Z4AaABAg"/>
    <s v="B2MDLI5o7ik"/>
    <s v="https://www.youtube.com/watch?v=B2MDLI5o7ik"/>
    <s v="none"/>
    <n v="0"/>
    <x v="71"/>
    <d v="2020-06-22T19:23:31.000"/>
    <m/>
    <m/>
    <m/>
    <n v="1"/>
    <s v="9"/>
    <s v="9"/>
    <n v="0"/>
    <n v="0"/>
    <n v="0"/>
    <n v="0"/>
    <n v="0"/>
    <n v="0"/>
    <n v="4"/>
    <n v="100"/>
    <n v="4"/>
  </r>
  <r>
    <s v="UCwgBbIyCmAHxGC2_lL2JllQ"/>
    <s v="UCH4mvHhRxr_WHPjun9cr5PA"/>
    <m/>
    <m/>
    <m/>
    <m/>
    <m/>
    <m/>
    <m/>
    <m/>
    <s v="Yes"/>
    <n v="75"/>
    <m/>
    <m/>
    <s v="Commented Video"/>
    <s v="Comment"/>
    <s v="Ótimas dicas !!! Top !!!"/>
    <s v="UCwgBbIyCmAHxGC2_lL2JllQ"/>
    <s v="Jeferson - Jeff Excel"/>
    <s v="http://www.youtube.com/channel/UCwgBbIyCmAHxGC2_lL2JllQ"/>
    <m/>
    <s v="B2MDLI5o7ik"/>
    <s v="https://www.youtube.com/watch?v=B2MDLI5o7ik"/>
    <s v="none"/>
    <n v="1"/>
    <x v="72"/>
    <d v="2020-06-22T11:24:42.000"/>
    <m/>
    <m/>
    <m/>
    <n v="1"/>
    <s v="9"/>
    <s v="9"/>
    <n v="1"/>
    <n v="33.333333333333336"/>
    <n v="0"/>
    <n v="0"/>
    <n v="0"/>
    <n v="0"/>
    <n v="2"/>
    <n v="66.66666666666667"/>
    <n v="3"/>
  </r>
  <r>
    <s v="UCH4mvHhRxr_WHPjun9cr5PA"/>
    <s v="UCPp5XlOY6HOF7BrCbioJqwQ"/>
    <m/>
    <m/>
    <m/>
    <m/>
    <m/>
    <m/>
    <m/>
    <m/>
    <s v="Yes"/>
    <n v="76"/>
    <m/>
    <m/>
    <s v="Replied Comment"/>
    <s v="Reply"/>
    <s v="Obrigado pelo comentário!  Tamo junto"/>
    <s v="UCH4mvHhRxr_WHPjun9cr5PA"/>
    <s v="Power BI na Real"/>
    <s v="http://www.youtube.com/channel/UCH4mvHhRxr_WHPjun9cr5PA"/>
    <s v="Ugw486LamDurRZ3kLe94AaABAg"/>
    <s v="B2MDLI5o7ik"/>
    <s v="https://www.youtube.com/watch?v=B2MDLI5o7ik"/>
    <s v="none"/>
    <n v="1"/>
    <x v="73"/>
    <d v="2020-06-22T23:53:10.000"/>
    <m/>
    <m/>
    <m/>
    <n v="2"/>
    <s v="9"/>
    <s v="9"/>
    <n v="0"/>
    <n v="0"/>
    <n v="0"/>
    <n v="0"/>
    <n v="0"/>
    <n v="0"/>
    <n v="5"/>
    <n v="100"/>
    <n v="5"/>
  </r>
  <r>
    <s v="UCH4mvHhRxr_WHPjun9cr5PA"/>
    <s v="UCPp5XlOY6HOF7BrCbioJqwQ"/>
    <m/>
    <m/>
    <m/>
    <m/>
    <m/>
    <m/>
    <m/>
    <m/>
    <s v="Yes"/>
    <n v="77"/>
    <m/>
    <m/>
    <s v="Replied Comment"/>
    <s v="Reply"/>
    <s v="&lt;a href=&quot;https://www.sympla.com.br/evento__864452&quot;&gt;https://www.sympla.com.br/evento__864452&lt;/a&gt;"/>
    <s v="UCH4mvHhRxr_WHPjun9cr5PA"/>
    <s v="Power BI na Real"/>
    <s v="http://www.youtube.com/channel/UCH4mvHhRxr_WHPjun9cr5PA"/>
    <s v="Ugw486LamDurRZ3kLe94AaABAg"/>
    <s v="B2MDLI5o7ik"/>
    <s v="https://www.youtube.com/watch?v=B2MDLI5o7ik"/>
    <s v="none"/>
    <n v="0"/>
    <x v="74"/>
    <d v="2020-06-23T02:00:55.000"/>
    <s v=" https://www.sympla.com.br/evento__864452 https://www.sympla.com.br/evento__864452"/>
    <s v="com.br com.br"/>
    <m/>
    <n v="2"/>
    <s v="9"/>
    <s v="9"/>
    <n v="0"/>
    <n v="0"/>
    <n v="0"/>
    <n v="0"/>
    <n v="0"/>
    <n v="0"/>
    <n v="15"/>
    <n v="100"/>
    <n v="15"/>
  </r>
  <r>
    <s v="UCPp5XlOY6HOF7BrCbioJqwQ"/>
    <s v="UCH4mvHhRxr_WHPjun9cr5PA"/>
    <m/>
    <m/>
    <m/>
    <m/>
    <m/>
    <m/>
    <m/>
    <m/>
    <s v="Yes"/>
    <n v="78"/>
    <m/>
    <m/>
    <s v="Commented Video"/>
    <s v="Comment"/>
    <s v="Meu brother !&lt;br /&gt;Já vi todos os vídeos sobre Power Bi da internet.&lt;br /&gt;Você é o cara mais didático e que posta os conteúdos mais relevantes !&lt;br /&gt;&lt;br /&gt;Parabéns pelo seu trabalho!&lt;br /&gt;&lt;br /&gt;Aprendi de verdade sobre tabelas virtuais vendo os seus vídeos !&lt;br /&gt;&lt;br /&gt;Você tem didática !&lt;br /&gt;&lt;br /&gt;Ensina a pescar !!!"/>
    <s v="UCPp5XlOY6HOF7BrCbioJqwQ"/>
    <s v="Felipe Borges"/>
    <s v="http://www.youtube.com/channel/UCPp5XlOY6HOF7BrCbioJqwQ"/>
    <m/>
    <s v="B2MDLI5o7ik"/>
    <s v="https://www.youtube.com/watch?v=B2MDLI5o7ik"/>
    <s v="none"/>
    <n v="1"/>
    <x v="75"/>
    <d v="2020-06-22T23:48:42.000"/>
    <m/>
    <m/>
    <m/>
    <n v="1"/>
    <s v="9"/>
    <s v="9"/>
    <n v="0"/>
    <n v="0"/>
    <n v="0"/>
    <n v="0"/>
    <n v="0"/>
    <n v="0"/>
    <n v="55"/>
    <n v="100"/>
    <n v="55"/>
  </r>
  <r>
    <s v="UCH4mvHhRxr_WHPjun9cr5PA"/>
    <s v="UClrOuAyFwHHVtW1iox3VHrQ"/>
    <m/>
    <m/>
    <m/>
    <m/>
    <m/>
    <m/>
    <m/>
    <m/>
    <s v="Yes"/>
    <n v="79"/>
    <m/>
    <m/>
    <s v="Replied Comment"/>
    <s v="Reply"/>
    <s v="Obrigado! Compartilhe com os colegas."/>
    <s v="UCH4mvHhRxr_WHPjun9cr5PA"/>
    <s v="Power BI na Real"/>
    <s v="http://www.youtube.com/channel/UCH4mvHhRxr_WHPjun9cr5PA"/>
    <s v="Ugzr14bHiAwW3rcf38R4AaABAg"/>
    <s v="B2MDLI5o7ik"/>
    <s v="https://www.youtube.com/watch?v=B2MDLI5o7ik"/>
    <s v="none"/>
    <n v="1"/>
    <x v="76"/>
    <d v="2020-06-24T05:02:56.000"/>
    <m/>
    <m/>
    <m/>
    <n v="1"/>
    <s v="9"/>
    <s v="9"/>
    <n v="0"/>
    <n v="0"/>
    <n v="0"/>
    <n v="0"/>
    <n v="0"/>
    <n v="0"/>
    <n v="5"/>
    <n v="100"/>
    <n v="5"/>
  </r>
  <r>
    <s v="UClrOuAyFwHHVtW1iox3VHrQ"/>
    <s v="UCH4mvHhRxr_WHPjun9cr5PA"/>
    <m/>
    <m/>
    <m/>
    <m/>
    <m/>
    <m/>
    <m/>
    <m/>
    <s v="Yes"/>
    <n v="80"/>
    <m/>
    <m/>
    <s v="Commented Video"/>
    <s v="Comment"/>
    <s v="Eric, Boa noite&lt;br /&gt;&lt;br /&gt;Um das melhores aulas que eu já vi direto ao ponto, gosto muito da sua didática eu ainda sofro demais com esse tipo de relatório vai ajudar muito essa dica &lt;br /&gt;muito OBRIGADO!"/>
    <s v="UClrOuAyFwHHVtW1iox3VHrQ"/>
    <s v="Eduardo Silva"/>
    <s v="http://www.youtube.com/channel/UClrOuAyFwHHVtW1iox3VHrQ"/>
    <m/>
    <s v="B2MDLI5o7ik"/>
    <s v="https://www.youtube.com/watch?v=B2MDLI5o7ik"/>
    <s v="none"/>
    <n v="1"/>
    <x v="77"/>
    <d v="2020-06-23T06:02:22.000"/>
    <m/>
    <m/>
    <m/>
    <n v="1"/>
    <s v="9"/>
    <s v="9"/>
    <n v="0"/>
    <n v="0"/>
    <n v="0"/>
    <n v="0"/>
    <n v="0"/>
    <n v="0"/>
    <n v="38"/>
    <n v="100"/>
    <n v="38"/>
  </r>
  <r>
    <s v="UCZA_5vGtSpZu86VBDdSnSag"/>
    <s v="UCXdBdFeLezLwbzJcB_ENyfA"/>
    <m/>
    <m/>
    <m/>
    <m/>
    <m/>
    <m/>
    <m/>
    <m/>
    <s v="Yes"/>
    <n v="81"/>
    <m/>
    <m/>
    <s v="Replied Comment"/>
    <s v="Reply"/>
    <s v="Thanks please share to others"/>
    <s v="UCZA_5vGtSpZu86VBDdSnSag"/>
    <s v="SS UNITECH"/>
    <s v="http://www.youtube.com/channel/UCZA_5vGtSpZu86VBDdSnSag"/>
    <s v="Ugz-1NzgZy97v7xHfnx4AaABAg"/>
    <s v="wfE9xUI5qxA"/>
    <s v="https://www.youtube.com/watch?v=wfE9xUI5qxA"/>
    <s v="none"/>
    <n v="0"/>
    <x v="78"/>
    <d v="2020-06-21T18:44:51.000"/>
    <m/>
    <m/>
    <m/>
    <n v="1"/>
    <s v="6"/>
    <s v="6"/>
    <n v="0"/>
    <n v="0"/>
    <n v="0"/>
    <n v="0"/>
    <n v="0"/>
    <n v="0"/>
    <n v="5"/>
    <n v="100"/>
    <n v="5"/>
  </r>
  <r>
    <s v="UCXdBdFeLezLwbzJcB_ENyfA"/>
    <s v="UCZA_5vGtSpZu86VBDdSnSag"/>
    <m/>
    <m/>
    <m/>
    <m/>
    <m/>
    <m/>
    <m/>
    <m/>
    <s v="Yes"/>
    <n v="82"/>
    <m/>
    <m/>
    <s v="Commented Video"/>
    <s v="Comment"/>
    <s v="Cool.&lt;br /&gt;It&amp;#39;s really great one👍"/>
    <s v="UCXdBdFeLezLwbzJcB_ENyfA"/>
    <s v="Cric Lover"/>
    <s v="http://www.youtube.com/channel/UCXdBdFeLezLwbzJcB_ENyfA"/>
    <m/>
    <s v="wfE9xUI5qxA"/>
    <s v="https://www.youtube.com/watch?v=wfE9xUI5qxA"/>
    <s v="none"/>
    <n v="1"/>
    <x v="79"/>
    <d v="2020-06-21T18:37:36.000"/>
    <m/>
    <m/>
    <m/>
    <n v="1"/>
    <s v="6"/>
    <s v="6"/>
    <n v="2"/>
    <n v="25"/>
    <n v="0"/>
    <n v="0"/>
    <n v="0"/>
    <n v="0"/>
    <n v="6"/>
    <n v="75"/>
    <n v="8"/>
  </r>
  <r>
    <s v="UCZA_5vGtSpZu86VBDdSnSag"/>
    <s v="UCMk_lrZ_7KjsatCwaRmpw2Q"/>
    <m/>
    <m/>
    <m/>
    <m/>
    <m/>
    <m/>
    <m/>
    <m/>
    <s v="Yes"/>
    <n v="83"/>
    <m/>
    <m/>
    <s v="Replied Comment"/>
    <s v="Reply"/>
    <s v="Hi Santosh,&lt;br /&gt;Tomorrow morning I will send the source file to you.&lt;br /&gt;Thanks"/>
    <s v="UCZA_5vGtSpZu86VBDdSnSag"/>
    <s v="SS UNITECH"/>
    <s v="http://www.youtube.com/channel/UCZA_5vGtSpZu86VBDdSnSag"/>
    <s v="UgyQ_HN_ejrK-hFkZ4V4AaABAg"/>
    <s v="wfE9xUI5qxA"/>
    <s v="https://www.youtube.com/watch?v=wfE9xUI5qxA"/>
    <s v="none"/>
    <n v="1"/>
    <x v="80"/>
    <d v="2020-06-21T19:28:36.000"/>
    <m/>
    <m/>
    <m/>
    <n v="1"/>
    <s v="6"/>
    <s v="6"/>
    <n v="0"/>
    <n v="0"/>
    <n v="0"/>
    <n v="0"/>
    <n v="0"/>
    <n v="0"/>
    <n v="15"/>
    <n v="100"/>
    <n v="15"/>
  </r>
  <r>
    <s v="UCMk_lrZ_7KjsatCwaRmpw2Q"/>
    <s v="UCZA_5vGtSpZu86VBDdSnSag"/>
    <m/>
    <m/>
    <m/>
    <m/>
    <m/>
    <m/>
    <m/>
    <m/>
    <s v="Yes"/>
    <n v="84"/>
    <m/>
    <m/>
    <s v="Commented Video"/>
    <s v="Comment"/>
    <s v="Hi Sir, &lt;br /&gt;Please provide the source data&lt;br /&gt;kumbarss2007@&lt;a href=&quot;http://gmail.com/&quot;&gt;gmail.com&lt;/a&gt;"/>
    <s v="UCMk_lrZ_7KjsatCwaRmpw2Q"/>
    <s v="Santoshkumar Kumbar"/>
    <s v="http://www.youtube.com/channel/UCMk_lrZ_7KjsatCwaRmpw2Q"/>
    <m/>
    <s v="wfE9xUI5qxA"/>
    <s v="https://www.youtube.com/watch?v=wfE9xUI5qxA"/>
    <s v="none"/>
    <n v="1"/>
    <x v="81"/>
    <d v="2020-06-21T19:24:44.000"/>
    <s v=" http://gmail.com/"/>
    <s v="gmail.com"/>
    <m/>
    <n v="1"/>
    <s v="6"/>
    <s v="6"/>
    <n v="0"/>
    <n v="0"/>
    <n v="0"/>
    <n v="0"/>
    <n v="0"/>
    <n v="0"/>
    <n v="18"/>
    <n v="100"/>
    <n v="18"/>
  </r>
  <r>
    <s v="UCZA_5vGtSpZu86VBDdSnSag"/>
    <s v="UCf0vXIsyUPrbz5txA2TDMJA"/>
    <m/>
    <m/>
    <m/>
    <m/>
    <m/>
    <m/>
    <m/>
    <m/>
    <s v="Yes"/>
    <n v="85"/>
    <m/>
    <m/>
    <s v="Replied Comment"/>
    <s v="Reply"/>
    <s v="Thanks Raj"/>
    <s v="UCZA_5vGtSpZu86VBDdSnSag"/>
    <s v="SS UNITECH"/>
    <s v="http://www.youtube.com/channel/UCZA_5vGtSpZu86VBDdSnSag"/>
    <s v="UgyOlEbzHpQFFp8RXRd4AaABAg"/>
    <s v="wfE9xUI5qxA"/>
    <s v="https://www.youtube.com/watch?v=wfE9xUI5qxA"/>
    <s v="none"/>
    <n v="0"/>
    <x v="82"/>
    <d v="2020-06-22T02:55:47.000"/>
    <m/>
    <m/>
    <m/>
    <n v="1"/>
    <s v="6"/>
    <s v="6"/>
    <n v="0"/>
    <n v="0"/>
    <n v="0"/>
    <n v="0"/>
    <n v="0"/>
    <n v="0"/>
    <n v="2"/>
    <n v="100"/>
    <n v="2"/>
  </r>
  <r>
    <s v="UCf0vXIsyUPrbz5txA2TDMJA"/>
    <s v="UCZA_5vGtSpZu86VBDdSnSag"/>
    <m/>
    <m/>
    <m/>
    <m/>
    <m/>
    <m/>
    <m/>
    <m/>
    <s v="Yes"/>
    <n v="86"/>
    <m/>
    <m/>
    <s v="Commented Video"/>
    <s v="Comment"/>
    <s v="Good One"/>
    <s v="UCf0vXIsyUPrbz5txA2TDMJA"/>
    <s v="Raj"/>
    <s v="http://www.youtube.com/channel/UCf0vXIsyUPrbz5txA2TDMJA"/>
    <m/>
    <s v="wfE9xUI5qxA"/>
    <s v="https://www.youtube.com/watch?v=wfE9xUI5qxA"/>
    <s v="none"/>
    <n v="1"/>
    <x v="83"/>
    <d v="2020-06-21T20:40:22.000"/>
    <m/>
    <m/>
    <m/>
    <n v="1"/>
    <s v="6"/>
    <s v="6"/>
    <n v="1"/>
    <n v="50"/>
    <n v="0"/>
    <n v="0"/>
    <n v="0"/>
    <n v="0"/>
    <n v="1"/>
    <n v="50"/>
    <n v="2"/>
  </r>
  <r>
    <s v="UCZA_5vGtSpZu86VBDdSnSag"/>
    <s v="UCEolawFx1vQ1LG_7Z5oiy0g"/>
    <m/>
    <m/>
    <m/>
    <m/>
    <m/>
    <m/>
    <m/>
    <m/>
    <s v="Yes"/>
    <n v="87"/>
    <m/>
    <m/>
    <s v="Replied Comment"/>
    <s v="Reply"/>
    <s v="Send the file Please check mail.&lt;br /&gt;Thanks"/>
    <s v="UCZA_5vGtSpZu86VBDdSnSag"/>
    <s v="SS UNITECH"/>
    <s v="http://www.youtube.com/channel/UCZA_5vGtSpZu86VBDdSnSag"/>
    <s v="Ugx6euyEPNREbBOOw0J4AaABAg"/>
    <s v="wfE9xUI5qxA"/>
    <s v="https://www.youtube.com/watch?v=wfE9xUI5qxA"/>
    <s v="none"/>
    <n v="1"/>
    <x v="84"/>
    <d v="2020-06-22T13:43:11.000"/>
    <m/>
    <m/>
    <m/>
    <n v="2"/>
    <s v="6"/>
    <s v="6"/>
    <n v="0"/>
    <n v="0"/>
    <n v="0"/>
    <n v="0"/>
    <n v="0"/>
    <n v="0"/>
    <n v="8"/>
    <n v="100"/>
    <n v="8"/>
  </r>
  <r>
    <s v="UCEolawFx1vQ1LG_7Z5oiy0g"/>
    <s v="UCEolawFx1vQ1LG_7Z5oiy0g"/>
    <m/>
    <m/>
    <m/>
    <m/>
    <m/>
    <m/>
    <m/>
    <m/>
    <s v="No"/>
    <n v="88"/>
    <m/>
    <m/>
    <s v="Replied Comment"/>
    <s v="Reply"/>
    <s v="@SS UNITECH Thank you...😊"/>
    <s v="UCEolawFx1vQ1LG_7Z5oiy0g"/>
    <s v="Srinu G"/>
    <s v="http://www.youtube.com/channel/UCEolawFx1vQ1LG_7Z5oiy0g"/>
    <s v="Ugx6euyEPNREbBOOw0J4AaABAg"/>
    <s v="wfE9xUI5qxA"/>
    <s v="https://www.youtube.com/watch?v=wfE9xUI5qxA"/>
    <s v="none"/>
    <n v="1"/>
    <x v="85"/>
    <d v="2020-06-22T14:21:22.000"/>
    <m/>
    <m/>
    <m/>
    <n v="2"/>
    <s v="6"/>
    <s v="6"/>
    <n v="1"/>
    <n v="25"/>
    <n v="0"/>
    <n v="0"/>
    <n v="0"/>
    <n v="0"/>
    <n v="3"/>
    <n v="75"/>
    <n v="4"/>
  </r>
  <r>
    <s v="UCZA_5vGtSpZu86VBDdSnSag"/>
    <s v="UCEolawFx1vQ1LG_7Z5oiy0g"/>
    <m/>
    <m/>
    <m/>
    <m/>
    <m/>
    <m/>
    <m/>
    <m/>
    <s v="Yes"/>
    <n v="89"/>
    <m/>
    <m/>
    <s v="Replied Comment"/>
    <s v="Reply"/>
    <s v="Your welcome.&lt;br /&gt;Please share to others."/>
    <s v="UCZA_5vGtSpZu86VBDdSnSag"/>
    <s v="SS UNITECH"/>
    <s v="http://www.youtube.com/channel/UCZA_5vGtSpZu86VBDdSnSag"/>
    <s v="Ugx6euyEPNREbBOOw0J4AaABAg"/>
    <s v="wfE9xUI5qxA"/>
    <s v="https://www.youtube.com/watch?v=wfE9xUI5qxA"/>
    <s v="none"/>
    <n v="1"/>
    <x v="86"/>
    <d v="2020-06-22T15:04:48.000"/>
    <m/>
    <m/>
    <m/>
    <n v="2"/>
    <s v="6"/>
    <s v="6"/>
    <n v="1"/>
    <n v="14.285714285714286"/>
    <n v="0"/>
    <n v="0"/>
    <n v="0"/>
    <n v="0"/>
    <n v="6"/>
    <n v="85.71428571428571"/>
    <n v="7"/>
  </r>
  <r>
    <s v="UCEolawFx1vQ1LG_7Z5oiy0g"/>
    <s v="UCEolawFx1vQ1LG_7Z5oiy0g"/>
    <m/>
    <m/>
    <m/>
    <m/>
    <m/>
    <m/>
    <m/>
    <m/>
    <s v="No"/>
    <n v="90"/>
    <m/>
    <m/>
    <s v="Replied Comment"/>
    <s v="Reply"/>
    <s v="@SS UNITECH sure...👍"/>
    <s v="UCEolawFx1vQ1LG_7Z5oiy0g"/>
    <s v="Srinu G"/>
    <s v="http://www.youtube.com/channel/UCEolawFx1vQ1LG_7Z5oiy0g"/>
    <s v="Ugx6euyEPNREbBOOw0J4AaABAg"/>
    <s v="wfE9xUI5qxA"/>
    <s v="https://www.youtube.com/watch?v=wfE9xUI5qxA"/>
    <s v="none"/>
    <n v="0"/>
    <x v="87"/>
    <d v="2020-06-22T15:23:51.000"/>
    <m/>
    <m/>
    <m/>
    <n v="2"/>
    <s v="6"/>
    <s v="6"/>
    <n v="0"/>
    <n v="0"/>
    <n v="0"/>
    <n v="0"/>
    <n v="0"/>
    <n v="0"/>
    <n v="3"/>
    <n v="100"/>
    <n v="3"/>
  </r>
  <r>
    <s v="UCEolawFx1vQ1LG_7Z5oiy0g"/>
    <s v="UCZA_5vGtSpZu86VBDdSnSag"/>
    <m/>
    <m/>
    <m/>
    <m/>
    <m/>
    <m/>
    <m/>
    <m/>
    <s v="Yes"/>
    <n v="91"/>
    <m/>
    <m/>
    <s v="Commented Video"/>
    <s v="Comment"/>
    <s v="Hi Sir Please Send Source File... srinivdatavisu@&lt;a href=&quot;http://gmail.com/&quot;&gt;gmail.com&lt;/a&gt;"/>
    <s v="UCEolawFx1vQ1LG_7Z5oiy0g"/>
    <s v="Srinu G"/>
    <s v="http://www.youtube.com/channel/UCEolawFx1vQ1LG_7Z5oiy0g"/>
    <m/>
    <s v="wfE9xUI5qxA"/>
    <s v="https://www.youtube.com/watch?v=wfE9xUI5qxA"/>
    <s v="none"/>
    <n v="1"/>
    <x v="88"/>
    <d v="2020-06-22T11:37:01.000"/>
    <s v=" http://gmail.com/"/>
    <s v="gmail.com"/>
    <m/>
    <n v="1"/>
    <s v="6"/>
    <s v="6"/>
    <n v="0"/>
    <n v="0"/>
    <n v="0"/>
    <n v="0"/>
    <n v="0"/>
    <n v="0"/>
    <n v="15"/>
    <n v="100"/>
    <n v="15"/>
  </r>
  <r>
    <s v="UCZA_5vGtSpZu86VBDdSnSag"/>
    <s v="UCT5IkG04XlnTVZq_ZwPH8tA"/>
    <m/>
    <m/>
    <m/>
    <m/>
    <m/>
    <m/>
    <m/>
    <m/>
    <s v="Yes"/>
    <n v="92"/>
    <m/>
    <m/>
    <s v="Replied Comment"/>
    <s v="Reply"/>
    <s v="Thanks Kartik"/>
    <s v="UCZA_5vGtSpZu86VBDdSnSag"/>
    <s v="SS UNITECH"/>
    <s v="http://www.youtube.com/channel/UCZA_5vGtSpZu86VBDdSnSag"/>
    <s v="UgyKj14qxVizKWZUodF4AaABAg"/>
    <s v="wfE9xUI5qxA"/>
    <s v="https://www.youtube.com/watch?v=wfE9xUI5qxA"/>
    <s v="none"/>
    <n v="0"/>
    <x v="89"/>
    <d v="2020-06-22T18:01:02.000"/>
    <m/>
    <m/>
    <m/>
    <n v="1"/>
    <s v="6"/>
    <s v="6"/>
    <n v="0"/>
    <n v="0"/>
    <n v="0"/>
    <n v="0"/>
    <n v="0"/>
    <n v="0"/>
    <n v="2"/>
    <n v="100"/>
    <n v="2"/>
  </r>
  <r>
    <s v="UCT5IkG04XlnTVZq_ZwPH8tA"/>
    <s v="UCZA_5vGtSpZu86VBDdSnSag"/>
    <m/>
    <m/>
    <m/>
    <m/>
    <m/>
    <m/>
    <m/>
    <m/>
    <s v="Yes"/>
    <n v="93"/>
    <m/>
    <m/>
    <s v="Commented Video"/>
    <s v="Comment"/>
    <s v="Useful video"/>
    <s v="UCT5IkG04XlnTVZq_ZwPH8tA"/>
    <s v="kartik bhardwaj"/>
    <s v="http://www.youtube.com/channel/UCT5IkG04XlnTVZq_ZwPH8tA"/>
    <m/>
    <s v="wfE9xUI5qxA"/>
    <s v="https://www.youtube.com/watch?v=wfE9xUI5qxA"/>
    <s v="none"/>
    <n v="1"/>
    <x v="90"/>
    <d v="2020-06-22T17:49:29.000"/>
    <m/>
    <m/>
    <m/>
    <n v="1"/>
    <s v="6"/>
    <s v="6"/>
    <n v="1"/>
    <n v="50"/>
    <n v="0"/>
    <n v="0"/>
    <n v="0"/>
    <n v="0"/>
    <n v="1"/>
    <n v="50"/>
    <n v="2"/>
  </r>
  <r>
    <s v="UCZA_5vGtSpZu86VBDdSnSag"/>
    <s v="UC4HGCBftQMCR0012IxQVPfw"/>
    <m/>
    <m/>
    <m/>
    <m/>
    <m/>
    <m/>
    <m/>
    <m/>
    <s v="Yes"/>
    <n v="94"/>
    <m/>
    <m/>
    <s v="Replied Comment"/>
    <s v="Reply"/>
    <s v="Hi Imran&lt;br /&gt;Please share email address.&lt;br /&gt;Thanks"/>
    <s v="UCZA_5vGtSpZu86VBDdSnSag"/>
    <s v="SS UNITECH"/>
    <s v="http://www.youtube.com/channel/UCZA_5vGtSpZu86VBDdSnSag"/>
    <s v="UgzrgYciU_V74d2WNcB4AaABAg"/>
    <s v="wfE9xUI5qxA"/>
    <s v="https://www.youtube.com/watch?v=wfE9xUI5qxA"/>
    <s v="none"/>
    <n v="0"/>
    <x v="91"/>
    <d v="2020-06-22T18:42:01.000"/>
    <m/>
    <m/>
    <m/>
    <n v="2"/>
    <s v="6"/>
    <s v="6"/>
    <n v="0"/>
    <n v="0"/>
    <n v="0"/>
    <n v="0"/>
    <n v="0"/>
    <n v="0"/>
    <n v="9"/>
    <n v="100"/>
    <n v="9"/>
  </r>
  <r>
    <s v="UC4HGCBftQMCR0012IxQVPfw"/>
    <s v="UC4HGCBftQMCR0012IxQVPfw"/>
    <m/>
    <m/>
    <m/>
    <m/>
    <m/>
    <m/>
    <m/>
    <m/>
    <s v="No"/>
    <n v="95"/>
    <m/>
    <m/>
    <s v="Replied Comment"/>
    <s v="Reply"/>
    <s v="@SS UNITECH &lt;br /&gt;My email&lt;br /&gt;Shobikhan123@&lt;a href=&quot;http://yahoo.com/&quot;&gt;yahoo.com&lt;/a&gt;"/>
    <s v="UC4HGCBftQMCR0012IxQVPfw"/>
    <s v="Imran Khan"/>
    <s v="http://www.youtube.com/channel/UC4HGCBftQMCR0012IxQVPfw"/>
    <s v="UgzrgYciU_V74d2WNcB4AaABAg"/>
    <s v="wfE9xUI5qxA"/>
    <s v="https://www.youtube.com/watch?v=wfE9xUI5qxA"/>
    <s v="none"/>
    <n v="1"/>
    <x v="92"/>
    <d v="2020-06-22T18:45:20.000"/>
    <s v=" http://yahoo.com/"/>
    <s v="yahoo.com"/>
    <m/>
    <n v="1"/>
    <s v="6"/>
    <s v="6"/>
    <n v="0"/>
    <n v="0"/>
    <n v="0"/>
    <n v="0"/>
    <n v="0"/>
    <n v="0"/>
    <n v="15"/>
    <n v="100"/>
    <n v="15"/>
  </r>
  <r>
    <s v="UCZA_5vGtSpZu86VBDdSnSag"/>
    <s v="UC4HGCBftQMCR0012IxQVPfw"/>
    <m/>
    <m/>
    <m/>
    <m/>
    <m/>
    <m/>
    <m/>
    <m/>
    <s v="Yes"/>
    <n v="96"/>
    <m/>
    <m/>
    <s v="Replied Comment"/>
    <s v="Reply"/>
    <s v="Send file please check and confirm"/>
    <s v="UCZA_5vGtSpZu86VBDdSnSag"/>
    <s v="SS UNITECH"/>
    <s v="http://www.youtube.com/channel/UCZA_5vGtSpZu86VBDdSnSag"/>
    <s v="UgzrgYciU_V74d2WNcB4AaABAg"/>
    <s v="wfE9xUI5qxA"/>
    <s v="https://www.youtube.com/watch?v=wfE9xUI5qxA"/>
    <s v="none"/>
    <n v="0"/>
    <x v="93"/>
    <d v="2020-06-22T18:48:53.000"/>
    <m/>
    <m/>
    <m/>
    <n v="2"/>
    <s v="6"/>
    <s v="6"/>
    <n v="0"/>
    <n v="0"/>
    <n v="0"/>
    <n v="0"/>
    <n v="0"/>
    <n v="0"/>
    <n v="6"/>
    <n v="100"/>
    <n v="6"/>
  </r>
  <r>
    <s v="UC4HGCBftQMCR0012IxQVPfw"/>
    <s v="UCZA_5vGtSpZu86VBDdSnSag"/>
    <m/>
    <m/>
    <m/>
    <m/>
    <m/>
    <m/>
    <m/>
    <m/>
    <s v="Yes"/>
    <n v="97"/>
    <m/>
    <m/>
    <s v="Commented Video"/>
    <s v="Comment"/>
    <s v="hello sir,  please share the demo file"/>
    <s v="UC4HGCBftQMCR0012IxQVPfw"/>
    <s v="Imran Khan"/>
    <s v="http://www.youtube.com/channel/UC4HGCBftQMCR0012IxQVPfw"/>
    <m/>
    <s v="wfE9xUI5qxA"/>
    <s v="https://www.youtube.com/watch?v=wfE9xUI5qxA"/>
    <s v="none"/>
    <n v="1"/>
    <x v="94"/>
    <d v="2020-06-22T18:38:35.000"/>
    <m/>
    <m/>
    <m/>
    <n v="1"/>
    <s v="6"/>
    <s v="6"/>
    <n v="0"/>
    <n v="0"/>
    <n v="0"/>
    <n v="0"/>
    <n v="0"/>
    <n v="0"/>
    <n v="7"/>
    <n v="100"/>
    <n v="7"/>
  </r>
  <r>
    <s v="UCZA_5vGtSpZu86VBDdSnSag"/>
    <s v="UCxsNIXVl1DNY0HFcjOchY5g"/>
    <m/>
    <m/>
    <m/>
    <m/>
    <m/>
    <m/>
    <m/>
    <m/>
    <s v="Yes"/>
    <n v="98"/>
    <m/>
    <m/>
    <s v="Replied Comment"/>
    <s v="Reply"/>
    <s v="Hi Bharat,&lt;br /&gt;Thanks for your appreciation.&lt;br /&gt;I have uploaded a video on GDP growth &lt;a href=&quot;http://analysis.link/&quot;&gt;analysis.link&lt;/a&gt; is below 👇👇&lt;br /&gt;&lt;a href=&quot;https://youtu.be/cFJg1ZGoGp0&quot;&gt;https://youtu.be/cFJg1ZGoGp0&lt;/a&gt;&lt;br /&gt;Watch video.&lt;br /&gt;Thanks"/>
    <s v="UCZA_5vGtSpZu86VBDdSnSag"/>
    <s v="SS UNITECH"/>
    <s v="http://www.youtube.com/channel/UCZA_5vGtSpZu86VBDdSnSag"/>
    <s v="UgwOT9nIvitXYTcjMnt4AaABAg"/>
    <s v="wfE9xUI5qxA"/>
    <s v="https://www.youtube.com/watch?v=wfE9xUI5qxA"/>
    <s v="none"/>
    <n v="0"/>
    <x v="95"/>
    <d v="2020-06-23T02:47:16.000"/>
    <s v=" http://analysis.link/ https://youtu.be/cFJg1ZGoGp0 https://youtu.be/cFJg1ZGoGp0"/>
    <s v="analysis.link youtu.be youtu.be"/>
    <m/>
    <n v="1"/>
    <s v="6"/>
    <s v="6"/>
    <n v="0"/>
    <n v="0"/>
    <n v="0"/>
    <n v="0"/>
    <n v="0"/>
    <n v="0"/>
    <n v="43"/>
    <n v="100"/>
    <n v="43"/>
  </r>
  <r>
    <s v="UCxsNIXVl1DNY0HFcjOchY5g"/>
    <s v="UCZA_5vGtSpZu86VBDdSnSag"/>
    <m/>
    <m/>
    <m/>
    <m/>
    <m/>
    <m/>
    <m/>
    <m/>
    <s v="Yes"/>
    <n v="99"/>
    <m/>
    <m/>
    <s v="Commented Video"/>
    <s v="Comment"/>
    <s v="Thanks for your this video tutorials..&lt;br /&gt;Do you have any end to end project demo for Customer Service or Finance?&lt;br /&gt;Thanks"/>
    <s v="UCxsNIXVl1DNY0HFcjOchY5g"/>
    <s v="Bharat Mehta"/>
    <s v="http://www.youtube.com/channel/UCxsNIXVl1DNY0HFcjOchY5g"/>
    <m/>
    <s v="wfE9xUI5qxA"/>
    <s v="https://www.youtube.com/watch?v=wfE9xUI5qxA"/>
    <s v="none"/>
    <n v="1"/>
    <x v="96"/>
    <d v="2020-06-22T19:18:52.000"/>
    <m/>
    <m/>
    <m/>
    <n v="1"/>
    <s v="6"/>
    <s v="6"/>
    <n v="0"/>
    <n v="0"/>
    <n v="0"/>
    <n v="0"/>
    <n v="0"/>
    <n v="0"/>
    <n v="23"/>
    <n v="100"/>
    <n v="23"/>
  </r>
  <r>
    <s v="UC5fs7PookxGfDPTo-RU0ReQ"/>
    <s v="UC1n7PNqiB96782HhcCEQadQ"/>
    <m/>
    <m/>
    <m/>
    <m/>
    <m/>
    <m/>
    <m/>
    <m/>
    <s v="Yes"/>
    <n v="100"/>
    <m/>
    <m/>
    <s v="Replied Comment"/>
    <s v="Reply"/>
    <s v="Thanks"/>
    <s v="UC5fs7PookxGfDPTo-RU0ReQ"/>
    <s v="Pavan Lalwani"/>
    <s v="http://www.youtube.com/channel/UC5fs7PookxGfDPTo-RU0ReQ"/>
    <s v="UgywcJPgdv07nl7yPtt4AaABAg"/>
    <s v="67NAObstdUs"/>
    <s v="https://www.youtube.com/watch?v=67NAObstdUs"/>
    <s v="none"/>
    <n v="0"/>
    <x v="97"/>
    <d v="2020-06-22T07:50:24.000"/>
    <m/>
    <m/>
    <m/>
    <n v="1"/>
    <s v="3"/>
    <s v="3"/>
    <n v="0"/>
    <n v="0"/>
    <n v="0"/>
    <n v="0"/>
    <n v="0"/>
    <n v="0"/>
    <n v="1"/>
    <n v="100"/>
    <n v="1"/>
  </r>
  <r>
    <s v="UC1n7PNqiB96782HhcCEQadQ"/>
    <s v="UC5fs7PookxGfDPTo-RU0ReQ"/>
    <m/>
    <m/>
    <m/>
    <m/>
    <m/>
    <m/>
    <m/>
    <m/>
    <s v="Yes"/>
    <n v="101"/>
    <m/>
    <m/>
    <s v="Commented Video"/>
    <s v="Comment"/>
    <s v="Good one sir!!!"/>
    <s v="UC1n7PNqiB96782HhcCEQadQ"/>
    <s v="ajit chaugule"/>
    <s v="http://www.youtube.com/channel/UC1n7PNqiB96782HhcCEQadQ"/>
    <m/>
    <s v="67NAObstdUs"/>
    <s v="https://www.youtube.com/watch?v=67NAObstdUs"/>
    <s v="none"/>
    <n v="0"/>
    <x v="98"/>
    <d v="2020-06-22T04:52:56.000"/>
    <m/>
    <m/>
    <m/>
    <n v="1"/>
    <s v="3"/>
    <s v="3"/>
    <n v="1"/>
    <n v="33.333333333333336"/>
    <n v="0"/>
    <n v="0"/>
    <n v="0"/>
    <n v="0"/>
    <n v="2"/>
    <n v="66.66666666666667"/>
    <n v="3"/>
  </r>
  <r>
    <s v="UC0XPyNN1n8_yfMIqOC3fzgw"/>
    <s v="UCEzQybRlEFdns8Jv1iSTN2A"/>
    <m/>
    <m/>
    <m/>
    <m/>
    <m/>
    <m/>
    <m/>
    <m/>
    <s v="No"/>
    <n v="102"/>
    <m/>
    <m/>
    <s v="Replied Comment"/>
    <s v="Reply"/>
    <s v="Same bro"/>
    <s v="UC0XPyNN1n8_yfMIqOC3fzgw"/>
    <s v="Tarun Mishra"/>
    <s v="http://www.youtube.com/channel/UC0XPyNN1n8_yfMIqOC3fzgw"/>
    <s v="UgzNzRxCjyZ0bOOaTfF4AaABAg"/>
    <s v="RJyJ0_gtC6Y"/>
    <s v="https://www.youtube.com/watch?v=RJyJ0_gtC6Y"/>
    <s v="none"/>
    <n v="1"/>
    <x v="99"/>
    <d v="2020-06-22T10:18:31.000"/>
    <m/>
    <m/>
    <m/>
    <n v="1"/>
    <s v="14"/>
    <s v="14"/>
    <n v="0"/>
    <n v="0"/>
    <n v="0"/>
    <n v="0"/>
    <n v="0"/>
    <n v="0"/>
    <n v="2"/>
    <n v="100"/>
    <n v="2"/>
  </r>
  <r>
    <s v="UCr_MTGrHVG78jGSWbGnNIvw"/>
    <s v="UCEzQybRlEFdns8Jv1iSTN2A"/>
    <m/>
    <m/>
    <m/>
    <m/>
    <m/>
    <m/>
    <m/>
    <m/>
    <s v="Yes"/>
    <n v="103"/>
    <m/>
    <m/>
    <s v="Replied Comment"/>
    <s v="Reply"/>
    <s v="From the bottom of your heart, thank you!"/>
    <s v="UCr_MTGrHVG78jGSWbGnNIvw"/>
    <s v="Excel (A-Z)"/>
    <s v="http://www.youtube.com/channel/UCr_MTGrHVG78jGSWbGnNIvw"/>
    <s v="UgzNzRxCjyZ0bOOaTfF4AaABAg"/>
    <s v="RJyJ0_gtC6Y"/>
    <s v="https://www.youtube.com/watch?v=RJyJ0_gtC6Y"/>
    <s v="none"/>
    <n v="1"/>
    <x v="100"/>
    <d v="2020-06-22T08:31:07.000"/>
    <m/>
    <m/>
    <m/>
    <n v="2"/>
    <s v="14"/>
    <s v="14"/>
    <n v="1"/>
    <n v="12.5"/>
    <n v="0"/>
    <n v="0"/>
    <n v="0"/>
    <n v="0"/>
    <n v="7"/>
    <n v="87.5"/>
    <n v="8"/>
  </r>
  <r>
    <s v="UCr_MTGrHVG78jGSWbGnNIvw"/>
    <s v="UCEzQybRlEFdns8Jv1iSTN2A"/>
    <m/>
    <m/>
    <m/>
    <m/>
    <m/>
    <m/>
    <m/>
    <m/>
    <s v="Yes"/>
    <n v="104"/>
    <m/>
    <m/>
    <s v="Replied Comment"/>
    <s v="Reply"/>
    <s v="Thanks for your great support dude!"/>
    <s v="UCr_MTGrHVG78jGSWbGnNIvw"/>
    <s v="Excel (A-Z)"/>
    <s v="http://www.youtube.com/channel/UCr_MTGrHVG78jGSWbGnNIvw"/>
    <s v="UgzNzRxCjyZ0bOOaTfF4AaABAg"/>
    <s v="RJyJ0_gtC6Y"/>
    <s v="https://www.youtube.com/watch?v=RJyJ0_gtC6Y"/>
    <s v="none"/>
    <n v="0"/>
    <x v="101"/>
    <d v="2020-06-22T13:44:12.000"/>
    <m/>
    <m/>
    <m/>
    <n v="2"/>
    <s v="14"/>
    <s v="14"/>
    <n v="2"/>
    <n v="33.333333333333336"/>
    <n v="0"/>
    <n v="0"/>
    <n v="0"/>
    <n v="0"/>
    <n v="4"/>
    <n v="66.66666666666667"/>
    <n v="6"/>
  </r>
  <r>
    <s v="UCEzQybRlEFdns8Jv1iSTN2A"/>
    <s v="UCr_MTGrHVG78jGSWbGnNIvw"/>
    <m/>
    <m/>
    <m/>
    <m/>
    <m/>
    <m/>
    <m/>
    <m/>
    <s v="Yes"/>
    <n v="105"/>
    <m/>
    <m/>
    <s v="Commented Video"/>
    <s v="Comment"/>
    <s v="I watch daily your videos"/>
    <s v="UCEzQybRlEFdns8Jv1iSTN2A"/>
    <s v="Shivarama Gs"/>
    <s v="http://www.youtube.com/channel/UCEzQybRlEFdns8Jv1iSTN2A"/>
    <m/>
    <s v="RJyJ0_gtC6Y"/>
    <s v="https://www.youtube.com/watch?v=RJyJ0_gtC6Y"/>
    <s v="none"/>
    <n v="1"/>
    <x v="102"/>
    <d v="2020-06-22T05:31:58.000"/>
    <m/>
    <m/>
    <m/>
    <n v="1"/>
    <s v="14"/>
    <s v="14"/>
    <n v="0"/>
    <n v="0"/>
    <n v="0"/>
    <n v="0"/>
    <n v="0"/>
    <n v="0"/>
    <n v="5"/>
    <n v="100"/>
    <n v="5"/>
  </r>
  <r>
    <s v="UCr_MTGrHVG78jGSWbGnNIvw"/>
    <s v="UC_dEMfsDIMR6T3j4FhzhGDg"/>
    <m/>
    <m/>
    <m/>
    <m/>
    <m/>
    <m/>
    <m/>
    <m/>
    <s v="Yes"/>
    <n v="106"/>
    <m/>
    <m/>
    <s v="Replied Comment"/>
    <s v="Reply"/>
    <s v="Many thanks"/>
    <s v="UCr_MTGrHVG78jGSWbGnNIvw"/>
    <s v="Excel (A-Z)"/>
    <s v="http://www.youtube.com/channel/UCr_MTGrHVG78jGSWbGnNIvw"/>
    <s v="Ugws5f6ho5jJfMAk-id4AaABAg"/>
    <s v="RJyJ0_gtC6Y"/>
    <s v="https://www.youtube.com/watch?v=RJyJ0_gtC6Y"/>
    <s v="none"/>
    <n v="0"/>
    <x v="103"/>
    <d v="2020-06-22T08:32:17.000"/>
    <m/>
    <m/>
    <m/>
    <n v="1"/>
    <s v="14"/>
    <s v="14"/>
    <n v="0"/>
    <n v="0"/>
    <n v="0"/>
    <n v="0"/>
    <n v="0"/>
    <n v="0"/>
    <n v="2"/>
    <n v="100"/>
    <n v="2"/>
  </r>
  <r>
    <s v="UC_dEMfsDIMR6T3j4FhzhGDg"/>
    <s v="UCr_MTGrHVG78jGSWbGnNIvw"/>
    <m/>
    <m/>
    <m/>
    <m/>
    <m/>
    <m/>
    <m/>
    <m/>
    <s v="Yes"/>
    <n v="107"/>
    <m/>
    <m/>
    <s v="Commented Video"/>
    <s v="Comment"/>
    <s v="Well-Done Man Thanks for the sharing wonderful tutorial."/>
    <s v="UC_dEMfsDIMR6T3j4FhzhGDg"/>
    <s v="Aimal Sultani"/>
    <s v="http://www.youtube.com/channel/UC_dEMfsDIMR6T3j4FhzhGDg"/>
    <m/>
    <s v="RJyJ0_gtC6Y"/>
    <s v="https://www.youtube.com/watch?v=RJyJ0_gtC6Y"/>
    <s v="none"/>
    <n v="1"/>
    <x v="104"/>
    <d v="2020-06-22T06:22:03.000"/>
    <m/>
    <m/>
    <m/>
    <n v="1"/>
    <s v="14"/>
    <s v="14"/>
    <n v="2"/>
    <n v="22.22222222222222"/>
    <n v="0"/>
    <n v="0"/>
    <n v="0"/>
    <n v="0"/>
    <n v="7"/>
    <n v="77.77777777777777"/>
    <n v="9"/>
  </r>
  <r>
    <s v="UCNKPorEsvEOZKMTEUWYM1NQ"/>
    <s v="UCxmH2GT_n61cUEYtxgntqvQ"/>
    <m/>
    <m/>
    <m/>
    <m/>
    <m/>
    <m/>
    <m/>
    <m/>
    <s v="No"/>
    <n v="108"/>
    <m/>
    <m/>
    <s v="Replied Comment"/>
    <s v="Reply"/>
    <s v="Thanks!  Glad to hear you enjoyed them - we had a great time putting them together."/>
    <s v="UCNKPorEsvEOZKMTEUWYM1NQ"/>
    <s v="Brian Julius"/>
    <s v="http://www.youtube.com/channel/UCNKPorEsvEOZKMTEUWYM1NQ"/>
    <s v="UgyixFNF9EYbSHeScV54AaABAg"/>
    <s v="kRACuS4eKWA"/>
    <s v="https://www.youtube.com/watch?v=kRACuS4eKWA"/>
    <s v="none"/>
    <n v="1"/>
    <x v="105"/>
    <d v="2020-06-22T00:44:53.000"/>
    <m/>
    <m/>
    <m/>
    <n v="1"/>
    <s v="7"/>
    <s v="7"/>
    <n v="3"/>
    <n v="20"/>
    <n v="0"/>
    <n v="0"/>
    <n v="0"/>
    <n v="0"/>
    <n v="12"/>
    <n v="80"/>
    <n v="15"/>
  </r>
  <r>
    <s v="UCxmH2GT_n61cUEYtxgntqvQ"/>
    <s v="UCy2rBgj4M1tzK-urTZ28zcA"/>
    <m/>
    <m/>
    <m/>
    <m/>
    <m/>
    <m/>
    <m/>
    <m/>
    <s v="No"/>
    <n v="109"/>
    <m/>
    <m/>
    <s v="Commented Video"/>
    <s v="Comment"/>
    <s v="Thanks a lot, Melissa and Brian, Great Videos!!!!"/>
    <s v="UCxmH2GT_n61cUEYtxgntqvQ"/>
    <s v="Hermes J. Rivera D."/>
    <s v="http://www.youtube.com/channel/UCxmH2GT_n61cUEYtxgntqvQ"/>
    <m/>
    <s v="kRACuS4eKWA"/>
    <s v="https://www.youtube.com/watch?v=kRACuS4eKWA"/>
    <s v="none"/>
    <n v="0"/>
    <x v="106"/>
    <d v="2020-06-21T23:51:54.000"/>
    <m/>
    <m/>
    <m/>
    <n v="1"/>
    <s v="7"/>
    <s v="7"/>
    <n v="1"/>
    <n v="12.5"/>
    <n v="0"/>
    <n v="0"/>
    <n v="0"/>
    <n v="0"/>
    <n v="7"/>
    <n v="87.5"/>
    <n v="8"/>
  </r>
  <r>
    <s v="UCNKPorEsvEOZKMTEUWYM1NQ"/>
    <s v="UCfOzZ8xM-65JwSaOgK5Inqg"/>
    <m/>
    <m/>
    <m/>
    <m/>
    <m/>
    <m/>
    <m/>
    <m/>
    <s v="No"/>
    <n v="110"/>
    <m/>
    <m/>
    <s v="Replied Comment"/>
    <s v="Reply"/>
    <s v="Yes, the general approaches discussed in this video can be extended to the work hours use case.  Based on the feedback received, Melissa and I will focus on this question in an upcoming video."/>
    <s v="UCNKPorEsvEOZKMTEUWYM1NQ"/>
    <s v="Brian Julius"/>
    <s v="http://www.youtube.com/channel/UCNKPorEsvEOZKMTEUWYM1NQ"/>
    <s v="Ugx55Nc7kc38dj5-Rut4AaABAg"/>
    <s v="kRACuS4eKWA"/>
    <s v="https://www.youtube.com/watch?v=kRACuS4eKWA"/>
    <s v="none"/>
    <n v="0"/>
    <x v="107"/>
    <d v="2020-06-22T17:22:56.000"/>
    <m/>
    <m/>
    <m/>
    <n v="1"/>
    <s v="7"/>
    <s v="7"/>
    <n v="1"/>
    <n v="2.9411764705882355"/>
    <n v="0"/>
    <n v="0"/>
    <n v="0"/>
    <n v="0"/>
    <n v="33"/>
    <n v="97.05882352941177"/>
    <n v="34"/>
  </r>
  <r>
    <s v="UCfOzZ8xM-65JwSaOgK5Inqg"/>
    <s v="UCy2rBgj4M1tzK-urTZ28zcA"/>
    <m/>
    <m/>
    <m/>
    <m/>
    <m/>
    <m/>
    <m/>
    <m/>
    <s v="No"/>
    <n v="111"/>
    <m/>
    <m/>
    <s v="Commented Video"/>
    <s v="Comment"/>
    <s v="Thanks Melissa and Brian. Can you extend the use case to the following example :&lt;br /&gt;&lt;br /&gt;Example : &lt;br /&gt;Calculate the working hour between these 2 dates. (Exclude weekend : Saturday to Sunday and holiday)&lt;br /&gt;10 Jan 2020 08:30 Am To 20 Jan 2020 04.00 PM&lt;br /&gt;10 Jan 2020 08:30 Am To 20 Jan 2020 07.00 Pm&lt;br /&gt;&lt;br /&gt;The result would be in hour (easily converted to days and so on).&lt;br /&gt;&lt;br /&gt;The working hour is strictly started from 08:30 Am and ended to 5.30 PM, Any working hour outside of this range will not be calculated.&lt;br /&gt;&lt;br /&gt;Thank you."/>
    <s v="UCfOzZ8xM-65JwSaOgK5Inqg"/>
    <s v="Darwin Poso"/>
    <s v="http://www.youtube.com/channel/UCfOzZ8xM-65JwSaOgK5Inqg"/>
    <m/>
    <s v="kRACuS4eKWA"/>
    <s v="https://www.youtube.com/watch?v=kRACuS4eKWA"/>
    <s v="none"/>
    <n v="1"/>
    <x v="108"/>
    <d v="2020-06-22T03:01:46.000"/>
    <m/>
    <m/>
    <m/>
    <n v="1"/>
    <s v="7"/>
    <s v="7"/>
    <n v="1"/>
    <n v="0.9174311926605505"/>
    <n v="1"/>
    <n v="0.9174311926605505"/>
    <n v="0"/>
    <n v="0"/>
    <n v="107"/>
    <n v="98.1651376146789"/>
    <n v="109"/>
  </r>
  <r>
    <s v="UCNKPorEsvEOZKMTEUWYM1NQ"/>
    <s v="UCEt0teaQNQu60gBsfihlulw"/>
    <m/>
    <m/>
    <m/>
    <m/>
    <m/>
    <m/>
    <m/>
    <m/>
    <s v="No"/>
    <n v="112"/>
    <m/>
    <m/>
    <s v="Replied Comment"/>
    <s v="Reply"/>
    <s v="Thanks - great suggestion.  Melissa and I have discussed this, and based on the feedback received we will be doing an upcoming video on this, providing and comparing DAX- and Power Query-based solutions to address this question."/>
    <s v="UCNKPorEsvEOZKMTEUWYM1NQ"/>
    <s v="Brian Julius"/>
    <s v="http://www.youtube.com/channel/UCNKPorEsvEOZKMTEUWYM1NQ"/>
    <s v="UgxR2uZho0DcOFD7Xvd4AaABAg"/>
    <s v="kRACuS4eKWA"/>
    <s v="https://www.youtube.com/watch?v=kRACuS4eKWA"/>
    <s v="none"/>
    <n v="1"/>
    <x v="109"/>
    <d v="2020-06-22T17:20:00.000"/>
    <m/>
    <m/>
    <m/>
    <n v="1"/>
    <s v="7"/>
    <s v="7"/>
    <n v="1"/>
    <n v="2.7027027027027026"/>
    <n v="0"/>
    <n v="0"/>
    <n v="0"/>
    <n v="0"/>
    <n v="36"/>
    <n v="97.29729729729729"/>
    <n v="37"/>
  </r>
  <r>
    <s v="UCEt0teaQNQu60gBsfihlulw"/>
    <s v="UCy2rBgj4M1tzK-urTZ28zcA"/>
    <m/>
    <m/>
    <m/>
    <m/>
    <m/>
    <m/>
    <m/>
    <m/>
    <s v="No"/>
    <n v="113"/>
    <m/>
    <m/>
    <s v="Commented Video"/>
    <s v="Comment"/>
    <s v="Great video. Can you also create a video on work hours excluding weekends and holidays."/>
    <s v="UCEt0teaQNQu60gBsfihlulw"/>
    <s v="Harsh Nathani"/>
    <s v="http://www.youtube.com/channel/UCEt0teaQNQu60gBsfihlulw"/>
    <m/>
    <s v="kRACuS4eKWA"/>
    <s v="https://www.youtube.com/watch?v=kRACuS4eKWA"/>
    <s v="none"/>
    <n v="0"/>
    <x v="110"/>
    <d v="2020-06-22T05:21:58.000"/>
    <m/>
    <m/>
    <m/>
    <n v="1"/>
    <s v="7"/>
    <s v="7"/>
    <n v="2"/>
    <n v="13.333333333333334"/>
    <n v="0"/>
    <n v="0"/>
    <n v="0"/>
    <n v="0"/>
    <n v="13"/>
    <n v="86.66666666666667"/>
    <n v="15"/>
  </r>
  <r>
    <s v="UCaq3QWGhpX1Er1yT5Xs19NQ"/>
    <s v="UCua2_N1qmwPYIf4Rf_jAxEA"/>
    <m/>
    <m/>
    <m/>
    <m/>
    <m/>
    <m/>
    <m/>
    <m/>
    <s v="Yes"/>
    <n v="114"/>
    <m/>
    <m/>
    <s v="Replied Comment"/>
    <s v="Reply"/>
    <s v="Thanks Pratik bhai"/>
    <s v="UCaq3QWGhpX1Er1yT5Xs19NQ"/>
    <s v="Productivity 365"/>
    <s v="http://www.youtube.com/channel/UCaq3QWGhpX1Er1yT5Xs19NQ"/>
    <s v="UgwXcjsVMgemSmQU1ud4AaABAg"/>
    <s v="Wun5nzJLZPI"/>
    <s v="https://www.youtube.com/watch?v=Wun5nzJLZPI"/>
    <s v="none"/>
    <n v="1"/>
    <x v="111"/>
    <d v="2020-06-22T12:40:58.000"/>
    <m/>
    <m/>
    <m/>
    <n v="1"/>
    <s v="22"/>
    <s v="22"/>
    <n v="0"/>
    <n v="0"/>
    <n v="0"/>
    <n v="0"/>
    <n v="0"/>
    <n v="0"/>
    <n v="3"/>
    <n v="100"/>
    <n v="3"/>
  </r>
  <r>
    <s v="UCua2_N1qmwPYIf4Rf_jAxEA"/>
    <s v="UCaq3QWGhpX1Er1yT5Xs19NQ"/>
    <m/>
    <m/>
    <m/>
    <m/>
    <m/>
    <m/>
    <m/>
    <m/>
    <s v="Yes"/>
    <n v="115"/>
    <m/>
    <m/>
    <s v="Commented Video"/>
    <s v="Comment"/>
    <s v="Nice Bhaiii....1st Comment here.....Pratik Sardar"/>
    <s v="UCua2_N1qmwPYIf4Rf_jAxEA"/>
    <s v="ALONEツESPraTk Gamer"/>
    <s v="http://www.youtube.com/channel/UCua2_N1qmwPYIf4Rf_jAxEA"/>
    <m/>
    <s v="Wun5nzJLZPI"/>
    <s v="https://www.youtube.com/watch?v=Wun5nzJLZPI"/>
    <s v="none"/>
    <n v="2"/>
    <x v="112"/>
    <d v="2020-06-22T12:13:47.000"/>
    <m/>
    <m/>
    <m/>
    <n v="1"/>
    <s v="22"/>
    <s v="22"/>
    <n v="1"/>
    <n v="14.285714285714286"/>
    <n v="0"/>
    <n v="0"/>
    <n v="0"/>
    <n v="0"/>
    <n v="6"/>
    <n v="85.71428571428571"/>
    <n v="7"/>
  </r>
  <r>
    <s v="UC5fs7PookxGfDPTo-RU0ReQ"/>
    <s v="UCK6ciDCKWSKX6-lgaGMWwhw"/>
    <m/>
    <m/>
    <m/>
    <m/>
    <m/>
    <m/>
    <m/>
    <m/>
    <s v="Yes"/>
    <n v="116"/>
    <m/>
    <m/>
    <s v="Replied Comment"/>
    <s v="Reply"/>
    <s v="As of now this free course is recorded and published on my channel. This is for June 2020 edition 140 Approximately. Paid courses is recorded 6 months back."/>
    <s v="UC5fs7PookxGfDPTo-RU0ReQ"/>
    <s v="Pavan Lalwani"/>
    <s v="http://www.youtube.com/channel/UC5fs7PookxGfDPTo-RU0ReQ"/>
    <s v="UgxOF2fsBD9CK8BV6Z94AaABAg"/>
    <s v="E5HCiZeB9zw"/>
    <s v="https://www.youtube.com/watch?v=E5HCiZeB9zw"/>
    <s v="none"/>
    <n v="0"/>
    <x v="113"/>
    <d v="2020-06-22T13:40:08.000"/>
    <m/>
    <m/>
    <m/>
    <n v="1"/>
    <s v="3"/>
    <s v="3"/>
    <n v="1"/>
    <n v="3.5714285714285716"/>
    <n v="0"/>
    <n v="0"/>
    <n v="0"/>
    <n v="0"/>
    <n v="27"/>
    <n v="96.42857142857143"/>
    <n v="28"/>
  </r>
  <r>
    <s v="UCK6ciDCKWSKX6-lgaGMWwhw"/>
    <s v="UCK6ciDCKWSKX6-lgaGMWwhw"/>
    <m/>
    <m/>
    <m/>
    <m/>
    <m/>
    <m/>
    <m/>
    <m/>
    <s v="No"/>
    <n v="117"/>
    <m/>
    <m/>
    <s v="Replied Comment"/>
    <s v="Reply"/>
    <s v="Thanks for the response Pavan. Have you covered max of power bi in this latest edition 140 videos ? or need to purchase the paid one"/>
    <s v="UCK6ciDCKWSKX6-lgaGMWwhw"/>
    <s v="krishna kumar Ayyavoo"/>
    <s v="http://www.youtube.com/channel/UCK6ciDCKWSKX6-lgaGMWwhw"/>
    <s v="UgxOF2fsBD9CK8BV6Z94AaABAg"/>
    <s v="E5HCiZeB9zw"/>
    <s v="https://www.youtube.com/watch?v=E5HCiZeB9zw"/>
    <s v="none"/>
    <n v="0"/>
    <x v="114"/>
    <d v="2020-06-22T13:49:20.000"/>
    <m/>
    <m/>
    <m/>
    <n v="1"/>
    <s v="3"/>
    <s v="3"/>
    <n v="0"/>
    <n v="0"/>
    <n v="0"/>
    <n v="0"/>
    <n v="0"/>
    <n v="0"/>
    <n v="25"/>
    <n v="100"/>
    <n v="25"/>
  </r>
  <r>
    <s v="UCK6ciDCKWSKX6-lgaGMWwhw"/>
    <s v="UC5fs7PookxGfDPTo-RU0ReQ"/>
    <m/>
    <m/>
    <m/>
    <m/>
    <m/>
    <m/>
    <m/>
    <m/>
    <s v="Yes"/>
    <n v="118"/>
    <m/>
    <m/>
    <s v="Commented Video"/>
    <s v="Comment"/>
    <s v="whats is the difference of your Paid Power BI course and these free videos. May i get any additional information on your paid course"/>
    <s v="UCK6ciDCKWSKX6-lgaGMWwhw"/>
    <s v="krishna kumar Ayyavoo"/>
    <s v="http://www.youtube.com/channel/UCK6ciDCKWSKX6-lgaGMWwhw"/>
    <m/>
    <s v="E5HCiZeB9zw"/>
    <s v="https://www.youtube.com/watch?v=E5HCiZeB9zw"/>
    <s v="none"/>
    <n v="0"/>
    <x v="115"/>
    <d v="2020-06-22T13:23:42.000"/>
    <m/>
    <m/>
    <m/>
    <n v="1"/>
    <s v="3"/>
    <s v="3"/>
    <n v="1"/>
    <n v="4.166666666666667"/>
    <n v="0"/>
    <n v="0"/>
    <n v="0"/>
    <n v="0"/>
    <n v="23"/>
    <n v="95.83333333333333"/>
    <n v="24"/>
  </r>
  <r>
    <s v="UC5fs7PookxGfDPTo-RU0ReQ"/>
    <s v="UC6O103j7CMYUIKFvEhDb6FQ"/>
    <m/>
    <m/>
    <m/>
    <m/>
    <m/>
    <m/>
    <m/>
    <m/>
    <s v="Yes"/>
    <n v="119"/>
    <m/>
    <m/>
    <s v="Replied Comment"/>
    <s v="Reply"/>
    <s v="Sure. Welcome"/>
    <s v="UC5fs7PookxGfDPTo-RU0ReQ"/>
    <s v="Pavan Lalwani"/>
    <s v="http://www.youtube.com/channel/UC5fs7PookxGfDPTo-RU0ReQ"/>
    <s v="UgxTWAOLf0OKlSMD4V14AaABAg"/>
    <s v="6f6sAvyOGPY"/>
    <s v="https://www.youtube.com/watch?v=6f6sAvyOGPY"/>
    <s v="none"/>
    <n v="1"/>
    <x v="116"/>
    <d v="2020-06-23T11:49:10.000"/>
    <m/>
    <m/>
    <m/>
    <n v="1"/>
    <s v="3"/>
    <s v="3"/>
    <n v="1"/>
    <n v="50"/>
    <n v="0"/>
    <n v="0"/>
    <n v="0"/>
    <n v="0"/>
    <n v="1"/>
    <n v="50"/>
    <n v="2"/>
  </r>
  <r>
    <s v="UC6O103j7CMYUIKFvEhDb6FQ"/>
    <s v="UC5fs7PookxGfDPTo-RU0ReQ"/>
    <m/>
    <m/>
    <m/>
    <m/>
    <m/>
    <m/>
    <m/>
    <m/>
    <s v="Yes"/>
    <n v="120"/>
    <m/>
    <m/>
    <s v="Commented Video"/>
    <s v="Comment"/>
    <s v="Hi pawan, Thanks for sharing your BI tutorial.&lt;br /&gt;Request you to come up with Data analysis using R software."/>
    <s v="UC6O103j7CMYUIKFvEhDb6FQ"/>
    <s v="Abhinav Dev"/>
    <s v="http://www.youtube.com/channel/UC6O103j7CMYUIKFvEhDb6FQ"/>
    <m/>
    <s v="6f6sAvyOGPY"/>
    <s v="https://www.youtube.com/watch?v=6f6sAvyOGPY"/>
    <s v="none"/>
    <n v="0"/>
    <x v="117"/>
    <d v="2020-06-22T22:42:44.000"/>
    <m/>
    <m/>
    <m/>
    <n v="1"/>
    <s v="3"/>
    <s v="3"/>
    <n v="0"/>
    <n v="0"/>
    <n v="0"/>
    <n v="0"/>
    <n v="0"/>
    <n v="0"/>
    <n v="20"/>
    <n v="100"/>
    <n v="20"/>
  </r>
  <r>
    <s v="UC5fs7PookxGfDPTo-RU0ReQ"/>
    <s v="UCxmSF_xV8EqQkoPYJL0bQLA"/>
    <m/>
    <m/>
    <m/>
    <m/>
    <m/>
    <m/>
    <m/>
    <m/>
    <s v="Yes"/>
    <n v="121"/>
    <m/>
    <m/>
    <s v="Replied Comment"/>
    <s v="Reply"/>
    <s v="Both in excel as well as in Power BI"/>
    <s v="UC5fs7PookxGfDPTo-RU0ReQ"/>
    <s v="Pavan Lalwani"/>
    <s v="http://www.youtube.com/channel/UC5fs7PookxGfDPTo-RU0ReQ"/>
    <s v="Ugyy5JuxoxP0pVN5PaF4AaABAg"/>
    <s v="67NAObstdUs"/>
    <s v="https://www.youtube.com/watch?v=67NAObstdUs"/>
    <s v="none"/>
    <n v="0"/>
    <x v="118"/>
    <d v="2020-06-21T23:21:31.000"/>
    <m/>
    <m/>
    <m/>
    <n v="4"/>
    <s v="3"/>
    <s v="3"/>
    <n v="2"/>
    <n v="22.22222222222222"/>
    <n v="0"/>
    <n v="0"/>
    <n v="0"/>
    <n v="0"/>
    <n v="7"/>
    <n v="77.77777777777777"/>
    <n v="9"/>
  </r>
  <r>
    <s v="UCxmSF_xV8EqQkoPYJL0bQLA"/>
    <s v="UC5fs7PookxGfDPTo-RU0ReQ"/>
    <m/>
    <m/>
    <m/>
    <m/>
    <m/>
    <m/>
    <m/>
    <m/>
    <s v="Yes"/>
    <n v="122"/>
    <m/>
    <m/>
    <s v="Commented Video"/>
    <s v="Comment"/>
    <s v="I m not getting one think ...power pivot is in power bi or is in excel ?"/>
    <s v="UCxmSF_xV8EqQkoPYJL0bQLA"/>
    <s v="sukhdev singh"/>
    <s v="http://www.youtube.com/channel/UCxmSF_xV8EqQkoPYJL0bQLA"/>
    <m/>
    <s v="67NAObstdUs"/>
    <s v="https://www.youtube.com/watch?v=67NAObstdUs"/>
    <s v="none"/>
    <n v="0"/>
    <x v="119"/>
    <d v="2020-06-21T22:53:09.000"/>
    <m/>
    <m/>
    <m/>
    <n v="4"/>
    <s v="3"/>
    <s v="3"/>
    <n v="1"/>
    <n v="6.25"/>
    <n v="0"/>
    <n v="0"/>
    <n v="0"/>
    <n v="0"/>
    <n v="15"/>
    <n v="93.75"/>
    <n v="16"/>
  </r>
  <r>
    <s v="UC5fs7PookxGfDPTo-RU0ReQ"/>
    <s v="UCxmSF_xV8EqQkoPYJL0bQLA"/>
    <m/>
    <m/>
    <m/>
    <m/>
    <m/>
    <m/>
    <m/>
    <m/>
    <s v="Yes"/>
    <n v="123"/>
    <m/>
    <m/>
    <s v="Replied Comment"/>
    <s v="Reply"/>
    <s v="2 days , it will be uploaded"/>
    <s v="UC5fs7PookxGfDPTo-RU0ReQ"/>
    <s v="Pavan Lalwani"/>
    <s v="http://www.youtube.com/channel/UC5fs7PookxGfDPTo-RU0ReQ"/>
    <s v="Ugy5Lp0mpma2LdPOdr54AaABAg"/>
    <s v="67NAObstdUs"/>
    <s v="https://www.youtube.com/watch?v=67NAObstdUs"/>
    <s v="none"/>
    <n v="0"/>
    <x v="120"/>
    <d v="2020-06-21T23:21:47.000"/>
    <m/>
    <m/>
    <m/>
    <n v="4"/>
    <s v="3"/>
    <s v="3"/>
    <n v="0"/>
    <n v="0"/>
    <n v="0"/>
    <n v="0"/>
    <n v="0"/>
    <n v="0"/>
    <n v="6"/>
    <n v="100"/>
    <n v="6"/>
  </r>
  <r>
    <s v="UCxmSF_xV8EqQkoPYJL0bQLA"/>
    <s v="UC5fs7PookxGfDPTo-RU0ReQ"/>
    <m/>
    <m/>
    <m/>
    <m/>
    <m/>
    <m/>
    <m/>
    <m/>
    <s v="Yes"/>
    <n v="124"/>
    <m/>
    <m/>
    <s v="Commented Video"/>
    <s v="Comment"/>
    <s v="No practice file why"/>
    <s v="UCxmSF_xV8EqQkoPYJL0bQLA"/>
    <s v="sukhdev singh"/>
    <s v="http://www.youtube.com/channel/UCxmSF_xV8EqQkoPYJL0bQLA"/>
    <m/>
    <s v="67NAObstdUs"/>
    <s v="https://www.youtube.com/watch?v=67NAObstdUs"/>
    <s v="none"/>
    <n v="0"/>
    <x v="121"/>
    <d v="2020-06-21T22:53:43.000"/>
    <m/>
    <m/>
    <m/>
    <n v="4"/>
    <s v="3"/>
    <s v="3"/>
    <n v="0"/>
    <n v="0"/>
    <n v="0"/>
    <n v="0"/>
    <n v="0"/>
    <n v="0"/>
    <n v="4"/>
    <n v="100"/>
    <n v="4"/>
  </r>
  <r>
    <s v="UC5fs7PookxGfDPTo-RU0ReQ"/>
    <s v="UCxmSF_xV8EqQkoPYJL0bQLA"/>
    <m/>
    <m/>
    <m/>
    <m/>
    <m/>
    <m/>
    <m/>
    <m/>
    <s v="Yes"/>
    <n v="125"/>
    <m/>
    <m/>
    <s v="Replied Comment"/>
    <s v="Reply"/>
    <s v="Hi Sukhdev, All videos are recorded. Its with editing team for cleaning voice, background and as and when videos come, I keep uploading those. Very soon you will get 140 videos ."/>
    <s v="UC5fs7PookxGfDPTo-RU0ReQ"/>
    <s v="Pavan Lalwani"/>
    <s v="http://www.youtube.com/channel/UC5fs7PookxGfDPTo-RU0ReQ"/>
    <s v="UgyQlma-qdz-F03YnbB4AaABAg"/>
    <s v="E5HCiZeB9zw"/>
    <s v="https://www.youtube.com/watch?v=E5HCiZeB9zw"/>
    <s v="none"/>
    <n v="1"/>
    <x v="122"/>
    <d v="2020-06-22T13:13:48.000"/>
    <m/>
    <m/>
    <m/>
    <n v="4"/>
    <s v="3"/>
    <s v="3"/>
    <n v="0"/>
    <n v="0"/>
    <n v="0"/>
    <n v="0"/>
    <n v="0"/>
    <n v="0"/>
    <n v="31"/>
    <n v="100"/>
    <n v="31"/>
  </r>
  <r>
    <s v="UCxmSF_xV8EqQkoPYJL0bQLA"/>
    <s v="UC5fs7PookxGfDPTo-RU0ReQ"/>
    <m/>
    <m/>
    <m/>
    <m/>
    <m/>
    <m/>
    <m/>
    <m/>
    <s v="Yes"/>
    <n v="126"/>
    <m/>
    <m/>
    <s v="Commented Video"/>
    <s v="Comment"/>
    <s v="Sir when will you start power bi complete"/>
    <s v="UCxmSF_xV8EqQkoPYJL0bQLA"/>
    <s v="sukhdev singh"/>
    <s v="http://www.youtube.com/channel/UCxmSF_xV8EqQkoPYJL0bQLA"/>
    <m/>
    <s v="E5HCiZeB9zw"/>
    <s v="https://www.youtube.com/watch?v=E5HCiZeB9zw"/>
    <s v="none"/>
    <n v="0"/>
    <x v="123"/>
    <d v="2020-06-22T13:01:09.000"/>
    <m/>
    <m/>
    <m/>
    <n v="4"/>
    <s v="3"/>
    <s v="3"/>
    <n v="0"/>
    <n v="0"/>
    <n v="0"/>
    <n v="0"/>
    <n v="0"/>
    <n v="0"/>
    <n v="8"/>
    <n v="100"/>
    <n v="8"/>
  </r>
  <r>
    <s v="UC5fs7PookxGfDPTo-RU0ReQ"/>
    <s v="UCxmSF_xV8EqQkoPYJL0bQLA"/>
    <m/>
    <m/>
    <m/>
    <m/>
    <m/>
    <m/>
    <m/>
    <m/>
    <s v="Yes"/>
    <n v="127"/>
    <m/>
    <m/>
    <s v="Replied Comment"/>
    <s v="Reply"/>
    <s v="Link in description ."/>
    <s v="UC5fs7PookxGfDPTo-RU0ReQ"/>
    <s v="Pavan Lalwani"/>
    <s v="http://www.youtube.com/channel/UC5fs7PookxGfDPTo-RU0ReQ"/>
    <s v="UgyPJ_xCn1mepg-zX6F4AaABAg"/>
    <s v="6f6sAvyOGPY"/>
    <s v="https://www.youtube.com/watch?v=6f6sAvyOGPY"/>
    <s v="none"/>
    <n v="0"/>
    <x v="124"/>
    <d v="2020-06-23T11:48:56.000"/>
    <m/>
    <m/>
    <m/>
    <n v="4"/>
    <s v="3"/>
    <s v="3"/>
    <n v="0"/>
    <n v="0"/>
    <n v="0"/>
    <n v="0"/>
    <n v="0"/>
    <n v="0"/>
    <n v="3"/>
    <n v="100"/>
    <n v="3"/>
  </r>
  <r>
    <s v="UCxmSF_xV8EqQkoPYJL0bQLA"/>
    <s v="UC5fs7PookxGfDPTo-RU0ReQ"/>
    <m/>
    <m/>
    <m/>
    <m/>
    <m/>
    <m/>
    <m/>
    <m/>
    <s v="Yes"/>
    <n v="128"/>
    <m/>
    <m/>
    <s v="Commented Video"/>
    <s v="Comment"/>
    <s v="File pls"/>
    <s v="UCxmSF_xV8EqQkoPYJL0bQLA"/>
    <s v="sukhdev singh"/>
    <s v="http://www.youtube.com/channel/UCxmSF_xV8EqQkoPYJL0bQLA"/>
    <m/>
    <s v="6f6sAvyOGPY"/>
    <s v="https://www.youtube.com/watch?v=6f6sAvyOGPY"/>
    <s v="none"/>
    <n v="0"/>
    <x v="125"/>
    <d v="2020-06-23T11:39:26.000"/>
    <m/>
    <m/>
    <m/>
    <n v="4"/>
    <s v="3"/>
    <s v="3"/>
    <n v="0"/>
    <n v="0"/>
    <n v="0"/>
    <n v="0"/>
    <n v="0"/>
    <n v="0"/>
    <n v="2"/>
    <n v="100"/>
    <n v="2"/>
  </r>
  <r>
    <s v="UCd8GVoiUzlWtGHllMI5hmsA"/>
    <s v="UC3nZspW3G2_nf1UxI2GGp7w"/>
    <m/>
    <m/>
    <m/>
    <m/>
    <m/>
    <m/>
    <m/>
    <m/>
    <s v="Yes"/>
    <n v="129"/>
    <m/>
    <m/>
    <s v="Replied Comment"/>
    <s v="Reply"/>
    <s v="Thanks, Tamil 👍"/>
    <s v="UCd8GVoiUzlWtGHllMI5hmsA"/>
    <s v="Computergaga"/>
    <s v="http://www.youtube.com/channel/UCd8GVoiUzlWtGHllMI5hmsA"/>
    <s v="Ugz3b6PFB2mQog74A4Z4AaABAg"/>
    <s v="9Ml3-TqAvWk"/>
    <s v="https://www.youtube.com/watch?v=9Ml3-TqAvWk"/>
    <s v="none"/>
    <n v="0"/>
    <x v="126"/>
    <d v="2020-06-22T16:02:18.000"/>
    <m/>
    <m/>
    <m/>
    <n v="1"/>
    <s v="11"/>
    <s v="11"/>
    <n v="0"/>
    <n v="0"/>
    <n v="0"/>
    <n v="0"/>
    <n v="0"/>
    <n v="0"/>
    <n v="2"/>
    <n v="100"/>
    <n v="2"/>
  </r>
  <r>
    <s v="UC3nZspW3G2_nf1UxI2GGp7w"/>
    <s v="UCd8GVoiUzlWtGHllMI5hmsA"/>
    <m/>
    <m/>
    <m/>
    <m/>
    <m/>
    <m/>
    <m/>
    <m/>
    <s v="Yes"/>
    <n v="130"/>
    <m/>
    <m/>
    <s v="Commented Video"/>
    <s v="Comment"/>
    <s v="Like this video"/>
    <s v="UC3nZspW3G2_nf1UxI2GGp7w"/>
    <s v="Tamil Mint"/>
    <s v="http://www.youtube.com/channel/UC3nZspW3G2_nf1UxI2GGp7w"/>
    <m/>
    <s v="9Ml3-TqAvWk"/>
    <s v="https://www.youtube.com/watch?v=9Ml3-TqAvWk"/>
    <s v="none"/>
    <n v="1"/>
    <x v="127"/>
    <d v="2020-06-22T14:48:23.000"/>
    <m/>
    <m/>
    <m/>
    <n v="1"/>
    <s v="11"/>
    <s v="11"/>
    <n v="1"/>
    <n v="33.333333333333336"/>
    <n v="0"/>
    <n v="0"/>
    <n v="0"/>
    <n v="0"/>
    <n v="2"/>
    <n v="66.66666666666667"/>
    <n v="3"/>
  </r>
  <r>
    <s v="UCd8GVoiUzlWtGHllMI5hmsA"/>
    <s v="UC7TeAC84QJ8EkkQbtbjjCpw"/>
    <m/>
    <m/>
    <m/>
    <m/>
    <m/>
    <m/>
    <m/>
    <m/>
    <s v="Yes"/>
    <n v="131"/>
    <m/>
    <m/>
    <s v="Replied Comment"/>
    <s v="Reply"/>
    <s v="Thank you, Rob."/>
    <s v="UCd8GVoiUzlWtGHllMI5hmsA"/>
    <s v="Computergaga"/>
    <s v="http://www.youtube.com/channel/UCd8GVoiUzlWtGHllMI5hmsA"/>
    <s v="UgxqnrFZxh5CIRD4gtZ4AaABAg"/>
    <s v="9Ml3-TqAvWk"/>
    <s v="https://www.youtube.com/watch?v=9Ml3-TqAvWk"/>
    <s v="none"/>
    <n v="0"/>
    <x v="128"/>
    <d v="2020-06-22T16:01:58.000"/>
    <m/>
    <m/>
    <m/>
    <n v="1"/>
    <s v="11"/>
    <s v="11"/>
    <n v="1"/>
    <n v="33.333333333333336"/>
    <n v="0"/>
    <n v="0"/>
    <n v="0"/>
    <n v="0"/>
    <n v="2"/>
    <n v="66.66666666666667"/>
    <n v="3"/>
  </r>
  <r>
    <s v="UC7TeAC84QJ8EkkQbtbjjCpw"/>
    <s v="UCd8GVoiUzlWtGHllMI5hmsA"/>
    <m/>
    <m/>
    <m/>
    <m/>
    <m/>
    <m/>
    <m/>
    <m/>
    <s v="Yes"/>
    <n v="132"/>
    <m/>
    <m/>
    <s v="Commented Video"/>
    <s v="Comment"/>
    <s v="Fantastic stuff mate"/>
    <s v="UC7TeAC84QJ8EkkQbtbjjCpw"/>
    <s v="Rob B"/>
    <s v="http://www.youtube.com/channel/UC7TeAC84QJ8EkkQbtbjjCpw"/>
    <m/>
    <s v="9Ml3-TqAvWk"/>
    <s v="https://www.youtube.com/watch?v=9Ml3-TqAvWk"/>
    <s v="none"/>
    <n v="0"/>
    <x v="129"/>
    <d v="2020-06-22T14:52:22.000"/>
    <m/>
    <m/>
    <m/>
    <n v="1"/>
    <s v="11"/>
    <s v="11"/>
    <n v="1"/>
    <n v="33.333333333333336"/>
    <n v="0"/>
    <n v="0"/>
    <n v="0"/>
    <n v="0"/>
    <n v="2"/>
    <n v="66.66666666666667"/>
    <n v="3"/>
  </r>
  <r>
    <s v="UCd8GVoiUzlWtGHllMI5hmsA"/>
    <s v="UCTvYzVFo4Db-JmPqhJLu1kQ"/>
    <m/>
    <m/>
    <m/>
    <m/>
    <m/>
    <m/>
    <m/>
    <m/>
    <s v="Yes"/>
    <n v="133"/>
    <m/>
    <m/>
    <s v="Replied Comment"/>
    <s v="Reply"/>
    <s v="Thank you, Darryl."/>
    <s v="UCd8GVoiUzlWtGHllMI5hmsA"/>
    <s v="Computergaga"/>
    <s v="http://www.youtube.com/channel/UCd8GVoiUzlWtGHllMI5hmsA"/>
    <s v="UgxlxqK4Cx4hRJl_6ll4AaABAg"/>
    <s v="9Ml3-TqAvWk"/>
    <s v="https://www.youtube.com/watch?v=9Ml3-TqAvWk"/>
    <s v="none"/>
    <n v="0"/>
    <x v="130"/>
    <d v="2020-06-22T16:01:39.000"/>
    <m/>
    <m/>
    <m/>
    <n v="1"/>
    <s v="11"/>
    <s v="11"/>
    <n v="1"/>
    <n v="33.333333333333336"/>
    <n v="0"/>
    <n v="0"/>
    <n v="0"/>
    <n v="0"/>
    <n v="2"/>
    <n v="66.66666666666667"/>
    <n v="3"/>
  </r>
  <r>
    <s v="UCTvYzVFo4Db-JmPqhJLu1kQ"/>
    <s v="UCd8GVoiUzlWtGHllMI5hmsA"/>
    <m/>
    <m/>
    <m/>
    <m/>
    <m/>
    <m/>
    <m/>
    <m/>
    <s v="Yes"/>
    <n v="134"/>
    <m/>
    <m/>
    <s v="Commented Video"/>
    <s v="Comment"/>
    <s v="Really Helpful Tips Especially The Use Of An Image For The Back Button..Great Tutorial Thank You Alan :)"/>
    <s v="UCTvYzVFo4Db-JmPqhJLu1kQ"/>
    <s v="darryl morgan"/>
    <s v="http://www.youtube.com/channel/UCTvYzVFo4Db-JmPqhJLu1kQ"/>
    <m/>
    <s v="9Ml3-TqAvWk"/>
    <s v="https://www.youtube.com/watch?v=9Ml3-TqAvWk"/>
    <s v="none"/>
    <n v="0"/>
    <x v="131"/>
    <d v="2020-06-22T15:01:47.000"/>
    <m/>
    <m/>
    <m/>
    <n v="1"/>
    <s v="11"/>
    <s v="11"/>
    <n v="3"/>
    <n v="16.666666666666668"/>
    <n v="0"/>
    <n v="0"/>
    <n v="0"/>
    <n v="0"/>
    <n v="15"/>
    <n v="83.33333333333333"/>
    <n v="18"/>
  </r>
  <r>
    <s v="UCd8GVoiUzlWtGHllMI5hmsA"/>
    <s v="UCQEO63TKG1moSUxAu07cP-A"/>
    <m/>
    <m/>
    <m/>
    <m/>
    <m/>
    <m/>
    <m/>
    <m/>
    <s v="Yes"/>
    <n v="135"/>
    <m/>
    <m/>
    <s v="Replied Comment"/>
    <s v="Reply"/>
    <s v="Thank you, Paula"/>
    <s v="UCd8GVoiUzlWtGHllMI5hmsA"/>
    <s v="Computergaga"/>
    <s v="http://www.youtube.com/channel/UCd8GVoiUzlWtGHllMI5hmsA"/>
    <s v="UgxAM-3N-U31MrPywal4AaABAg"/>
    <s v="9Ml3-TqAvWk"/>
    <s v="https://www.youtube.com/watch?v=9Ml3-TqAvWk"/>
    <s v="none"/>
    <n v="0"/>
    <x v="132"/>
    <d v="2020-06-22T18:22:54.000"/>
    <m/>
    <m/>
    <m/>
    <n v="1"/>
    <s v="11"/>
    <s v="11"/>
    <n v="1"/>
    <n v="33.333333333333336"/>
    <n v="0"/>
    <n v="0"/>
    <n v="0"/>
    <n v="0"/>
    <n v="2"/>
    <n v="66.66666666666667"/>
    <n v="3"/>
  </r>
  <r>
    <s v="UCQEO63TKG1moSUxAu07cP-A"/>
    <s v="UCd8GVoiUzlWtGHllMI5hmsA"/>
    <m/>
    <m/>
    <m/>
    <m/>
    <m/>
    <m/>
    <m/>
    <m/>
    <s v="Yes"/>
    <n v="136"/>
    <m/>
    <m/>
    <s v="Commented Video"/>
    <s v="Comment"/>
    <s v="brilliant - nice video Alan"/>
    <s v="UCQEO63TKG1moSUxAu07cP-A"/>
    <s v="Paula Guilfoyle"/>
    <s v="http://www.youtube.com/channel/UCQEO63TKG1moSUxAu07cP-A"/>
    <m/>
    <s v="9Ml3-TqAvWk"/>
    <s v="https://www.youtube.com/watch?v=9Ml3-TqAvWk"/>
    <s v="none"/>
    <n v="0"/>
    <x v="133"/>
    <d v="2020-06-22T17:15:28.000"/>
    <m/>
    <m/>
    <m/>
    <n v="1"/>
    <s v="11"/>
    <s v="11"/>
    <n v="2"/>
    <n v="50"/>
    <n v="0"/>
    <n v="0"/>
    <n v="0"/>
    <n v="0"/>
    <n v="2"/>
    <n v="50"/>
    <n v="4"/>
  </r>
  <r>
    <s v="UCh7H5QEvSVPmzwGBI_y8jBA"/>
    <s v="UCTEUWA2zEddnF5_BJMFN5Yg"/>
    <m/>
    <m/>
    <m/>
    <m/>
    <m/>
    <m/>
    <m/>
    <m/>
    <s v="Yes"/>
    <n v="137"/>
    <m/>
    <m/>
    <s v="Replied Comment"/>
    <s v="Reply"/>
    <s v="Es una herramienta espectacular."/>
    <s v="UCh7H5QEvSVPmzwGBI_y8jBA"/>
    <s v="Microsoft Excel a Todo Nivel"/>
    <s v="http://www.youtube.com/channel/UCh7H5QEvSVPmzwGBI_y8jBA"/>
    <s v="UgxFuLYMhPsHtJ1zWm54AaABAg"/>
    <s v="fbDDm2cgc3I"/>
    <s v="https://www.youtube.com/watch?v=fbDDm2cgc3I"/>
    <s v="none"/>
    <n v="0"/>
    <x v="134"/>
    <d v="2020-06-23T13:51:11.000"/>
    <m/>
    <m/>
    <m/>
    <n v="1"/>
    <s v="10"/>
    <s v="10"/>
    <n v="0"/>
    <n v="0"/>
    <n v="0"/>
    <n v="0"/>
    <n v="0"/>
    <n v="0"/>
    <n v="4"/>
    <n v="100"/>
    <n v="4"/>
  </r>
  <r>
    <s v="UCTEUWA2zEddnF5_BJMFN5Yg"/>
    <s v="UCh7H5QEvSVPmzwGBI_y8jBA"/>
    <m/>
    <m/>
    <m/>
    <m/>
    <m/>
    <m/>
    <m/>
    <m/>
    <s v="Yes"/>
    <n v="138"/>
    <m/>
    <m/>
    <s v="Commented Video"/>
    <s v="Comment"/>
    <s v="Excelente, me sorprender el poder de Power Query. Y saber que siempre ha estado ahí."/>
    <s v="UCTEUWA2zEddnF5_BJMFN5Yg"/>
    <s v="CAROLINA ROMERO"/>
    <s v="http://www.youtube.com/channel/UCTEUWA2zEddnF5_BJMFN5Yg"/>
    <m/>
    <s v="fbDDm2cgc3I"/>
    <s v="https://www.youtube.com/watch?v=fbDDm2cgc3I"/>
    <s v="none"/>
    <n v="1"/>
    <x v="135"/>
    <d v="2020-06-23T03:25:20.000"/>
    <m/>
    <m/>
    <m/>
    <n v="1"/>
    <s v="10"/>
    <s v="10"/>
    <n v="0"/>
    <n v="0"/>
    <n v="0"/>
    <n v="0"/>
    <n v="0"/>
    <n v="0"/>
    <n v="15"/>
    <n v="100"/>
    <n v="15"/>
  </r>
  <r>
    <s v="UCh7H5QEvSVPmzwGBI_y8jBA"/>
    <s v="UCGBLqMQkRwwaoElM0w-UmBg"/>
    <m/>
    <m/>
    <m/>
    <m/>
    <m/>
    <m/>
    <m/>
    <m/>
    <s v="Yes"/>
    <n v="139"/>
    <m/>
    <m/>
    <s v="Replied Comment"/>
    <s v="Reply"/>
    <s v="Gracias David un abrazo"/>
    <s v="UCh7H5QEvSVPmzwGBI_y8jBA"/>
    <s v="Microsoft Excel a Todo Nivel"/>
    <s v="http://www.youtube.com/channel/UCh7H5QEvSVPmzwGBI_y8jBA"/>
    <s v="Ugx-oGfzZ0UuV-liiCd4AaABAg"/>
    <s v="fbDDm2cgc3I"/>
    <s v="https://www.youtube.com/watch?v=fbDDm2cgc3I"/>
    <s v="none"/>
    <n v="0"/>
    <x v="136"/>
    <d v="2020-06-23T14:02:17.000"/>
    <m/>
    <m/>
    <m/>
    <n v="1"/>
    <s v="10"/>
    <s v="10"/>
    <n v="0"/>
    <n v="0"/>
    <n v="0"/>
    <n v="0"/>
    <n v="0"/>
    <n v="0"/>
    <n v="4"/>
    <n v="100"/>
    <n v="4"/>
  </r>
  <r>
    <s v="UCGBLqMQkRwwaoElM0w-UmBg"/>
    <s v="UCh7H5QEvSVPmzwGBI_y8jBA"/>
    <m/>
    <m/>
    <m/>
    <m/>
    <m/>
    <m/>
    <m/>
    <m/>
    <s v="Yes"/>
    <n v="140"/>
    <m/>
    <m/>
    <s v="Commented Video"/>
    <s v="Comment"/>
    <s v="Muy bueno. Gracias por compartir.&lt;br /&gt;Mis respetos."/>
    <s v="UCGBLqMQkRwwaoElM0w-UmBg"/>
    <s v="EcoExcel"/>
    <s v="http://www.youtube.com/channel/UCGBLqMQkRwwaoElM0w-UmBg"/>
    <m/>
    <s v="fbDDm2cgc3I"/>
    <s v="https://www.youtube.com/watch?v=fbDDm2cgc3I"/>
    <s v="none"/>
    <n v="2"/>
    <x v="137"/>
    <d v="2020-06-23T03:28:51.000"/>
    <m/>
    <m/>
    <m/>
    <n v="1"/>
    <s v="10"/>
    <s v="10"/>
    <n v="0"/>
    <n v="0"/>
    <n v="0"/>
    <n v="0"/>
    <n v="0"/>
    <n v="0"/>
    <n v="8"/>
    <n v="100"/>
    <n v="8"/>
  </r>
  <r>
    <s v="UCh7H5QEvSVPmzwGBI_y8jBA"/>
    <s v="UC8l6BJlRhpdy3ecXdNh8BzA"/>
    <m/>
    <m/>
    <m/>
    <m/>
    <m/>
    <m/>
    <m/>
    <m/>
    <s v="Yes"/>
    <n v="141"/>
    <m/>
    <m/>
    <s v="Replied Comment"/>
    <s v="Reply"/>
    <s v="Cierto, gracias por la aclaración me di cuenta hasta el final y ya no lo edite. Saludos"/>
    <s v="UCh7H5QEvSVPmzwGBI_y8jBA"/>
    <s v="Microsoft Excel a Todo Nivel"/>
    <s v="http://www.youtube.com/channel/UCh7H5QEvSVPmzwGBI_y8jBA"/>
    <s v="Ugwb2n1wpSLRBUoOf6l4AaABAg"/>
    <s v="fbDDm2cgc3I"/>
    <s v="https://www.youtube.com/watch?v=fbDDm2cgc3I"/>
    <s v="none"/>
    <n v="0"/>
    <x v="138"/>
    <d v="2020-06-23T13:54:14.000"/>
    <m/>
    <m/>
    <m/>
    <n v="1"/>
    <s v="10"/>
    <s v="10"/>
    <n v="0"/>
    <n v="0"/>
    <n v="0"/>
    <n v="0"/>
    <n v="0"/>
    <n v="0"/>
    <n v="17"/>
    <n v="100"/>
    <n v="17"/>
  </r>
  <r>
    <s v="UC8l6BJlRhpdy3ecXdNh8BzA"/>
    <s v="UCh7H5QEvSVPmzwGBI_y8jBA"/>
    <m/>
    <m/>
    <m/>
    <m/>
    <m/>
    <m/>
    <m/>
    <m/>
    <s v="Yes"/>
    <n v="142"/>
    <m/>
    <m/>
    <s v="Commented Video"/>
    <s v="Comment"/>
    <s v="Hola. En Power Query es lenguaje &amp;quot;M&amp;quot;. Saludos"/>
    <s v="UC8l6BJlRhpdy3ecXdNh8BzA"/>
    <s v="djeritorres"/>
    <s v="http://www.youtube.com/channel/UC8l6BJlRhpdy3ecXdNh8BzA"/>
    <m/>
    <s v="fbDDm2cgc3I"/>
    <s v="https://www.youtube.com/watch?v=fbDDm2cgc3I"/>
    <s v="none"/>
    <n v="3"/>
    <x v="139"/>
    <d v="2020-06-23T03:45:08.000"/>
    <m/>
    <m/>
    <m/>
    <n v="1"/>
    <s v="10"/>
    <s v="10"/>
    <n v="0"/>
    <n v="0"/>
    <n v="0"/>
    <n v="0"/>
    <n v="0"/>
    <n v="0"/>
    <n v="10"/>
    <n v="100"/>
    <n v="10"/>
  </r>
  <r>
    <s v="UCh7H5QEvSVPmzwGBI_y8jBA"/>
    <s v="UCy46Vx-jNQI9J3nhF3-5gfA"/>
    <m/>
    <m/>
    <m/>
    <m/>
    <m/>
    <m/>
    <m/>
    <m/>
    <s v="Yes"/>
    <n v="143"/>
    <m/>
    <m/>
    <s v="Replied Comment"/>
    <s v="Reply"/>
    <s v="Es correcto!!"/>
    <s v="UCh7H5QEvSVPmzwGBI_y8jBA"/>
    <s v="Microsoft Excel a Todo Nivel"/>
    <s v="http://www.youtube.com/channel/UCh7H5QEvSVPmzwGBI_y8jBA"/>
    <s v="Ugx3pMTTcBKDKPfK0zl4AaABAg"/>
    <s v="fbDDm2cgc3I"/>
    <s v="https://www.youtube.com/watch?v=fbDDm2cgc3I"/>
    <s v="none"/>
    <n v="0"/>
    <x v="140"/>
    <d v="2020-06-23T13:48:23.000"/>
    <m/>
    <m/>
    <m/>
    <n v="2"/>
    <s v="10"/>
    <s v="10"/>
    <n v="0"/>
    <n v="0"/>
    <n v="0"/>
    <n v="0"/>
    <n v="0"/>
    <n v="0"/>
    <n v="2"/>
    <n v="100"/>
    <n v="2"/>
  </r>
  <r>
    <s v="UCh7H5QEvSVPmzwGBI_y8jBA"/>
    <s v="UCy46Vx-jNQI9J3nhF3-5gfA"/>
    <m/>
    <m/>
    <m/>
    <m/>
    <m/>
    <m/>
    <m/>
    <m/>
    <s v="Yes"/>
    <n v="144"/>
    <m/>
    <m/>
    <s v="Replied Comment"/>
    <s v="Reply"/>
    <s v="Dije Dax verdad, sorry"/>
    <s v="UCh7H5QEvSVPmzwGBI_y8jBA"/>
    <s v="Microsoft Excel a Todo Nivel"/>
    <s v="http://www.youtube.com/channel/UCh7H5QEvSVPmzwGBI_y8jBA"/>
    <s v="Ugx3pMTTcBKDKPfK0zl4AaABAg"/>
    <s v="fbDDm2cgc3I"/>
    <s v="https://www.youtube.com/watch?v=fbDDm2cgc3I"/>
    <s v="none"/>
    <n v="0"/>
    <x v="141"/>
    <d v="2020-06-23T13:53:22.000"/>
    <m/>
    <m/>
    <m/>
    <n v="2"/>
    <s v="10"/>
    <s v="10"/>
    <n v="0"/>
    <n v="0"/>
    <n v="1"/>
    <n v="25"/>
    <n v="0"/>
    <n v="0"/>
    <n v="3"/>
    <n v="75"/>
    <n v="4"/>
  </r>
  <r>
    <s v="UCy46Vx-jNQI9J3nhF3-5gfA"/>
    <s v="UCh7H5QEvSVPmzwGBI_y8jBA"/>
    <m/>
    <m/>
    <m/>
    <m/>
    <m/>
    <m/>
    <m/>
    <m/>
    <s v="Yes"/>
    <n v="145"/>
    <m/>
    <m/>
    <s v="Commented Video"/>
    <s v="Comment"/>
    <s v="Que tal master, es lenguaje M."/>
    <s v="UCy46Vx-jNQI9J3nhF3-5gfA"/>
    <s v="Brian Castillo"/>
    <s v="http://www.youtube.com/channel/UCy46Vx-jNQI9J3nhF3-5gfA"/>
    <m/>
    <s v="fbDDm2cgc3I"/>
    <s v="https://www.youtube.com/watch?v=fbDDm2cgc3I"/>
    <s v="none"/>
    <n v="3"/>
    <x v="142"/>
    <d v="2020-06-23T09:02:24.000"/>
    <m/>
    <m/>
    <m/>
    <n v="1"/>
    <s v="10"/>
    <s v="10"/>
    <n v="1"/>
    <n v="16.666666666666668"/>
    <n v="0"/>
    <n v="0"/>
    <n v="0"/>
    <n v="0"/>
    <n v="5"/>
    <n v="83.33333333333333"/>
    <n v="6"/>
  </r>
  <r>
    <s v="UC8WfKMGoSEpj3YsoIs5PTTQ"/>
    <s v="UCgG2soX4OfxzQoov6tiN-EQ"/>
    <m/>
    <m/>
    <m/>
    <m/>
    <m/>
    <m/>
    <m/>
    <m/>
    <s v="Yes"/>
    <n v="146"/>
    <m/>
    <m/>
    <s v="Replied Comment"/>
    <s v="Reply"/>
    <s v="Olá Maria Regiane, MUITO OBRIGADO por estar assistindo nossas aulas de Power BI. Sobre a sua dúvida, me explica melhor como você pretende fazer essa exclusão, quer buscar algum item específico e excluir? Porque se pensarmos bem, se no seu banco de dados possui um linha com apenas uma célula vazia (null), qual sentido faria excluir apenas essa célula, entendeu? Me explica melhor como você quer fazer, que estarei pronto para responder. A pergunta é EXCELENTE, e vale a discussão! Grande abraço."/>
    <s v="UC8WfKMGoSEpj3YsoIs5PTTQ"/>
    <s v="Fábrica de Gênios THE"/>
    <s v="http://www.youtube.com/channel/UC8WfKMGoSEpj3YsoIs5PTTQ"/>
    <s v="UgyvpmyeVU9oJwvfXQJ4AaABAg"/>
    <s v="Qg8YCS_D-F0"/>
    <s v="https://www.youtube.com/watch?v=Qg8YCS_D-F0"/>
    <s v="none"/>
    <n v="0"/>
    <x v="143"/>
    <d v="2020-06-24T03:37:23.000"/>
    <m/>
    <m/>
    <m/>
    <n v="1"/>
    <s v="21"/>
    <s v="21"/>
    <n v="0"/>
    <n v="0"/>
    <n v="0"/>
    <n v="0"/>
    <n v="0"/>
    <n v="0"/>
    <n v="82"/>
    <n v="100"/>
    <n v="82"/>
  </r>
  <r>
    <s v="UCgG2soX4OfxzQoov6tiN-EQ"/>
    <s v="UC8WfKMGoSEpj3YsoIs5PTTQ"/>
    <m/>
    <m/>
    <m/>
    <m/>
    <m/>
    <m/>
    <m/>
    <m/>
    <s v="Yes"/>
    <n v="147"/>
    <m/>
    <m/>
    <s v="Commented Video"/>
    <s v="Comment"/>
    <s v="Oi Artur. Você ensinou excluir colunas e linhas vazias, como seria para excluir uma única célula vazia, considerando um banco de dados de cerca de 4 mil registros e a impossibilidade de checar uma a uma? Abraço"/>
    <s v="UCgG2soX4OfxzQoov6tiN-EQ"/>
    <s v="Maria Regiane Araujo Soares"/>
    <s v="http://www.youtube.com/channel/UCgG2soX4OfxzQoov6tiN-EQ"/>
    <m/>
    <s v="Qg8YCS_D-F0"/>
    <s v="https://www.youtube.com/watch?v=Qg8YCS_D-F0"/>
    <s v="none"/>
    <n v="1"/>
    <x v="144"/>
    <d v="2020-06-23T18:57:29.000"/>
    <m/>
    <m/>
    <m/>
    <n v="1"/>
    <s v="21"/>
    <s v="21"/>
    <n v="0"/>
    <n v="0"/>
    <n v="0"/>
    <n v="0"/>
    <n v="0"/>
    <n v="0"/>
    <n v="37"/>
    <n v="100"/>
    <n v="37"/>
  </r>
  <r>
    <s v="UCgG2soX4OfxzQoov6tiN-EQ"/>
    <s v="UCgG2soX4OfxzQoov6tiN-EQ"/>
    <m/>
    <m/>
    <m/>
    <m/>
    <m/>
    <m/>
    <m/>
    <m/>
    <s v="No"/>
    <n v="148"/>
    <m/>
    <m/>
    <s v="Replied Comment"/>
    <s v="Reply"/>
    <s v="​@Fábrica de Gênios THE  No caso de um banco de dados extenso, será necessário transformar os dados para excluir itens vazios, como vc bem explicou, transformá-los. Então, gostaria de saber se há algum comando no PBI para a identificação automática e transformação desta única célula, sem que eu precisasse examinar célula a célula, num banco de dados desta magnitude. Imagine no caso de dados de saúde e a relação de todos os municípios brasileiros com incidência da COVID-19, com este mesmo rol de dados (confirmados, óbitos e internação), se houvesse uma única célula vazia que representasse a incidência de  COVID em uma única cidade e estivesse erroneamente vazia, isto impactaria no meu relatório final. Então, há um comando automático para isto? Assim como vc conseguiu excluir o conjunto de linhas e colunas? Obrigada"/>
    <s v="UCgG2soX4OfxzQoov6tiN-EQ"/>
    <s v="Maria Regiane Araujo Soares"/>
    <s v="http://www.youtube.com/channel/UCgG2soX4OfxzQoov6tiN-EQ"/>
    <s v="UgyvpmyeVU9oJwvfXQJ4AaABAg"/>
    <s v="Qg8YCS_D-F0"/>
    <s v="https://www.youtube.com/watch?v=Qg8YCS_D-F0"/>
    <s v="none"/>
    <n v="0"/>
    <x v="145"/>
    <d v="2020-06-24T03:53:33.000"/>
    <m/>
    <m/>
    <m/>
    <n v="1"/>
    <s v="21"/>
    <s v="21"/>
    <n v="0"/>
    <n v="0"/>
    <n v="0"/>
    <n v="0"/>
    <n v="0"/>
    <n v="0"/>
    <n v="135"/>
    <n v="100"/>
    <n v="135"/>
  </r>
  <r>
    <s v="UCudRqu3McscDKUXXZgxxuAg"/>
    <s v="UCpKKVvQSctzPgpLyum794kg"/>
    <m/>
    <m/>
    <m/>
    <m/>
    <m/>
    <m/>
    <m/>
    <m/>
    <s v="Yes"/>
    <n v="149"/>
    <m/>
    <m/>
    <s v="Replied Comment"/>
    <s v="Reply"/>
    <s v="Yes,sure"/>
    <s v="UCudRqu3McscDKUXXZgxxuAg"/>
    <s v="Pettaka Technologies"/>
    <s v="http://www.youtube.com/channel/UCudRqu3McscDKUXXZgxxuAg"/>
    <s v="Ugx531z-_8BWSPSGKNx4AaABAg"/>
    <s v="Y5yKxJQmqhc"/>
    <s v="https://www.youtube.com/watch?v=Y5yKxJQmqhc"/>
    <s v="none"/>
    <n v="0"/>
    <x v="146"/>
    <d v="2020-06-24T06:06:23.000"/>
    <m/>
    <m/>
    <m/>
    <n v="1"/>
    <s v="13"/>
    <s v="13"/>
    <n v="0"/>
    <n v="0"/>
    <n v="0"/>
    <n v="0"/>
    <n v="0"/>
    <n v="0"/>
    <n v="2"/>
    <n v="100"/>
    <n v="2"/>
  </r>
  <r>
    <s v="UCpKKVvQSctzPgpLyum794kg"/>
    <s v="UCudRqu3McscDKUXXZgxxuAg"/>
    <m/>
    <m/>
    <m/>
    <m/>
    <m/>
    <m/>
    <m/>
    <m/>
    <s v="Yes"/>
    <n v="150"/>
    <m/>
    <m/>
    <s v="Commented Video"/>
    <s v="Comment"/>
    <s v="Also please share the practice sheet  below"/>
    <s v="UCpKKVvQSctzPgpLyum794kg"/>
    <s v="Mohammed Hammad Ahmed"/>
    <s v="http://www.youtube.com/channel/UCpKKVvQSctzPgpLyum794kg"/>
    <m/>
    <s v="Y5yKxJQmqhc"/>
    <s v="https://www.youtube.com/watch?v=Y5yKxJQmqhc"/>
    <s v="none"/>
    <n v="1"/>
    <x v="147"/>
    <d v="2020-06-23T08:38:44.000"/>
    <m/>
    <m/>
    <m/>
    <n v="1"/>
    <s v="13"/>
    <s v="13"/>
    <n v="0"/>
    <n v="0"/>
    <n v="0"/>
    <n v="0"/>
    <n v="0"/>
    <n v="0"/>
    <n v="7"/>
    <n v="100"/>
    <n v="7"/>
  </r>
  <r>
    <s v="UCudRqu3McscDKUXXZgxxuAg"/>
    <s v="UCVCaB0WRwG9QZ6lBNXfu3Zw"/>
    <m/>
    <m/>
    <m/>
    <m/>
    <m/>
    <m/>
    <m/>
    <m/>
    <s v="Yes"/>
    <n v="151"/>
    <m/>
    <m/>
    <s v="Replied Comment"/>
    <s v="Reply"/>
    <s v="Sure"/>
    <s v="UCudRqu3McscDKUXXZgxxuAg"/>
    <s v="Pettaka Technologies"/>
    <s v="http://www.youtube.com/channel/UCudRqu3McscDKUXXZgxxuAg"/>
    <s v="UgxYheniC2KFUjbFLQd4AaABAg"/>
    <s v="Y5yKxJQmqhc"/>
    <s v="https://www.youtube.com/watch?v=Y5yKxJQmqhc"/>
    <s v="none"/>
    <n v="0"/>
    <x v="148"/>
    <d v="2020-06-24T06:05:58.000"/>
    <m/>
    <m/>
    <m/>
    <n v="1"/>
    <s v="13"/>
    <s v="13"/>
    <n v="0"/>
    <n v="0"/>
    <n v="0"/>
    <n v="0"/>
    <n v="0"/>
    <n v="0"/>
    <n v="1"/>
    <n v="100"/>
    <n v="1"/>
  </r>
  <r>
    <s v="UCVCaB0WRwG9QZ6lBNXfu3Zw"/>
    <s v="UCudRqu3McscDKUXXZgxxuAg"/>
    <m/>
    <m/>
    <m/>
    <m/>
    <m/>
    <m/>
    <m/>
    <m/>
    <s v="Yes"/>
    <n v="152"/>
    <m/>
    <m/>
    <s v="Commented Video"/>
    <s v="Comment"/>
    <s v="Can you pls share raw data"/>
    <s v="UCVCaB0WRwG9QZ6lBNXfu3Zw"/>
    <s v="Bhim"/>
    <s v="http://www.youtube.com/channel/UCVCaB0WRwG9QZ6lBNXfu3Zw"/>
    <m/>
    <s v="Y5yKxJQmqhc"/>
    <s v="https://www.youtube.com/watch?v=Y5yKxJQmqhc"/>
    <s v="none"/>
    <n v="1"/>
    <x v="149"/>
    <d v="2020-06-23T19:45:22.000"/>
    <m/>
    <m/>
    <m/>
    <n v="1"/>
    <s v="13"/>
    <s v="13"/>
    <n v="0"/>
    <n v="0"/>
    <n v="0"/>
    <n v="0"/>
    <n v="0"/>
    <n v="0"/>
    <n v="6"/>
    <n v="100"/>
    <n v="6"/>
  </r>
  <r>
    <s v="UCudRqu3McscDKUXXZgxxuAg"/>
    <s v="UCtSduV4ON7H5eyXmIpkM5BA"/>
    <m/>
    <m/>
    <m/>
    <m/>
    <m/>
    <m/>
    <m/>
    <m/>
    <s v="Yes"/>
    <n v="153"/>
    <m/>
    <m/>
    <s v="Replied Comment"/>
    <s v="Reply"/>
    <s v="In realtime projects, you will get data from Database like SQL Server, Oracle"/>
    <s v="UCudRqu3McscDKUXXZgxxuAg"/>
    <s v="Pettaka Technologies"/>
    <s v="http://www.youtube.com/channel/UCudRqu3McscDKUXXZgxxuAg"/>
    <s v="UgyFKOiT77wjzUH9zod4AaABAg"/>
    <s v="Y5yKxJQmqhc"/>
    <s v="https://www.youtube.com/watch?v=Y5yKxJQmqhc"/>
    <s v="none"/>
    <n v="1"/>
    <x v="150"/>
    <d v="2020-06-24T06:05:44.000"/>
    <m/>
    <m/>
    <m/>
    <n v="1"/>
    <s v="13"/>
    <s v="13"/>
    <n v="1"/>
    <n v="7.6923076923076925"/>
    <n v="0"/>
    <n v="0"/>
    <n v="0"/>
    <n v="0"/>
    <n v="12"/>
    <n v="92.3076923076923"/>
    <n v="13"/>
  </r>
  <r>
    <s v="UCtSduV4ON7H5eyXmIpkM5BA"/>
    <s v="UCudRqu3McscDKUXXZgxxuAg"/>
    <m/>
    <m/>
    <m/>
    <m/>
    <m/>
    <m/>
    <m/>
    <m/>
    <s v="Yes"/>
    <n v="154"/>
    <m/>
    <m/>
    <s v="Commented Video"/>
    <s v="Comment"/>
    <s v="Sir in realtime projects from where we I&amp;#39;ll get data"/>
    <s v="UCtSduV4ON7H5eyXmIpkM5BA"/>
    <s v="Saikumar Chebrolu"/>
    <s v="http://www.youtube.com/channel/UCtSduV4ON7H5eyXmIpkM5BA"/>
    <m/>
    <s v="Y5yKxJQmqhc"/>
    <s v="https://www.youtube.com/watch?v=Y5yKxJQmqhc"/>
    <s v="none"/>
    <n v="0"/>
    <x v="151"/>
    <d v="2020-06-24T05:14:19.000"/>
    <m/>
    <m/>
    <m/>
    <n v="1"/>
    <s v="13"/>
    <s v="13"/>
    <n v="0"/>
    <n v="0"/>
    <n v="0"/>
    <n v="0"/>
    <n v="0"/>
    <n v="0"/>
    <n v="12"/>
    <n v="100"/>
    <n v="12"/>
  </r>
  <r>
    <s v="UCtSduV4ON7H5eyXmIpkM5BA"/>
    <s v="UCtSduV4ON7H5eyXmIpkM5BA"/>
    <m/>
    <m/>
    <m/>
    <m/>
    <m/>
    <m/>
    <m/>
    <m/>
    <s v="No"/>
    <n v="155"/>
    <m/>
    <m/>
    <s v="Replied Comment"/>
    <s v="Reply"/>
    <s v="@Pettaka Technologies while working with excel,csv  files from where we will get?"/>
    <s v="UCtSduV4ON7H5eyXmIpkM5BA"/>
    <s v="Saikumar Chebrolu"/>
    <s v="http://www.youtube.com/channel/UCtSduV4ON7H5eyXmIpkM5BA"/>
    <s v="UgyFKOiT77wjzUH9zod4AaABAg"/>
    <s v="Y5yKxJQmqhc"/>
    <s v="https://www.youtube.com/watch?v=Y5yKxJQmqhc"/>
    <s v="none"/>
    <n v="0"/>
    <x v="152"/>
    <d v="2020-06-24T06:17:05.000"/>
    <m/>
    <m/>
    <m/>
    <n v="1"/>
    <s v="13"/>
    <s v="13"/>
    <n v="1"/>
    <n v="7.6923076923076925"/>
    <n v="0"/>
    <n v="0"/>
    <n v="0"/>
    <n v="0"/>
    <n v="12"/>
    <n v="92.3076923076923"/>
    <n v="13"/>
  </r>
  <r>
    <s v="UCjg2kAW7dd0nmCmHrCSVUng"/>
    <s v="UCxmSF_xV8EqQkoPYJL0bQLA"/>
    <m/>
    <m/>
    <m/>
    <m/>
    <m/>
    <m/>
    <m/>
    <m/>
    <s v="Yes"/>
    <n v="156"/>
    <m/>
    <m/>
    <s v="Replied Comment"/>
    <s v="Reply"/>
    <s v="Power Pivot excel ma hota ha"/>
    <s v="UCjg2kAW7dd0nmCmHrCSVUng"/>
    <s v="Learn DAX"/>
    <s v="http://www.youtube.com/channel/UCjg2kAW7dd0nmCmHrCSVUng"/>
    <s v="UgxNZKdzVggruGPh5z94AaABAg"/>
    <s v="akBaF-KDeSU"/>
    <s v="https://www.youtube.com/watch?v=akBaF-KDeSU"/>
    <s v="none"/>
    <n v="0"/>
    <x v="153"/>
    <d v="2020-06-21T19:07:44.000"/>
    <m/>
    <m/>
    <m/>
    <n v="4"/>
    <s v="3"/>
    <s v="3"/>
    <n v="1"/>
    <n v="16.666666666666668"/>
    <n v="0"/>
    <n v="0"/>
    <n v="0"/>
    <n v="0"/>
    <n v="5"/>
    <n v="83.33333333333333"/>
    <n v="6"/>
  </r>
  <r>
    <s v="UC1rRu-VgjGKeuGQmoEs_oag"/>
    <s v="UCxmSF_xV8EqQkoPYJL0bQLA"/>
    <m/>
    <m/>
    <m/>
    <m/>
    <m/>
    <m/>
    <m/>
    <m/>
    <s v="No"/>
    <n v="157"/>
    <m/>
    <m/>
    <s v="Replied Comment"/>
    <s v="Reply"/>
    <s v="Si sir.... Power bi mai&lt;br /&gt;1) power query &lt;br /&gt;2) power pivot&lt;br /&gt;3) power view&lt;br /&gt;4) power map hota hai??"/>
    <s v="UC1rRu-VgjGKeuGQmoEs_oag"/>
    <s v="excel job"/>
    <s v="http://www.youtube.com/channel/UC1rRu-VgjGKeuGQmoEs_oag"/>
    <s v="UgxNZKdzVggruGPh5z94AaABAg"/>
    <s v="akBaF-KDeSU"/>
    <s v="https://www.youtube.com/watch?v=akBaF-KDeSU"/>
    <s v="none"/>
    <n v="0"/>
    <x v="154"/>
    <d v="2020-06-21T20:31:53.000"/>
    <m/>
    <m/>
    <m/>
    <n v="2"/>
    <s v="3"/>
    <s v="3"/>
    <n v="0"/>
    <n v="0"/>
    <n v="0"/>
    <n v="0"/>
    <n v="0"/>
    <n v="0"/>
    <n v="23"/>
    <n v="100"/>
    <n v="23"/>
  </r>
  <r>
    <s v="UCjg2kAW7dd0nmCmHrCSVUng"/>
    <s v="UCxmSF_xV8EqQkoPYJL0bQLA"/>
    <m/>
    <m/>
    <m/>
    <m/>
    <m/>
    <m/>
    <m/>
    <m/>
    <s v="Yes"/>
    <n v="158"/>
    <m/>
    <m/>
    <s v="Replied Comment"/>
    <s v="Reply"/>
    <s v="excel job ye sb excel k tools hain. Power bi desktop aik alag product ha"/>
    <s v="UCjg2kAW7dd0nmCmHrCSVUng"/>
    <s v="Learn DAX"/>
    <s v="http://www.youtube.com/channel/UCjg2kAW7dd0nmCmHrCSVUng"/>
    <s v="UgxNZKdzVggruGPh5z94AaABAg"/>
    <s v="akBaF-KDeSU"/>
    <s v="https://www.youtube.com/watch?v=akBaF-KDeSU"/>
    <s v="none"/>
    <n v="0"/>
    <x v="155"/>
    <d v="2020-06-21T20:53:52.000"/>
    <m/>
    <m/>
    <m/>
    <n v="4"/>
    <s v="3"/>
    <s v="3"/>
    <n v="2"/>
    <n v="13.333333333333334"/>
    <n v="0"/>
    <n v="0"/>
    <n v="0"/>
    <n v="0"/>
    <n v="13"/>
    <n v="86.66666666666667"/>
    <n v="15"/>
  </r>
  <r>
    <s v="UC1rRu-VgjGKeuGQmoEs_oag"/>
    <s v="UCxmSF_xV8EqQkoPYJL0bQLA"/>
    <m/>
    <m/>
    <m/>
    <m/>
    <m/>
    <m/>
    <m/>
    <m/>
    <s v="No"/>
    <n v="159"/>
    <m/>
    <m/>
    <s v="Replied Comment"/>
    <s v="Reply"/>
    <s v="@Learn DAX par power query to dono mai hi hai execl and bi dono mai"/>
    <s v="UC1rRu-VgjGKeuGQmoEs_oag"/>
    <s v="excel job"/>
    <s v="http://www.youtube.com/channel/UC1rRu-VgjGKeuGQmoEs_oag"/>
    <s v="UgxNZKdzVggruGPh5z94AaABAg"/>
    <s v="akBaF-KDeSU"/>
    <s v="https://www.youtube.com/watch?v=akBaF-KDeSU"/>
    <s v="none"/>
    <n v="0"/>
    <x v="156"/>
    <d v="2020-06-21T21:07:23.000"/>
    <m/>
    <m/>
    <m/>
    <n v="2"/>
    <s v="3"/>
    <s v="3"/>
    <n v="0"/>
    <n v="0"/>
    <n v="0"/>
    <n v="0"/>
    <n v="0"/>
    <n v="0"/>
    <n v="15"/>
    <n v="100"/>
    <n v="15"/>
  </r>
  <r>
    <s v="UCxmSF_xV8EqQkoPYJL0bQLA"/>
    <s v="UCjg2kAW7dd0nmCmHrCSVUng"/>
    <m/>
    <m/>
    <m/>
    <m/>
    <m/>
    <m/>
    <m/>
    <m/>
    <s v="Yes"/>
    <n v="160"/>
    <m/>
    <m/>
    <s v="Commented Video"/>
    <s v="Comment"/>
    <s v="Sir ye power bi mai power pivot ka option kaha pe hota hai ?"/>
    <s v="UCxmSF_xV8EqQkoPYJL0bQLA"/>
    <s v="sukhdev singh"/>
    <s v="http://www.youtube.com/channel/UCxmSF_xV8EqQkoPYJL0bQLA"/>
    <m/>
    <s v="akBaF-KDeSU"/>
    <s v="https://www.youtube.com/watch?v=akBaF-KDeSU"/>
    <s v="none"/>
    <n v="0"/>
    <x v="157"/>
    <d v="2020-06-21T17:54:51.000"/>
    <m/>
    <m/>
    <m/>
    <n v="3"/>
    <s v="3"/>
    <s v="3"/>
    <n v="0"/>
    <n v="0"/>
    <n v="0"/>
    <n v="0"/>
    <n v="0"/>
    <n v="0"/>
    <n v="13"/>
    <n v="100"/>
    <n v="13"/>
  </r>
  <r>
    <s v="UCjg2kAW7dd0nmCmHrCSVUng"/>
    <s v="UCxmSF_xV8EqQkoPYJL0bQLA"/>
    <m/>
    <m/>
    <m/>
    <m/>
    <m/>
    <m/>
    <m/>
    <m/>
    <s v="Yes"/>
    <n v="161"/>
    <m/>
    <m/>
    <s v="Replied Comment"/>
    <s v="Reply"/>
    <s v="Download from this link &lt;a href=&quot;https://www.learndax.com/power-bi-sample-data-for-beginners-to-download/&quot;&gt;https://www.learndax.com/power-bi-sample-data-for-beginners-to-download/&lt;/a&gt;"/>
    <s v="UCjg2kAW7dd0nmCmHrCSVUng"/>
    <s v="Learn DAX"/>
    <s v="http://www.youtube.com/channel/UCjg2kAW7dd0nmCmHrCSVUng"/>
    <s v="UgwGfjlWGtFmmEzdKW94AaABAg"/>
    <s v="akBaF-KDeSU"/>
    <s v="https://www.youtube.com/watch?v=akBaF-KDeSU"/>
    <s v="none"/>
    <n v="0"/>
    <x v="158"/>
    <d v="2020-06-21T19:08:47.000"/>
    <s v=" https://www.learndax.com/power-bi-sample-data-for-beginners-to-download/ https://www.learndax.com/power-bi-sample-data-for-beginners-to-download/"/>
    <s v="learndax.com learndax.com"/>
    <m/>
    <n v="4"/>
    <s v="3"/>
    <s v="3"/>
    <n v="0"/>
    <n v="0"/>
    <n v="0"/>
    <n v="0"/>
    <n v="0"/>
    <n v="0"/>
    <n v="31"/>
    <n v="100"/>
    <n v="31"/>
  </r>
  <r>
    <s v="UCxmSF_xV8EqQkoPYJL0bQLA"/>
    <s v="UCjg2kAW7dd0nmCmHrCSVUng"/>
    <m/>
    <m/>
    <m/>
    <m/>
    <m/>
    <m/>
    <m/>
    <m/>
    <s v="Yes"/>
    <n v="162"/>
    <m/>
    <m/>
    <s v="Commented Video"/>
    <s v="Comment"/>
    <s v="File plss"/>
    <s v="UCxmSF_xV8EqQkoPYJL0bQLA"/>
    <s v="sukhdev singh"/>
    <s v="http://www.youtube.com/channel/UCxmSF_xV8EqQkoPYJL0bQLA"/>
    <m/>
    <s v="akBaF-KDeSU"/>
    <s v="https://www.youtube.com/watch?v=akBaF-KDeSU"/>
    <s v="none"/>
    <n v="0"/>
    <x v="159"/>
    <d v="2020-06-21T17:55:13.000"/>
    <m/>
    <m/>
    <m/>
    <n v="3"/>
    <s v="3"/>
    <s v="3"/>
    <n v="0"/>
    <n v="0"/>
    <n v="0"/>
    <n v="0"/>
    <n v="0"/>
    <n v="0"/>
    <n v="2"/>
    <n v="100"/>
    <n v="2"/>
  </r>
  <r>
    <s v="UCxmSF_xV8EqQkoPYJL0bQLA"/>
    <s v="UCxmSF_xV8EqQkoPYJL0bQLA"/>
    <m/>
    <m/>
    <m/>
    <m/>
    <m/>
    <m/>
    <m/>
    <m/>
    <s v="No"/>
    <n v="163"/>
    <m/>
    <m/>
    <s v="Replied Comment"/>
    <s v="Reply"/>
    <s v="@Pavan Lalwani ohk .....so sir as you said ..power pivot is  both in excel and power bi....so pls can u tell me where is power pivot option in power bi....and how to make a pivot in power bi ?"/>
    <s v="UCxmSF_xV8EqQkoPYJL0bQLA"/>
    <s v="sukhdev singh"/>
    <s v="http://www.youtube.com/channel/UCxmSF_xV8EqQkoPYJL0bQLA"/>
    <s v="Ugyy5JuxoxP0pVN5PaF4AaABAg"/>
    <s v="67NAObstdUs"/>
    <s v="https://www.youtube.com/watch?v=67NAObstdUs"/>
    <s v="none"/>
    <n v="0"/>
    <x v="160"/>
    <d v="2020-06-21T23:33:54.000"/>
    <m/>
    <m/>
    <m/>
    <n v="2"/>
    <s v="3"/>
    <s v="3"/>
    <n v="1"/>
    <n v="2.5"/>
    <n v="0"/>
    <n v="0"/>
    <n v="0"/>
    <n v="0"/>
    <n v="39"/>
    <n v="97.5"/>
    <n v="40"/>
  </r>
  <r>
    <s v="UCxmSF_xV8EqQkoPYJL0bQLA"/>
    <s v="UCxmSF_xV8EqQkoPYJL0bQLA"/>
    <m/>
    <m/>
    <m/>
    <m/>
    <m/>
    <m/>
    <m/>
    <m/>
    <s v="No"/>
    <n v="164"/>
    <m/>
    <m/>
    <s v="Replied Comment"/>
    <s v="Reply"/>
    <s v="@Pavan Lalwani thanx sir ....this will be completed ...I mean....power query, power pivot etc etc"/>
    <s v="UCxmSF_xV8EqQkoPYJL0bQLA"/>
    <s v="sukhdev singh"/>
    <s v="http://www.youtube.com/channel/UCxmSF_xV8EqQkoPYJL0bQLA"/>
    <s v="UgyQlma-qdz-F03YnbB4AaABAg"/>
    <s v="E5HCiZeB9zw"/>
    <s v="https://www.youtube.com/watch?v=E5HCiZeB9zw"/>
    <s v="none"/>
    <n v="0"/>
    <x v="161"/>
    <d v="2020-06-22T13:21:17.000"/>
    <m/>
    <m/>
    <m/>
    <n v="2"/>
    <s v="3"/>
    <s v="3"/>
    <n v="0"/>
    <n v="0"/>
    <n v="0"/>
    <n v="0"/>
    <n v="0"/>
    <n v="0"/>
    <n v="16"/>
    <n v="100"/>
    <n v="16"/>
  </r>
  <r>
    <s v="UCjg2kAW7dd0nmCmHrCSVUng"/>
    <s v="UCxmSF_xV8EqQkoPYJL0bQLA"/>
    <m/>
    <m/>
    <m/>
    <m/>
    <m/>
    <m/>
    <m/>
    <m/>
    <s v="Yes"/>
    <n v="165"/>
    <m/>
    <m/>
    <s v="Replied Comment"/>
    <s v="Reply"/>
    <s v="&lt;a href=&quot;https://www.learndax.com/power-bi-sample-data-for-beginners-to-download/&quot;&gt;https://www.learndax.com/power-bi-sample-data-for-beginners-to-download/&lt;/a&gt;"/>
    <s v="UCjg2kAW7dd0nmCmHrCSVUng"/>
    <s v="Learn DAX"/>
    <s v="http://www.youtube.com/channel/UCjg2kAW7dd0nmCmHrCSVUng"/>
    <s v="UgyUjxrRBprPPVZfPo54AaABAg"/>
    <s v="W3TncA8v4gE"/>
    <s v="https://www.youtube.com/watch?v=W3TncA8v4gE"/>
    <s v="none"/>
    <n v="0"/>
    <x v="162"/>
    <d v="2020-06-23T11:54:24.000"/>
    <s v=" https://www.learndax.com/power-bi-sample-data-for-beginners-to-download/ https://www.learndax.com/power-bi-sample-data-for-beginners-to-download/"/>
    <s v="learndax.com learndax.com"/>
    <m/>
    <n v="4"/>
    <s v="3"/>
    <s v="3"/>
    <n v="0"/>
    <n v="0"/>
    <n v="0"/>
    <n v="0"/>
    <n v="0"/>
    <n v="0"/>
    <n v="27"/>
    <n v="100"/>
    <n v="27"/>
  </r>
  <r>
    <s v="UCxmSF_xV8EqQkoPYJL0bQLA"/>
    <s v="UCjg2kAW7dd0nmCmHrCSVUng"/>
    <m/>
    <m/>
    <m/>
    <m/>
    <m/>
    <m/>
    <m/>
    <m/>
    <s v="Yes"/>
    <n v="166"/>
    <m/>
    <m/>
    <s v="Commented Video"/>
    <s v="Comment"/>
    <s v="Thanx sir file pls ~??"/>
    <s v="UCxmSF_xV8EqQkoPYJL0bQLA"/>
    <s v="sukhdev singh"/>
    <s v="http://www.youtube.com/channel/UCxmSF_xV8EqQkoPYJL0bQLA"/>
    <m/>
    <s v="W3TncA8v4gE"/>
    <s v="https://www.youtube.com/watch?v=W3TncA8v4gE"/>
    <s v="none"/>
    <n v="0"/>
    <x v="163"/>
    <d v="2020-06-23T11:34:28.000"/>
    <m/>
    <m/>
    <m/>
    <n v="3"/>
    <s v="3"/>
    <s v="3"/>
    <n v="0"/>
    <n v="0"/>
    <n v="0"/>
    <n v="0"/>
    <n v="0"/>
    <n v="0"/>
    <n v="4"/>
    <n v="100"/>
    <n v="4"/>
  </r>
  <r>
    <s v="UCXVUOdTY_30WBlCOAqsrSag"/>
    <s v="UCiIDkjBgs_Zm1Un3h22jxBQ"/>
    <m/>
    <m/>
    <m/>
    <m/>
    <m/>
    <m/>
    <m/>
    <m/>
    <s v="No"/>
    <n v="167"/>
    <m/>
    <m/>
    <s v="Replied Comment"/>
    <s v="Reply"/>
    <s v="Download Power BI to your PC. It&amp;#39;s free open source application"/>
    <s v="UCXVUOdTY_30WBlCOAqsrSag"/>
    <s v="Johnson A"/>
    <s v="http://www.youtube.com/channel/UCXVUOdTY_30WBlCOAqsrSag"/>
    <s v="Ugw0fLWHiawrVsEk2kR4AaABAg"/>
    <s v="hhZ62IlTxYs"/>
    <s v="https://www.youtube.com/watch?v=hhZ62IlTxYs"/>
    <s v="none"/>
    <n v="1"/>
    <x v="164"/>
    <d v="2020-06-23T09:37:48.000"/>
    <m/>
    <m/>
    <m/>
    <n v="1"/>
    <s v="4"/>
    <s v="4"/>
    <n v="1"/>
    <n v="7.6923076923076925"/>
    <n v="0"/>
    <n v="0"/>
    <n v="0"/>
    <n v="0"/>
    <n v="12"/>
    <n v="92.3076923076923"/>
    <n v="13"/>
  </r>
  <r>
    <s v="UCh9nVJoWXmFb7sLApWGcLPQ"/>
    <s v="UCiIDkjBgs_Zm1Un3h22jxBQ"/>
    <m/>
    <m/>
    <m/>
    <m/>
    <m/>
    <m/>
    <m/>
    <m/>
    <s v="Yes"/>
    <n v="168"/>
    <m/>
    <m/>
    <s v="Replied Comment"/>
    <s v="Reply"/>
    <s v="Sure. I will provide all the information on how to download tools needed for this project.also you don&amp;#39;t need to have any prior knowledge of power BI in order to do this project"/>
    <s v="UCh9nVJoWXmFb7sLApWGcLPQ"/>
    <s v="codebasics"/>
    <s v="http://www.youtube.com/channel/UCh9nVJoWXmFb7sLApWGcLPQ"/>
    <s v="Ugw0fLWHiawrVsEk2kR4AaABAg"/>
    <s v="hhZ62IlTxYs"/>
    <s v="https://www.youtube.com/watch?v=hhZ62IlTxYs"/>
    <s v="none"/>
    <n v="2"/>
    <x v="165"/>
    <d v="2020-06-23T12:48:24.000"/>
    <m/>
    <m/>
    <m/>
    <n v="1"/>
    <s v="4"/>
    <s v="4"/>
    <n v="0"/>
    <n v="0"/>
    <n v="0"/>
    <n v="0"/>
    <n v="0"/>
    <n v="0"/>
    <n v="36"/>
    <n v="100"/>
    <n v="36"/>
  </r>
  <r>
    <s v="UCiIDkjBgs_Zm1Un3h22jxBQ"/>
    <s v="UCh9nVJoWXmFb7sLApWGcLPQ"/>
    <m/>
    <m/>
    <m/>
    <m/>
    <m/>
    <m/>
    <m/>
    <m/>
    <s v="Yes"/>
    <n v="169"/>
    <m/>
    <m/>
    <s v="Commented Video"/>
    <s v="Comment"/>
    <s v="Thanks for having you again for this course, am new in this course Power BI, what are the tools  and skills for the beginner needed and online resources , please help."/>
    <s v="UCiIDkjBgs_Zm1Un3h22jxBQ"/>
    <s v="Mustapha Kolo"/>
    <s v="http://www.youtube.com/channel/UCiIDkjBgs_Zm1Un3h22jxBQ"/>
    <m/>
    <s v="hhZ62IlTxYs"/>
    <s v="https://www.youtube.com/watch?v=hhZ62IlTxYs"/>
    <s v="none"/>
    <n v="0"/>
    <x v="166"/>
    <d v="2020-06-23T08:35:44.000"/>
    <m/>
    <m/>
    <m/>
    <n v="1"/>
    <s v="4"/>
    <s v="4"/>
    <n v="0"/>
    <n v="0"/>
    <n v="0"/>
    <n v="0"/>
    <n v="0"/>
    <n v="0"/>
    <n v="30"/>
    <n v="100"/>
    <n v="30"/>
  </r>
  <r>
    <s v="UCh9nVJoWXmFb7sLApWGcLPQ"/>
    <s v="UCJMTQogNChI1UHqWT3Zvbew"/>
    <m/>
    <m/>
    <m/>
    <m/>
    <m/>
    <m/>
    <m/>
    <m/>
    <s v="Yes"/>
    <n v="170"/>
    <m/>
    <m/>
    <s v="Replied Comment"/>
    <s v="Reply"/>
    <s v="Sathiya, yes this project is for people who don&amp;#39;t know anything about power BI 👍😎"/>
    <s v="UCh9nVJoWXmFb7sLApWGcLPQ"/>
    <s v="codebasics"/>
    <s v="http://www.youtube.com/channel/UCh9nVJoWXmFb7sLApWGcLPQ"/>
    <s v="UgydDb1yv0sszAn79f94AaABAg"/>
    <s v="hhZ62IlTxYs"/>
    <s v="https://www.youtube.com/watch?v=hhZ62IlTxYs"/>
    <s v="none"/>
    <n v="1"/>
    <x v="167"/>
    <d v="2020-06-23T12:47:05.000"/>
    <m/>
    <m/>
    <m/>
    <n v="1"/>
    <s v="4"/>
    <s v="4"/>
    <n v="0"/>
    <n v="0"/>
    <n v="0"/>
    <n v="0"/>
    <n v="0"/>
    <n v="0"/>
    <n v="16"/>
    <n v="100"/>
    <n v="16"/>
  </r>
  <r>
    <s v="UCJMTQogNChI1UHqWT3Zvbew"/>
    <s v="UCh9nVJoWXmFb7sLApWGcLPQ"/>
    <m/>
    <m/>
    <m/>
    <m/>
    <m/>
    <m/>
    <m/>
    <m/>
    <s v="Yes"/>
    <n v="171"/>
    <m/>
    <m/>
    <s v="Commented Video"/>
    <s v="Comment"/>
    <s v="sir I don&amp;#39;t have knowledge on power bi, is this understandable for me or not"/>
    <s v="UCJMTQogNChI1UHqWT3Zvbew"/>
    <s v="Sahithya Chowdary"/>
    <s v="http://www.youtube.com/channel/UCJMTQogNChI1UHqWT3Zvbew"/>
    <m/>
    <s v="hhZ62IlTxYs"/>
    <s v="https://www.youtube.com/watch?v=hhZ62IlTxYs"/>
    <s v="none"/>
    <n v="0"/>
    <x v="168"/>
    <d v="2020-06-23T09:04:44.000"/>
    <m/>
    <m/>
    <m/>
    <n v="1"/>
    <s v="4"/>
    <s v="4"/>
    <n v="1"/>
    <n v="5.882352941176471"/>
    <n v="0"/>
    <n v="0"/>
    <n v="0"/>
    <n v="0"/>
    <n v="16"/>
    <n v="94.11764705882354"/>
    <n v="17"/>
  </r>
  <r>
    <s v="UCvCl2Tlsxc1QLs7kDTfNY2g"/>
    <s v="UC9ALNzhWRFgVrV0OAg_AmVw"/>
    <m/>
    <m/>
    <m/>
    <m/>
    <m/>
    <m/>
    <m/>
    <m/>
    <s v="No"/>
    <n v="172"/>
    <m/>
    <m/>
    <s v="Replied Comment"/>
    <s v="Reply"/>
    <s v="it depends daily &lt;a href=&quot;https://www.youtube.com/watch?v=hhZ62IlTxYs&amp;amp;t=6m30s&quot;&gt;6:30&lt;/a&gt; or 9:30 pm IST . This series may have 7 parts like as earlier projects.These videos available inn offline.. We can watch these treasure videos at any time."/>
    <s v="UCvCl2Tlsxc1QLs7kDTfNY2g"/>
    <s v="jaganinfo"/>
    <s v="http://www.youtube.com/channel/UCvCl2Tlsxc1QLs7kDTfNY2g"/>
    <s v="UgwVbfQR_H8NL4zAGI14AaABAg"/>
    <s v="hhZ62IlTxYs"/>
    <s v="https://www.youtube.com/watch?v=hhZ62IlTxYs"/>
    <s v="none"/>
    <n v="1"/>
    <x v="169"/>
    <d v="2020-06-23T16:30:27.000"/>
    <s v=" https://www.youtube.com/watch?v=hhZ62IlTxYs&amp;amp;t=6m30s"/>
    <s v="youtube.com"/>
    <m/>
    <n v="1"/>
    <s v="4"/>
    <s v="4"/>
    <n v="3"/>
    <n v="6.382978723404255"/>
    <n v="0"/>
    <n v="0"/>
    <n v="0"/>
    <n v="0"/>
    <n v="44"/>
    <n v="93.61702127659575"/>
    <n v="47"/>
  </r>
  <r>
    <s v="UC9ALNzhWRFgVrV0OAg_AmVw"/>
    <s v="UCh9nVJoWXmFb7sLApWGcLPQ"/>
    <m/>
    <m/>
    <m/>
    <m/>
    <m/>
    <m/>
    <m/>
    <m/>
    <s v="No"/>
    <n v="173"/>
    <m/>
    <m/>
    <s v="Commented Video"/>
    <s v="Comment"/>
    <s v="What is the timing of this project"/>
    <s v="UC9ALNzhWRFgVrV0OAg_AmVw"/>
    <s v="Imtiyaz Bhat"/>
    <s v="http://www.youtube.com/channel/UC9ALNzhWRFgVrV0OAg_AmVw"/>
    <m/>
    <s v="hhZ62IlTxYs"/>
    <s v="https://www.youtube.com/watch?v=hhZ62IlTxYs"/>
    <s v="none"/>
    <n v="0"/>
    <x v="170"/>
    <d v="2020-06-23T14:04:53.000"/>
    <m/>
    <m/>
    <m/>
    <n v="1"/>
    <s v="4"/>
    <s v="4"/>
    <n v="0"/>
    <n v="0"/>
    <n v="0"/>
    <n v="0"/>
    <n v="0"/>
    <n v="0"/>
    <n v="7"/>
    <n v="100"/>
    <n v="7"/>
  </r>
  <r>
    <s v="UCh9nVJoWXmFb7sLApWGcLPQ"/>
    <s v="UCY0421BUY-kaz8BnYPI3LhQ"/>
    <m/>
    <m/>
    <m/>
    <m/>
    <m/>
    <m/>
    <m/>
    <m/>
    <s v="Yes"/>
    <n v="174"/>
    <m/>
    <m/>
    <s v="Replied Comment"/>
    <s v="Reply"/>
    <s v="This project will use just Power BI and SQL (mysql especially)"/>
    <s v="UCh9nVJoWXmFb7sLApWGcLPQ"/>
    <s v="codebasics"/>
    <s v="http://www.youtube.com/channel/UCh9nVJoWXmFb7sLApWGcLPQ"/>
    <s v="UgxhZaqayRRPWhLkEfJ4AaABAg"/>
    <s v="hhZ62IlTxYs"/>
    <s v="https://www.youtube.com/watch?v=hhZ62IlTxYs"/>
    <s v="none"/>
    <n v="2"/>
    <x v="171"/>
    <d v="2020-06-23T17:52:55.000"/>
    <m/>
    <m/>
    <m/>
    <n v="1"/>
    <s v="4"/>
    <s v="4"/>
    <n v="0"/>
    <n v="0"/>
    <n v="0"/>
    <n v="0"/>
    <n v="0"/>
    <n v="0"/>
    <n v="11"/>
    <n v="100"/>
    <n v="11"/>
  </r>
  <r>
    <s v="UCY0421BUY-kaz8BnYPI3LhQ"/>
    <s v="UCh9nVJoWXmFb7sLApWGcLPQ"/>
    <m/>
    <m/>
    <m/>
    <m/>
    <m/>
    <m/>
    <m/>
    <m/>
    <s v="Yes"/>
    <n v="175"/>
    <m/>
    <m/>
    <s v="Commented Video"/>
    <s v="Comment"/>
    <s v="I&amp;#39;m really glad that we have a person like you Sir, im excited to begin with you this course but i have a question : will we use python like to analyse the Data ? or just Power BI?"/>
    <s v="UCY0421BUY-kaz8BnYPI3LhQ"/>
    <s v="Assou Tarik"/>
    <s v="http://www.youtube.com/channel/UCY0421BUY-kaz8BnYPI3LhQ"/>
    <m/>
    <s v="hhZ62IlTxYs"/>
    <s v="https://www.youtube.com/watch?v=hhZ62IlTxYs"/>
    <s v="none"/>
    <n v="0"/>
    <x v="172"/>
    <d v="2020-06-23T15:25:58.000"/>
    <m/>
    <m/>
    <m/>
    <n v="1"/>
    <s v="4"/>
    <s v="4"/>
    <n v="4"/>
    <n v="10.256410256410257"/>
    <n v="0"/>
    <n v="0"/>
    <n v="0"/>
    <n v="0"/>
    <n v="35"/>
    <n v="89.74358974358974"/>
    <n v="39"/>
  </r>
  <r>
    <s v="UCh9nVJoWXmFb7sLApWGcLPQ"/>
    <s v="UCXVUOdTY_30WBlCOAqsrSag"/>
    <m/>
    <m/>
    <m/>
    <m/>
    <m/>
    <m/>
    <m/>
    <m/>
    <s v="Yes"/>
    <n v="176"/>
    <m/>
    <m/>
    <s v="Replied Comment"/>
    <s v="Reply"/>
    <s v="oh wow... thanks Johnson. This comment conveys lot of inputs on the content and this project series especially."/>
    <s v="UCh9nVJoWXmFb7sLApWGcLPQ"/>
    <s v="codebasics"/>
    <s v="http://www.youtube.com/channel/UCh9nVJoWXmFb7sLApWGcLPQ"/>
    <s v="UgzJgorPBPLvkAoLfq94AaABAg"/>
    <s v="hhZ62IlTxYs"/>
    <s v="https://www.youtube.com/watch?v=hhZ62IlTxYs"/>
    <s v="none"/>
    <n v="0"/>
    <x v="173"/>
    <d v="2020-06-23T20:41:51.000"/>
    <m/>
    <m/>
    <m/>
    <n v="1"/>
    <s v="4"/>
    <s v="4"/>
    <n v="1"/>
    <n v="5.555555555555555"/>
    <n v="0"/>
    <n v="0"/>
    <n v="0"/>
    <n v="0"/>
    <n v="17"/>
    <n v="94.44444444444444"/>
    <n v="18"/>
  </r>
  <r>
    <s v="UCXVUOdTY_30WBlCOAqsrSag"/>
    <s v="UCh9nVJoWXmFb7sLApWGcLPQ"/>
    <m/>
    <m/>
    <m/>
    <m/>
    <m/>
    <m/>
    <m/>
    <m/>
    <s v="Yes"/>
    <n v="177"/>
    <m/>
    <m/>
    <s v="Commented Video"/>
    <s v="Comment"/>
    <s v="Thanks so much!! When is the next video out? I&amp;#39;ve not looked forward to anything like this since Breaking Bad Episodes"/>
    <s v="UCXVUOdTY_30WBlCOAqsrSag"/>
    <s v="Johnson A"/>
    <s v="http://www.youtube.com/channel/UCXVUOdTY_30WBlCOAqsrSag"/>
    <m/>
    <s v="hhZ62IlTxYs"/>
    <s v="https://www.youtube.com/watch?v=hhZ62IlTxYs"/>
    <s v="none"/>
    <n v="0"/>
    <x v="174"/>
    <d v="2020-06-23T15:29:15.000"/>
    <m/>
    <m/>
    <m/>
    <n v="1"/>
    <s v="4"/>
    <s v="4"/>
    <n v="1"/>
    <n v="4.3478260869565215"/>
    <n v="2"/>
    <n v="8.695652173913043"/>
    <n v="0"/>
    <n v="0"/>
    <n v="20"/>
    <n v="86.95652173913044"/>
    <n v="23"/>
  </r>
  <r>
    <s v="UCh9nVJoWXmFb7sLApWGcLPQ"/>
    <s v="UCyqTrRZ04SxeiFtYRkWmnUA"/>
    <m/>
    <m/>
    <m/>
    <m/>
    <m/>
    <m/>
    <m/>
    <m/>
    <s v="Yes"/>
    <n v="178"/>
    <m/>
    <m/>
    <s v="Replied Comment"/>
    <s v="Reply"/>
    <s v="yes i am planning that."/>
    <s v="UCh9nVJoWXmFb7sLApWGcLPQ"/>
    <s v="codebasics"/>
    <s v="http://www.youtube.com/channel/UCh9nVJoWXmFb7sLApWGcLPQ"/>
    <s v="UgyWFNcGDC6o19_AMD94AaABAg"/>
    <s v="hhZ62IlTxYs"/>
    <s v="https://www.youtube.com/watch?v=hhZ62IlTxYs"/>
    <s v="none"/>
    <n v="0"/>
    <x v="175"/>
    <d v="2020-06-23T17:53:24.000"/>
    <m/>
    <m/>
    <m/>
    <n v="1"/>
    <s v="4"/>
    <s v="4"/>
    <n v="0"/>
    <n v="0"/>
    <n v="0"/>
    <n v="0"/>
    <n v="0"/>
    <n v="0"/>
    <n v="5"/>
    <n v="100"/>
    <n v="5"/>
  </r>
  <r>
    <s v="UCyqTrRZ04SxeiFtYRkWmnUA"/>
    <s v="UCh9nVJoWXmFb7sLApWGcLPQ"/>
    <m/>
    <m/>
    <m/>
    <m/>
    <m/>
    <m/>
    <m/>
    <m/>
    <s v="Yes"/>
    <n v="179"/>
    <m/>
    <m/>
    <s v="Commented Video"/>
    <s v="Comment"/>
    <s v="Sir please make videos on deep learning"/>
    <s v="UCyqTrRZ04SxeiFtYRkWmnUA"/>
    <s v="rajendra somkunwar"/>
    <s v="http://www.youtube.com/channel/UCyqTrRZ04SxeiFtYRkWmnUA"/>
    <m/>
    <s v="hhZ62IlTxYs"/>
    <s v="https://www.youtube.com/watch?v=hhZ62IlTxYs"/>
    <s v="none"/>
    <n v="0"/>
    <x v="176"/>
    <d v="2020-06-23T16:05:26.000"/>
    <m/>
    <m/>
    <m/>
    <n v="1"/>
    <s v="4"/>
    <s v="4"/>
    <n v="0"/>
    <n v="0"/>
    <n v="0"/>
    <n v="0"/>
    <n v="0"/>
    <n v="0"/>
    <n v="7"/>
    <n v="100"/>
    <n v="7"/>
  </r>
  <r>
    <s v="UCh9nVJoWXmFb7sLApWGcLPQ"/>
    <s v="UCMMs7TOs0jsoaZ5TdXOixaw"/>
    <m/>
    <m/>
    <m/>
    <m/>
    <m/>
    <m/>
    <m/>
    <m/>
    <s v="Yes"/>
    <n v="180"/>
    <m/>
    <m/>
    <s v="Replied Comment"/>
    <s v="Reply"/>
    <s v="Yes you can do same thing in tableau. Since many people requested this I will try to build same dashboard in tableau. But let me first finish the series in Power bi first"/>
    <s v="UCh9nVJoWXmFb7sLApWGcLPQ"/>
    <s v="codebasics"/>
    <s v="http://www.youtube.com/channel/UCh9nVJoWXmFb7sLApWGcLPQ"/>
    <s v="Ugz1nZ0uwzjpfoMXd8R4AaABAg"/>
    <s v="hhZ62IlTxYs"/>
    <s v="https://www.youtube.com/watch?v=hhZ62IlTxYs"/>
    <s v="none"/>
    <n v="0"/>
    <x v="177"/>
    <d v="2020-06-24T11:11:51.000"/>
    <m/>
    <m/>
    <m/>
    <n v="1"/>
    <s v="4"/>
    <s v="4"/>
    <n v="0"/>
    <n v="0"/>
    <n v="0"/>
    <n v="0"/>
    <n v="0"/>
    <n v="0"/>
    <n v="33"/>
    <n v="100"/>
    <n v="33"/>
  </r>
  <r>
    <s v="UCMMs7TOs0jsoaZ5TdXOixaw"/>
    <s v="UCh9nVJoWXmFb7sLApWGcLPQ"/>
    <m/>
    <m/>
    <m/>
    <m/>
    <m/>
    <m/>
    <m/>
    <m/>
    <s v="Yes"/>
    <n v="181"/>
    <m/>
    <m/>
    <s v="Commented Video"/>
    <s v="Comment"/>
    <s v="Excellent project, hope it gives me lot of exposure to difference aspects and challenges we face in data analytics project.&lt;br /&gt;Can I able to do it in tableau as well ?"/>
    <s v="UCMMs7TOs0jsoaZ5TdXOixaw"/>
    <s v="Prudhvi Merugu"/>
    <s v="http://www.youtube.com/channel/UCMMs7TOs0jsoaZ5TdXOixaw"/>
    <m/>
    <s v="hhZ62IlTxYs"/>
    <s v="https://www.youtube.com/watch?v=hhZ62IlTxYs"/>
    <s v="none"/>
    <n v="0"/>
    <x v="178"/>
    <d v="2020-06-24T00:36:50.000"/>
    <m/>
    <m/>
    <m/>
    <n v="1"/>
    <s v="4"/>
    <s v="4"/>
    <n v="2"/>
    <n v="6.451612903225806"/>
    <n v="0"/>
    <n v="0"/>
    <n v="0"/>
    <n v="0"/>
    <n v="29"/>
    <n v="93.54838709677419"/>
    <n v="31"/>
  </r>
  <r>
    <s v="UCh9nVJoWXmFb7sLApWGcLPQ"/>
    <s v="UCLTL0rIRyH694XlOLtVr63Q"/>
    <m/>
    <m/>
    <m/>
    <m/>
    <m/>
    <m/>
    <m/>
    <m/>
    <s v="Yes"/>
    <n v="182"/>
    <m/>
    <m/>
    <s v="Replied Comment"/>
    <s v="Reply"/>
    <s v="Yes I will provide data and all other resources for this project"/>
    <s v="UCh9nVJoWXmFb7sLApWGcLPQ"/>
    <s v="codebasics"/>
    <s v="http://www.youtube.com/channel/UCh9nVJoWXmFb7sLApWGcLPQ"/>
    <s v="UgyeeZOG964USOgQN5x4AaABAg"/>
    <s v="hhZ62IlTxYs"/>
    <s v="https://www.youtube.com/watch?v=hhZ62IlTxYs"/>
    <s v="none"/>
    <n v="0"/>
    <x v="179"/>
    <d v="2020-06-24T11:10:15.000"/>
    <m/>
    <m/>
    <m/>
    <n v="1"/>
    <s v="4"/>
    <s v="4"/>
    <n v="0"/>
    <n v="0"/>
    <n v="0"/>
    <n v="0"/>
    <n v="0"/>
    <n v="0"/>
    <n v="12"/>
    <n v="100"/>
    <n v="12"/>
  </r>
  <r>
    <s v="UCLTL0rIRyH694XlOLtVr63Q"/>
    <s v="UCLTL0rIRyH694XlOLtVr63Q"/>
    <m/>
    <m/>
    <m/>
    <m/>
    <m/>
    <m/>
    <m/>
    <m/>
    <s v="No"/>
    <n v="183"/>
    <m/>
    <m/>
    <s v="Replied Comment"/>
    <s v="Reply"/>
    <s v="@codebasics thank u"/>
    <s v="UCLTL0rIRyH694XlOLtVr63Q"/>
    <s v="real austins"/>
    <s v="http://www.youtube.com/channel/UCLTL0rIRyH694XlOLtVr63Q"/>
    <s v="UgyeeZOG964USOgQN5x4AaABAg"/>
    <s v="hhZ62IlTxYs"/>
    <s v="https://www.youtube.com/watch?v=hhZ62IlTxYs"/>
    <s v="none"/>
    <n v="0"/>
    <x v="180"/>
    <d v="2020-06-24T12:07:40.000"/>
    <m/>
    <m/>
    <m/>
    <n v="1"/>
    <s v="4"/>
    <s v="4"/>
    <n v="1"/>
    <n v="33.333333333333336"/>
    <n v="0"/>
    <n v="0"/>
    <n v="0"/>
    <n v="0"/>
    <n v="2"/>
    <n v="66.66666666666667"/>
    <n v="3"/>
  </r>
  <r>
    <s v="UCLTL0rIRyH694XlOLtVr63Q"/>
    <s v="UCh9nVJoWXmFb7sLApWGcLPQ"/>
    <m/>
    <m/>
    <m/>
    <m/>
    <m/>
    <m/>
    <m/>
    <m/>
    <s v="Yes"/>
    <n v="184"/>
    <m/>
    <m/>
    <s v="Commented Video"/>
    <s v="Comment"/>
    <s v="Can we have the cvs files  so we could follow  the process.... I really love this"/>
    <s v="UCLTL0rIRyH694XlOLtVr63Q"/>
    <s v="real austins"/>
    <s v="http://www.youtube.com/channel/UCLTL0rIRyH694XlOLtVr63Q"/>
    <m/>
    <s v="hhZ62IlTxYs"/>
    <s v="https://www.youtube.com/watch?v=hhZ62IlTxYs"/>
    <s v="none"/>
    <n v="0"/>
    <x v="181"/>
    <d v="2020-06-24T05:09:56.000"/>
    <m/>
    <m/>
    <m/>
    <n v="1"/>
    <s v="4"/>
    <s v="4"/>
    <n v="1"/>
    <n v="6.25"/>
    <n v="0"/>
    <n v="0"/>
    <n v="0"/>
    <n v="0"/>
    <n v="15"/>
    <n v="93.75"/>
    <n v="16"/>
  </r>
  <r>
    <s v="UCh9nVJoWXmFb7sLApWGcLPQ"/>
    <s v="UCkTfNFxLWpU1bsaNRynVZgQ"/>
    <m/>
    <m/>
    <m/>
    <m/>
    <m/>
    <m/>
    <m/>
    <m/>
    <s v="Yes"/>
    <n v="185"/>
    <m/>
    <m/>
    <s v="Replied Comment"/>
    <s v="Reply"/>
    <s v="Concept wise they are same. These are the products from two different companies"/>
    <s v="UCh9nVJoWXmFb7sLApWGcLPQ"/>
    <s v="codebasics"/>
    <s v="http://www.youtube.com/channel/UCh9nVJoWXmFb7sLApWGcLPQ"/>
    <s v="Ugy62ffkeJRlXkeP5b14AaABAg"/>
    <s v="hhZ62IlTxYs"/>
    <s v="https://www.youtube.com/watch?v=hhZ62IlTxYs"/>
    <s v="none"/>
    <n v="0"/>
    <x v="182"/>
    <d v="2020-06-24T11:19:15.000"/>
    <m/>
    <m/>
    <m/>
    <n v="1"/>
    <s v="4"/>
    <s v="4"/>
    <n v="1"/>
    <n v="7.6923076923076925"/>
    <n v="0"/>
    <n v="0"/>
    <n v="0"/>
    <n v="0"/>
    <n v="12"/>
    <n v="92.3076923076923"/>
    <n v="13"/>
  </r>
  <r>
    <s v="UCkTfNFxLWpU1bsaNRynVZgQ"/>
    <s v="UCh9nVJoWXmFb7sLApWGcLPQ"/>
    <m/>
    <m/>
    <m/>
    <m/>
    <m/>
    <m/>
    <m/>
    <m/>
    <s v="Yes"/>
    <n v="186"/>
    <m/>
    <m/>
    <s v="Commented Video"/>
    <s v="Comment"/>
    <s v="I want to clear my confusion....my qus is that , power BI and SAS BI dashboard is same or different"/>
    <s v="UCkTfNFxLWpU1bsaNRynVZgQ"/>
    <s v="Sumit Landge"/>
    <s v="http://www.youtube.com/channel/UCkTfNFxLWpU1bsaNRynVZgQ"/>
    <m/>
    <s v="hhZ62IlTxYs"/>
    <s v="https://www.youtube.com/watch?v=hhZ62IlTxYs"/>
    <s v="none"/>
    <n v="1"/>
    <x v="183"/>
    <d v="2020-06-24T09:51:55.000"/>
    <m/>
    <m/>
    <m/>
    <n v="1"/>
    <s v="4"/>
    <s v="4"/>
    <n v="1"/>
    <n v="5"/>
    <n v="1"/>
    <n v="5"/>
    <n v="0"/>
    <n v="0"/>
    <n v="18"/>
    <n v="90"/>
    <n v="20"/>
  </r>
  <r>
    <s v="UCjg2kAW7dd0nmCmHrCSVUng"/>
    <s v="UCw9VbBLCPPDHCU8ocVaYbyQ"/>
    <m/>
    <m/>
    <m/>
    <m/>
    <m/>
    <m/>
    <m/>
    <m/>
    <s v="Yes"/>
    <n v="187"/>
    <m/>
    <m/>
    <s v="Replied Comment"/>
    <s v="Reply"/>
    <s v="I didn&amp;#39;t experience this issue"/>
    <s v="UCjg2kAW7dd0nmCmHrCSVUng"/>
    <s v="Learn DAX"/>
    <s v="http://www.youtube.com/channel/UCjg2kAW7dd0nmCmHrCSVUng"/>
    <s v="UgzceW0jDYDvRchg1IR4AaABAg"/>
    <s v="W3TncA8v4gE"/>
    <s v="https://www.youtube.com/watch?v=W3TncA8v4gE"/>
    <s v="none"/>
    <n v="0"/>
    <x v="184"/>
    <d v="2020-06-24T09:44:09.000"/>
    <m/>
    <m/>
    <m/>
    <n v="2"/>
    <s v="3"/>
    <s v="3"/>
    <n v="0"/>
    <n v="0"/>
    <n v="1"/>
    <n v="14.285714285714286"/>
    <n v="0"/>
    <n v="0"/>
    <n v="6"/>
    <n v="85.71428571428571"/>
    <n v="7"/>
  </r>
  <r>
    <s v="UCw9VbBLCPPDHCU8ocVaYbyQ"/>
    <s v="UCjg2kAW7dd0nmCmHrCSVUng"/>
    <m/>
    <m/>
    <m/>
    <m/>
    <m/>
    <m/>
    <m/>
    <m/>
    <s v="Yes"/>
    <n v="188"/>
    <m/>
    <m/>
    <s v="Commented Video"/>
    <s v="Comment"/>
    <s v="One question- Actually if I Add title any visual ,search any column in field pane power bi automatically close is this happen due to new June Update and also what will be solution for this"/>
    <s v="UCw9VbBLCPPDHCU8ocVaYbyQ"/>
    <s v="Lucky Mane"/>
    <s v="http://www.youtube.com/channel/UCw9VbBLCPPDHCU8ocVaYbyQ"/>
    <m/>
    <s v="W3TncA8v4gE"/>
    <s v="https://www.youtube.com/watch?v=W3TncA8v4gE"/>
    <s v="none"/>
    <n v="0"/>
    <x v="185"/>
    <d v="2020-06-24T09:16:04.000"/>
    <m/>
    <m/>
    <m/>
    <n v="2"/>
    <s v="3"/>
    <s v="3"/>
    <n v="0"/>
    <n v="0"/>
    <n v="0"/>
    <n v="0"/>
    <n v="0"/>
    <n v="0"/>
    <n v="35"/>
    <n v="100"/>
    <n v="35"/>
  </r>
  <r>
    <s v="UCjg2kAW7dd0nmCmHrCSVUng"/>
    <s v="UCw9VbBLCPPDHCU8ocVaYbyQ"/>
    <m/>
    <m/>
    <m/>
    <m/>
    <m/>
    <m/>
    <m/>
    <m/>
    <s v="Yes"/>
    <n v="189"/>
    <m/>
    <m/>
    <s v="Replied Comment"/>
    <s v="Reply"/>
    <s v="I will come on this topic soon. First I need to complete current series. After some more videos I will start dashboard designing where we learn all concepts what we have covered so far. &lt;br /&gt;Next course will be SQL &amp;amp; Dax using dax studio. It is useful for ssrs with tabular"/>
    <s v="UCjg2kAW7dd0nmCmHrCSVUng"/>
    <s v="Learn DAX"/>
    <s v="http://www.youtube.com/channel/UCjg2kAW7dd0nmCmHrCSVUng"/>
    <s v="UgwKZcpd-YvjCWKh5O54AaABAg"/>
    <s v="W3TncA8v4gE"/>
    <s v="https://www.youtube.com/watch?v=W3TncA8v4gE"/>
    <s v="none"/>
    <n v="1"/>
    <x v="186"/>
    <d v="2020-06-24T09:28:20.000"/>
    <m/>
    <m/>
    <m/>
    <n v="2"/>
    <s v="3"/>
    <s v="3"/>
    <n v="1"/>
    <n v="1.9230769230769231"/>
    <n v="0"/>
    <n v="0"/>
    <n v="0"/>
    <n v="0"/>
    <n v="51"/>
    <n v="98.07692307692308"/>
    <n v="52"/>
  </r>
  <r>
    <s v="UCw9VbBLCPPDHCU8ocVaYbyQ"/>
    <s v="UCjg2kAW7dd0nmCmHrCSVUng"/>
    <m/>
    <m/>
    <m/>
    <m/>
    <m/>
    <m/>
    <m/>
    <m/>
    <s v="Yes"/>
    <n v="190"/>
    <m/>
    <m/>
    <s v="Commented Video"/>
    <s v="Comment"/>
    <s v="Please make some vdo on m language means how to learn when to use specific fun means any tips and tricks for m language in power Query🙂"/>
    <s v="UCw9VbBLCPPDHCU8ocVaYbyQ"/>
    <s v="Lucky Mane"/>
    <s v="http://www.youtube.com/channel/UCw9VbBLCPPDHCU8ocVaYbyQ"/>
    <m/>
    <s v="W3TncA8v4gE"/>
    <s v="https://www.youtube.com/watch?v=W3TncA8v4gE"/>
    <s v="none"/>
    <n v="0"/>
    <x v="187"/>
    <d v="2020-06-24T09:20:16.000"/>
    <m/>
    <m/>
    <m/>
    <n v="2"/>
    <s v="3"/>
    <s v="3"/>
    <n v="1"/>
    <n v="3.7037037037037037"/>
    <n v="0"/>
    <n v="0"/>
    <n v="0"/>
    <n v="0"/>
    <n v="26"/>
    <n v="96.29629629629629"/>
    <n v="27"/>
  </r>
  <r>
    <s v="UCjg2kAW7dd0nmCmHrCSVUng"/>
    <s v="UC1rRu-VgjGKeuGQmoEs_oag"/>
    <m/>
    <m/>
    <m/>
    <m/>
    <m/>
    <m/>
    <m/>
    <m/>
    <s v="Yes"/>
    <n v="191"/>
    <m/>
    <m/>
    <s v="Replied Comment"/>
    <s v="Reply"/>
    <s v="Power pivot ma dax use hoti ha aur pehly jo ap nae download ki ha wohi use krain"/>
    <s v="UCjg2kAW7dd0nmCmHrCSVUng"/>
    <s v="Learn DAX"/>
    <s v="http://www.youtube.com/channel/UCjg2kAW7dd0nmCmHrCSVUng"/>
    <s v="UgwTZTe1gjl8_sCY6854AaABAg"/>
    <s v="CyURbZ6M6ks"/>
    <s v="https://www.youtube.com/watch?v=CyURbZ6M6ks"/>
    <s v="none"/>
    <n v="0"/>
    <x v="188"/>
    <d v="2020-06-23T21:53:57.000"/>
    <m/>
    <m/>
    <m/>
    <n v="1"/>
    <s v="3"/>
    <s v="3"/>
    <n v="0"/>
    <n v="0"/>
    <n v="0"/>
    <n v="0"/>
    <n v="0"/>
    <n v="0"/>
    <n v="18"/>
    <n v="100"/>
    <n v="18"/>
  </r>
  <r>
    <s v="UC1rRu-VgjGKeuGQmoEs_oag"/>
    <s v="UCjg2kAW7dd0nmCmHrCSVUng"/>
    <m/>
    <m/>
    <m/>
    <m/>
    <m/>
    <m/>
    <m/>
    <m/>
    <s v="Yes"/>
    <n v="192"/>
    <m/>
    <m/>
    <s v="Commented Video"/>
    <s v="Comment"/>
    <s v="Bhai ek bat batado ki ye dax function power pivot  ka part hota hai kya.. Jo excel mai addins mai hota hai power  power.. Pls reply..... And file dena"/>
    <s v="UC1rRu-VgjGKeuGQmoEs_oag"/>
    <s v="excel job"/>
    <s v="http://www.youtube.com/channel/UC1rRu-VgjGKeuGQmoEs_oag"/>
    <m/>
    <s v="CyURbZ6M6ks"/>
    <s v="https://www.youtube.com/watch?v=CyURbZ6M6ks"/>
    <s v="none"/>
    <n v="0"/>
    <x v="189"/>
    <d v="2020-06-23T19:36:40.000"/>
    <m/>
    <m/>
    <m/>
    <n v="1"/>
    <s v="3"/>
    <s v="3"/>
    <n v="1"/>
    <n v="3.4482758620689653"/>
    <n v="0"/>
    <n v="0"/>
    <n v="0"/>
    <n v="0"/>
    <n v="28"/>
    <n v="96.55172413793103"/>
    <n v="29"/>
  </r>
  <r>
    <s v="UC1rRu-VgjGKeuGQmoEs_oag"/>
    <s v="UC1rRu-VgjGKeuGQmoEs_oag"/>
    <m/>
    <m/>
    <m/>
    <m/>
    <m/>
    <m/>
    <m/>
    <m/>
    <s v="No"/>
    <n v="193"/>
    <m/>
    <m/>
    <s v="Replied Comment"/>
    <s v="Reply"/>
    <s v="@Learn DAX ok"/>
    <s v="UC1rRu-VgjGKeuGQmoEs_oag"/>
    <s v="excel job"/>
    <s v="http://www.youtube.com/channel/UC1rRu-VgjGKeuGQmoEs_oag"/>
    <s v="UgwTZTe1gjl8_sCY6854AaABAg"/>
    <s v="CyURbZ6M6ks"/>
    <s v="https://www.youtube.com/watch?v=CyURbZ6M6ks"/>
    <s v="none"/>
    <n v="0"/>
    <x v="190"/>
    <d v="2020-06-23T22:25:48.000"/>
    <m/>
    <m/>
    <m/>
    <n v="2"/>
    <s v="3"/>
    <s v="3"/>
    <n v="0"/>
    <n v="0"/>
    <n v="0"/>
    <n v="0"/>
    <n v="0"/>
    <n v="0"/>
    <n v="3"/>
    <n v="100"/>
    <n v="3"/>
  </r>
  <r>
    <s v="UC1rRu-VgjGKeuGQmoEs_oag"/>
    <s v="UC1rRu-VgjGKeuGQmoEs_oag"/>
    <m/>
    <m/>
    <m/>
    <m/>
    <m/>
    <m/>
    <m/>
    <m/>
    <s v="No"/>
    <n v="194"/>
    <m/>
    <m/>
    <s v="Replied Comment"/>
    <s v="Reply"/>
    <s v="@Learn DAX thanx"/>
    <s v="UC1rRu-VgjGKeuGQmoEs_oag"/>
    <s v="excel job"/>
    <s v="http://www.youtube.com/channel/UC1rRu-VgjGKeuGQmoEs_oag"/>
    <s v="UgwTZTe1gjl8_sCY6854AaABAg"/>
    <s v="CyURbZ6M6ks"/>
    <s v="https://www.youtube.com/watch?v=CyURbZ6M6ks"/>
    <s v="none"/>
    <n v="0"/>
    <x v="191"/>
    <d v="2020-06-23T22:26:03.000"/>
    <m/>
    <m/>
    <m/>
    <n v="2"/>
    <s v="3"/>
    <s v="3"/>
    <n v="0"/>
    <n v="0"/>
    <n v="0"/>
    <n v="0"/>
    <n v="0"/>
    <n v="0"/>
    <n v="3"/>
    <n v="100"/>
    <n v="3"/>
  </r>
  <r>
    <s v="UC6DnLOwz8R0iZPmkZ3vMM1g"/>
    <s v="UC6w0Q41ERflRJf5blMy8c8g"/>
    <m/>
    <m/>
    <m/>
    <m/>
    <m/>
    <m/>
    <m/>
    <m/>
    <s v="Yes"/>
    <n v="195"/>
    <m/>
    <m/>
    <s v="Replied Comment"/>
    <s v="Reply"/>
    <s v="Gracias por tus comentarios Sebastián!! - Javier"/>
    <s v="UC6DnLOwz8R0iZPmkZ3vMM1g"/>
    <s v="datdata"/>
    <s v="http://www.youtube.com/channel/UC6DnLOwz8R0iZPmkZ3vMM1g"/>
    <s v="UgyBvX3EwbpVWaxrWod4AaABAg"/>
    <s v="zb0yO7pLZMg"/>
    <s v="https://www.youtube.com/watch?v=zb0yO7pLZMg"/>
    <s v="none"/>
    <n v="0"/>
    <x v="192"/>
    <d v="2020-06-24T06:40:23.000"/>
    <m/>
    <m/>
    <m/>
    <n v="1"/>
    <s v="20"/>
    <s v="20"/>
    <n v="0"/>
    <n v="0"/>
    <n v="0"/>
    <n v="0"/>
    <n v="0"/>
    <n v="0"/>
    <n v="6"/>
    <n v="100"/>
    <n v="6"/>
  </r>
  <r>
    <s v="UC6w0Q41ERflRJf5blMy8c8g"/>
    <s v="UC6DnLOwz8R0iZPmkZ3vMM1g"/>
    <m/>
    <m/>
    <m/>
    <m/>
    <m/>
    <m/>
    <m/>
    <m/>
    <s v="Yes"/>
    <n v="196"/>
    <m/>
    <m/>
    <s v="Commented Video"/>
    <s v="Comment"/>
    <s v="¡Muchas gracias por el curso gratuito! Lo compartiré en mis redes. La verdad es que explicas de una forma sencilla y haces que el aprendizaje sea entretenido. La única sugerencia sería que explicaras un poco más sobre las funciones DAX y cómo es el trabajo interno que realizan porque realmente es lo que me ha generado dudas."/>
    <s v="UC6w0Q41ERflRJf5blMy8c8g"/>
    <s v="Ing. Sebastian García"/>
    <s v="http://www.youtube.com/channel/UC6w0Q41ERflRJf5blMy8c8g"/>
    <m/>
    <s v="zb0yO7pLZMg"/>
    <s v="https://www.youtube.com/watch?v=zb0yO7pLZMg"/>
    <s v="none"/>
    <n v="1"/>
    <x v="193"/>
    <d v="2020-06-23T19:49:07.000"/>
    <m/>
    <m/>
    <m/>
    <n v="1"/>
    <s v="20"/>
    <s v="20"/>
    <n v="0"/>
    <n v="0"/>
    <n v="0"/>
    <n v="0"/>
    <n v="0"/>
    <n v="0"/>
    <n v="57"/>
    <n v="100"/>
    <n v="57"/>
  </r>
  <r>
    <s v="UCObnhHbh2Y5aPYBuAUU4rEA"/>
    <s v="UCFrlL2ETbR5Ut4zRY4rGlbA"/>
    <m/>
    <m/>
    <m/>
    <m/>
    <m/>
    <m/>
    <m/>
    <m/>
    <s v="No"/>
    <n v="197"/>
    <m/>
    <m/>
    <s v="Replied Comment"/>
    <s v="Reply"/>
    <s v="Did you try joining your user table with this new table that you have created with report names?"/>
    <s v="UCObnhHbh2Y5aPYBuAUU4rEA"/>
    <s v="abhishek parashar"/>
    <s v="http://www.youtube.com/channel/UCObnhHbh2Y5aPYBuAUU4rEA"/>
    <s v="Ugy4wNgaicoOJj68IYp4AaABAg"/>
    <s v="M1TZ5NCQKXo"/>
    <s v="https://www.youtube.com/watch?v=M1TZ5NCQKXo"/>
    <s v="none"/>
    <n v="0"/>
    <x v="194"/>
    <d v="2020-06-24T06:08:09.000"/>
    <m/>
    <m/>
    <m/>
    <n v="1"/>
    <s v="18"/>
    <s v="18"/>
    <n v="0"/>
    <n v="0"/>
    <n v="0"/>
    <n v="0"/>
    <n v="0"/>
    <n v="0"/>
    <n v="18"/>
    <n v="100"/>
    <n v="18"/>
  </r>
  <r>
    <s v="UCFrlL2ETbR5Ut4zRY4rGlbA"/>
    <s v="UCjlfQwqb-0S40XQ8seYPLSw"/>
    <m/>
    <m/>
    <m/>
    <m/>
    <m/>
    <m/>
    <m/>
    <m/>
    <s v="No"/>
    <n v="198"/>
    <m/>
    <m/>
    <s v="Commented Video"/>
    <s v="Comment"/>
    <s v="This doesnot hides pages when user exports to PDF.._x000d_&lt;br /&gt;_x000d_&lt;br /&gt;How would I hide such pages  based on RLS.._x000d_&lt;br /&gt;Eg. Managers be able to see detailed pages but emp only selected pages.._x000d_&lt;br /&gt;_x000d_&lt;br /&gt;TIA"/>
    <s v="UCFrlL2ETbR5Ut4zRY4rGlbA"/>
    <s v="tejas brahmbatt"/>
    <s v="http://www.youtube.com/channel/UCFrlL2ETbR5Ut4zRY4rGlbA"/>
    <m/>
    <s v="M1TZ5NCQKXo"/>
    <s v="https://www.youtube.com/watch?v=M1TZ5NCQKXo"/>
    <s v="none"/>
    <n v="0"/>
    <x v="195"/>
    <d v="2020-06-24T02:15:15.000"/>
    <m/>
    <m/>
    <m/>
    <n v="1"/>
    <s v="18"/>
    <s v="18"/>
    <n v="0"/>
    <n v="0"/>
    <n v="0"/>
    <n v="0"/>
    <n v="0"/>
    <n v="0"/>
    <n v="37"/>
    <n v="100"/>
    <n v="37"/>
  </r>
  <r>
    <s v="UClvPWSa0aybaVolvU6WH1JQ"/>
    <s v="UCFcrsUy0gf9ZQ0K8UqZpGRg"/>
    <m/>
    <m/>
    <m/>
    <m/>
    <m/>
    <m/>
    <m/>
    <m/>
    <s v="No"/>
    <n v="199"/>
    <m/>
    <m/>
    <s v="Replied Comment"/>
    <s v="Reply"/>
    <s v="@Lernen Capacitaciones Es cierto que se necesita un correo de trabajo forzosamente?"/>
    <s v="UClvPWSa0aybaVolvU6WH1JQ"/>
    <s v="Gilberto Lizárraga"/>
    <s v="http://www.youtube.com/channel/UClvPWSa0aybaVolvU6WH1JQ"/>
    <s v="UgxvNkPLyKLZECRxZcF4AaABAg"/>
    <s v="Qrx-9cBnp4A"/>
    <s v="https://www.youtube.com/watch?v=Qrx-9cBnp4A"/>
    <s v="none"/>
    <n v="0"/>
    <x v="196"/>
    <d v="2020-06-24T02:59:06.000"/>
    <m/>
    <m/>
    <m/>
    <n v="1"/>
    <s v="17"/>
    <s v="17"/>
    <n v="0"/>
    <n v="0"/>
    <n v="0"/>
    <n v="0"/>
    <n v="0"/>
    <n v="0"/>
    <n v="12"/>
    <n v="100"/>
    <n v="12"/>
  </r>
  <r>
    <s v="UCxtIinrEU9jrFkjaZ_udq0Q"/>
    <s v="UCFcrsUy0gf9ZQ0K8UqZpGRg"/>
    <m/>
    <m/>
    <m/>
    <m/>
    <m/>
    <m/>
    <m/>
    <m/>
    <s v="Yes"/>
    <n v="200"/>
    <m/>
    <m/>
    <s v="Replied Comment"/>
    <s v="Reply"/>
    <s v="Hola Silvia,&lt;br /&gt;• Windows 7 y Windows Server 2008 R2 o posterior&lt;br /&gt;• .NET 4.5&lt;br /&gt;• Internet Explorer 9 o posterior&lt;br /&gt;• Memoria (RAM): Al menos 1 GB disponible; se recomienda 1,5 GB o más.&lt;br /&gt;• Pantalla: se recomienda al menos 1440 x 900 o 1600 x 900 (16:9). No se recomiendan las resoluciones inferiores a 1024 x 768 o 1280 x 800, ya que ciertos controles (por ejemplo, para cerrar la pantalla de inicio) solo se muestran en resoluciones superiores a esta.&lt;br /&gt;• CPU: 1 gigahercio (GHz) o superior; se recomienda un procesador de x86 o x64 bits."/>
    <s v="UCxtIinrEU9jrFkjaZ_udq0Q"/>
    <s v="Lernen Capacitaciones"/>
    <s v="http://www.youtube.com/channel/UCxtIinrEU9jrFkjaZ_udq0Q"/>
    <s v="UgxvNkPLyKLZECRxZcF4AaABAg"/>
    <s v="Qrx-9cBnp4A"/>
    <s v="https://www.youtube.com/watch?v=Qrx-9cBnp4A"/>
    <s v="none"/>
    <n v="0"/>
    <x v="197"/>
    <d v="2020-06-24T01:49:47.000"/>
    <m/>
    <m/>
    <m/>
    <n v="1"/>
    <s v="17"/>
    <s v="17"/>
    <n v="1"/>
    <n v="0.9803921568627451"/>
    <n v="0"/>
    <n v="0"/>
    <n v="0"/>
    <n v="0"/>
    <n v="101"/>
    <n v="99.01960784313725"/>
    <n v="102"/>
  </r>
  <r>
    <s v="UCFcrsUy0gf9ZQ0K8UqZpGRg"/>
    <s v="UCxtIinrEU9jrFkjaZ_udq0Q"/>
    <m/>
    <m/>
    <m/>
    <m/>
    <m/>
    <m/>
    <m/>
    <m/>
    <s v="Yes"/>
    <n v="201"/>
    <m/>
    <m/>
    <s v="Commented Video"/>
    <s v="Comment"/>
    <s v="Hola! Cuáles son los requerimientos para poder instalarlo?"/>
    <s v="UCFcrsUy0gf9ZQ0K8UqZpGRg"/>
    <s v="Silvia"/>
    <s v="http://www.youtube.com/channel/UCFcrsUy0gf9ZQ0K8UqZpGRg"/>
    <m/>
    <s v="Qrx-9cBnp4A"/>
    <s v="https://www.youtube.com/watch?v=Qrx-9cBnp4A"/>
    <s v="none"/>
    <n v="1"/>
    <x v="198"/>
    <d v="2020-06-24T00:50:35.000"/>
    <m/>
    <m/>
    <m/>
    <n v="1"/>
    <s v="17"/>
    <s v="17"/>
    <n v="0"/>
    <n v="0"/>
    <n v="0"/>
    <n v="0"/>
    <n v="0"/>
    <n v="0"/>
    <n v="8"/>
    <n v="100"/>
    <n v="8"/>
  </r>
  <r>
    <s v="UCFcrsUy0gf9ZQ0K8UqZpGRg"/>
    <s v="UCFcrsUy0gf9ZQ0K8UqZpGRg"/>
    <m/>
    <m/>
    <m/>
    <m/>
    <m/>
    <m/>
    <m/>
    <m/>
    <s v="No"/>
    <n v="202"/>
    <m/>
    <m/>
    <s v="Replied Comment"/>
    <s v="Reply"/>
    <s v="@Lernen Capacitaciones Muchas gracias profesor Sergio, es usted el mejor profe de Excel 🙋"/>
    <s v="UCFcrsUy0gf9ZQ0K8UqZpGRg"/>
    <s v="Silvia"/>
    <s v="http://www.youtube.com/channel/UCFcrsUy0gf9ZQ0K8UqZpGRg"/>
    <s v="UgxvNkPLyKLZECRxZcF4AaABAg"/>
    <s v="Qrx-9cBnp4A"/>
    <s v="https://www.youtube.com/watch?v=Qrx-9cBnp4A"/>
    <s v="none"/>
    <n v="1"/>
    <x v="199"/>
    <d v="2020-06-24T01:59:43.000"/>
    <m/>
    <m/>
    <m/>
    <n v="1"/>
    <s v="17"/>
    <s v="17"/>
    <n v="1"/>
    <n v="7.6923076923076925"/>
    <n v="0"/>
    <n v="0"/>
    <n v="0"/>
    <n v="0"/>
    <n v="12"/>
    <n v="92.3076923076923"/>
    <n v="13"/>
  </r>
  <r>
    <s v="UCNaIAElKPANu-d7ysRpLcUg"/>
    <s v="UCRtSCIRujzmYEwCfeGosiLA"/>
    <m/>
    <m/>
    <m/>
    <m/>
    <m/>
    <m/>
    <m/>
    <m/>
    <s v="Yes"/>
    <n v="203"/>
    <m/>
    <m/>
    <s v="Replied Comment"/>
    <s v="Reply"/>
    <s v="Muito obrigado."/>
    <s v="UCNaIAElKPANu-d7ysRpLcUg"/>
    <s v="Gerson - Minhas Planilhas"/>
    <s v="http://www.youtube.com/channel/UCNaIAElKPANu-d7ysRpLcUg"/>
    <s v="UgzUAK0UU3HXX07xPyh4AaABAg"/>
    <s v="7VeYvnovMy0"/>
    <s v="https://www.youtube.com/watch?v=7VeYvnovMy0"/>
    <s v="none"/>
    <n v="0"/>
    <x v="200"/>
    <d v="2020-06-24T00:12:36.000"/>
    <m/>
    <m/>
    <m/>
    <n v="1"/>
    <s v="5"/>
    <s v="5"/>
    <n v="0"/>
    <n v="0"/>
    <n v="0"/>
    <n v="0"/>
    <n v="0"/>
    <n v="0"/>
    <n v="2"/>
    <n v="100"/>
    <n v="2"/>
  </r>
  <r>
    <s v="UCRtSCIRujzmYEwCfeGosiLA"/>
    <s v="UCNaIAElKPANu-d7ysRpLcUg"/>
    <m/>
    <m/>
    <m/>
    <m/>
    <m/>
    <m/>
    <m/>
    <m/>
    <s v="Yes"/>
    <n v="204"/>
    <m/>
    <m/>
    <s v="Commented Video"/>
    <s v="Comment"/>
    <s v="Parabéns pelo conteúdo tão rico."/>
    <s v="UCRtSCIRujzmYEwCfeGosiLA"/>
    <s v="Edsergio Lacerda"/>
    <s v="http://www.youtube.com/channel/UCRtSCIRujzmYEwCfeGosiLA"/>
    <m/>
    <s v="7VeYvnovMy0"/>
    <s v="https://www.youtube.com/watch?v=7VeYvnovMy0"/>
    <s v="none"/>
    <n v="1"/>
    <x v="201"/>
    <d v="2020-06-24T00:12:09.000"/>
    <m/>
    <m/>
    <m/>
    <n v="1"/>
    <s v="5"/>
    <s v="5"/>
    <n v="0"/>
    <n v="0"/>
    <n v="0"/>
    <n v="0"/>
    <n v="0"/>
    <n v="0"/>
    <n v="5"/>
    <n v="100"/>
    <n v="5"/>
  </r>
  <r>
    <s v="UCNaIAElKPANu-d7ysRpLcUg"/>
    <s v="UCxeH47zPVeMZmOZXjpgrjrA"/>
    <m/>
    <m/>
    <m/>
    <m/>
    <m/>
    <m/>
    <m/>
    <m/>
    <s v="Yes"/>
    <n v="205"/>
    <m/>
    <m/>
    <s v="Replied Comment"/>
    <s v="Reply"/>
    <s v="Muito Obrigado."/>
    <s v="UCNaIAElKPANu-d7ysRpLcUg"/>
    <s v="Gerson - Minhas Planilhas"/>
    <s v="http://www.youtube.com/channel/UCNaIAElKPANu-d7ysRpLcUg"/>
    <s v="Ugz4tsU1BIDQUXW_A8J4AaABAg"/>
    <s v="7VeYvnovMy0"/>
    <s v="https://www.youtube.com/watch?v=7VeYvnovMy0"/>
    <s v="none"/>
    <n v="0"/>
    <x v="202"/>
    <d v="2020-06-24T00:37:43.000"/>
    <m/>
    <m/>
    <m/>
    <n v="1"/>
    <s v="5"/>
    <s v="5"/>
    <n v="0"/>
    <n v="0"/>
    <n v="0"/>
    <n v="0"/>
    <n v="0"/>
    <n v="0"/>
    <n v="2"/>
    <n v="100"/>
    <n v="2"/>
  </r>
  <r>
    <s v="UCxeH47zPVeMZmOZXjpgrjrA"/>
    <s v="UCNaIAElKPANu-d7ysRpLcUg"/>
    <m/>
    <m/>
    <m/>
    <m/>
    <m/>
    <m/>
    <m/>
    <m/>
    <s v="Yes"/>
    <n v="206"/>
    <m/>
    <m/>
    <s v="Commented Video"/>
    <s v="Comment"/>
    <s v="Excelente Professor! Pela lógica... funcionaria no Excel também, colocando minhas pastas na nuvem??"/>
    <s v="UCxeH47zPVeMZmOZXjpgrjrA"/>
    <s v="Ivan JPi"/>
    <s v="http://www.youtube.com/channel/UCxeH47zPVeMZmOZXjpgrjrA"/>
    <m/>
    <s v="7VeYvnovMy0"/>
    <s v="https://www.youtube.com/watch?v=7VeYvnovMy0"/>
    <s v="none"/>
    <n v="1"/>
    <x v="203"/>
    <d v="2020-06-24T00:24:46.000"/>
    <m/>
    <m/>
    <m/>
    <n v="1"/>
    <s v="5"/>
    <s v="5"/>
    <n v="1"/>
    <n v="7.6923076923076925"/>
    <n v="0"/>
    <n v="0"/>
    <n v="0"/>
    <n v="0"/>
    <n v="12"/>
    <n v="92.3076923076923"/>
    <n v="13"/>
  </r>
  <r>
    <s v="UCNaIAElKPANu-d7ysRpLcUg"/>
    <s v="UCzzE0_GewzpmYymSZ65B0eQ"/>
    <m/>
    <m/>
    <m/>
    <m/>
    <m/>
    <m/>
    <m/>
    <m/>
    <s v="Yes"/>
    <n v="207"/>
    <m/>
    <m/>
    <s v="Replied Comment"/>
    <s v="Reply"/>
    <s v="Sim, isso mesmo. Altera o horário da atualização."/>
    <s v="UCNaIAElKPANu-d7ysRpLcUg"/>
    <s v="Gerson - Minhas Planilhas"/>
    <s v="http://www.youtube.com/channel/UCNaIAElKPANu-d7ysRpLcUg"/>
    <s v="UgxMKx3fUCtmcYCHLKx4AaABAg"/>
    <s v="7VeYvnovMy0"/>
    <s v="https://www.youtube.com/watch?v=7VeYvnovMy0"/>
    <s v="none"/>
    <n v="0"/>
    <x v="204"/>
    <d v="2020-06-24T00:39:57.000"/>
    <m/>
    <m/>
    <m/>
    <n v="1"/>
    <s v="5"/>
    <s v="5"/>
    <n v="0"/>
    <n v="0"/>
    <n v="0"/>
    <n v="0"/>
    <n v="0"/>
    <n v="0"/>
    <n v="8"/>
    <n v="100"/>
    <n v="8"/>
  </r>
  <r>
    <s v="UCzzE0_GewzpmYymSZ65B0eQ"/>
    <s v="UCNaIAElKPANu-d7ysRpLcUg"/>
    <m/>
    <m/>
    <m/>
    <m/>
    <m/>
    <m/>
    <m/>
    <m/>
    <s v="Yes"/>
    <n v="208"/>
    <m/>
    <m/>
    <s v="Commented Video"/>
    <s v="Comment"/>
    <s v="Parabéns pelo conteúdo !!&lt;br /&gt;Me ajude com uma dúvida por favor, eu uso a atualização automática buscando de uma pasta do Sharepoint, funciona perfeitamente, porém eu usei uma função para trazer o horário da atualização só que o sempre está trazendo 3 horas após a atualização.&lt;br /&gt;Exemplo, deixei agendado atualização para &lt;a href=&quot;https://www.youtube.com/watch?v=7VeYvnovMy0&amp;amp;t=6m00s&quot;&gt;6:00&lt;/a&gt;, porém o relatório traz a informação de atualização em &lt;a href=&quot;https://www.youtube.com/watch?v=7VeYvnovMy0&amp;amp;t=9m00s&quot;&gt;9:00&lt;/a&gt;h, acredito que é por causa do fuso.&lt;br /&gt;Como posso resolver essa questão ?"/>
    <s v="UCzzE0_GewzpmYymSZ65B0eQ"/>
    <s v="julio linhares"/>
    <s v="http://www.youtube.com/channel/UCzzE0_GewzpmYymSZ65B0eQ"/>
    <m/>
    <s v="7VeYvnovMy0"/>
    <s v="https://www.youtube.com/watch?v=7VeYvnovMy0"/>
    <s v="none"/>
    <n v="1"/>
    <x v="205"/>
    <d v="2020-06-24T00:32:55.000"/>
    <s v=" https://www.youtube.com/watch?v=7VeYvnovMy0&amp;amp;t=6m00s https://www.youtube.com/watch?v=7VeYvnovMy0&amp;amp;t=9m00s"/>
    <s v="youtube.com youtube.com"/>
    <m/>
    <n v="1"/>
    <s v="5"/>
    <s v="5"/>
    <n v="1"/>
    <n v="0.9523809523809523"/>
    <n v="0"/>
    <n v="0"/>
    <n v="0"/>
    <n v="0"/>
    <n v="104"/>
    <n v="99.04761904761905"/>
    <n v="105"/>
  </r>
  <r>
    <s v="UCNaIAElKPANu-d7ysRpLcUg"/>
    <s v="UCLP9rg296XvOznLwGaJVdew"/>
    <m/>
    <m/>
    <m/>
    <m/>
    <m/>
    <m/>
    <m/>
    <m/>
    <s v="Yes"/>
    <n v="209"/>
    <m/>
    <m/>
    <s v="Replied Comment"/>
    <s v="Reply"/>
    <s v="Valeu"/>
    <s v="UCNaIAElKPANu-d7ysRpLcUg"/>
    <s v="Gerson - Minhas Planilhas"/>
    <s v="http://www.youtube.com/channel/UCNaIAElKPANu-d7ysRpLcUg"/>
    <s v="UgzZK--MY9qT8hyP4iR4AaABAg"/>
    <s v="7VeYvnovMy0"/>
    <s v="https://www.youtube.com/watch?v=7VeYvnovMy0"/>
    <s v="none"/>
    <n v="0"/>
    <x v="206"/>
    <d v="2020-06-24T01:55:04.000"/>
    <m/>
    <m/>
    <m/>
    <n v="1"/>
    <s v="5"/>
    <s v="5"/>
    <n v="0"/>
    <n v="0"/>
    <n v="0"/>
    <n v="0"/>
    <n v="0"/>
    <n v="0"/>
    <n v="1"/>
    <n v="100"/>
    <n v="1"/>
  </r>
  <r>
    <s v="UCLP9rg296XvOznLwGaJVdew"/>
    <s v="UCNaIAElKPANu-d7ysRpLcUg"/>
    <m/>
    <m/>
    <m/>
    <m/>
    <m/>
    <m/>
    <m/>
    <m/>
    <s v="Yes"/>
    <n v="210"/>
    <m/>
    <m/>
    <s v="Commented Video"/>
    <s v="Comment"/>
    <s v="Excelente mestre !!&lt;br /&gt;Obrigado por compartilhar."/>
    <s v="UCLP9rg296XvOznLwGaJVdew"/>
    <s v="IVONEY FERREIRA"/>
    <s v="http://www.youtube.com/channel/UCLP9rg296XvOznLwGaJVdew"/>
    <m/>
    <s v="7VeYvnovMy0"/>
    <s v="https://www.youtube.com/watch?v=7VeYvnovMy0"/>
    <s v="none"/>
    <n v="1"/>
    <x v="207"/>
    <d v="2020-06-24T01:29:49.000"/>
    <m/>
    <m/>
    <m/>
    <n v="1"/>
    <s v="5"/>
    <s v="5"/>
    <n v="0"/>
    <n v="0"/>
    <n v="0"/>
    <n v="0"/>
    <n v="0"/>
    <n v="0"/>
    <n v="6"/>
    <n v="100"/>
    <n v="6"/>
  </r>
  <r>
    <s v="UCwHR-x4jQl_3foBBuSBPhHw"/>
    <s v="UCV-uhNsCQ0Ybu4twaEaj8CQ"/>
    <m/>
    <m/>
    <m/>
    <m/>
    <m/>
    <m/>
    <m/>
    <m/>
    <s v="No"/>
    <n v="211"/>
    <m/>
    <m/>
    <s v="Replied Comment"/>
    <s v="Reply"/>
    <s v="Muito bom,professor.&lt;br /&gt;Consigo também no one drive Personal?"/>
    <s v="UCwHR-x4jQl_3foBBuSBPhHw"/>
    <s v="Jardel Farias"/>
    <s v="http://www.youtube.com/channel/UCwHR-x4jQl_3foBBuSBPhHw"/>
    <s v="UgxXV0y77f6A_sZvtbx4AaABAg"/>
    <s v="7VeYvnovMy0"/>
    <s v="https://www.youtube.com/watch?v=7VeYvnovMy0"/>
    <s v="none"/>
    <n v="0"/>
    <x v="208"/>
    <d v="2020-06-24T03:15:11.000"/>
    <m/>
    <m/>
    <m/>
    <n v="1"/>
    <s v="5"/>
    <s v="5"/>
    <n v="0"/>
    <n v="0"/>
    <n v="0"/>
    <n v="0"/>
    <n v="0"/>
    <n v="0"/>
    <n v="10"/>
    <n v="100"/>
    <n v="10"/>
  </r>
  <r>
    <s v="UCNaIAElKPANu-d7ysRpLcUg"/>
    <s v="UCV-uhNsCQ0Ybu4twaEaj8CQ"/>
    <m/>
    <m/>
    <m/>
    <m/>
    <m/>
    <m/>
    <m/>
    <m/>
    <s v="Yes"/>
    <n v="212"/>
    <m/>
    <m/>
    <s v="Replied Comment"/>
    <s v="Reply"/>
    <s v="Olá Fernanda, pode enviar um novo e-mail?"/>
    <s v="UCNaIAElKPANu-d7ysRpLcUg"/>
    <s v="Gerson - Minhas Planilhas"/>
    <s v="http://www.youtube.com/channel/UCNaIAElKPANu-d7ysRpLcUg"/>
    <s v="UgxXV0y77f6A_sZvtbx4AaABAg"/>
    <s v="7VeYvnovMy0"/>
    <s v="https://www.youtube.com/watch?v=7VeYvnovMy0"/>
    <s v="none"/>
    <n v="0"/>
    <x v="209"/>
    <d v="2020-06-24T03:56:40.000"/>
    <m/>
    <m/>
    <m/>
    <n v="1"/>
    <s v="5"/>
    <s v="5"/>
    <n v="0"/>
    <n v="0"/>
    <n v="0"/>
    <n v="0"/>
    <n v="0"/>
    <n v="0"/>
    <n v="8"/>
    <n v="100"/>
    <n v="8"/>
  </r>
  <r>
    <s v="UCV-uhNsCQ0Ybu4twaEaj8CQ"/>
    <s v="UCNaIAElKPANu-d7ysRpLcUg"/>
    <m/>
    <m/>
    <m/>
    <m/>
    <m/>
    <m/>
    <m/>
    <m/>
    <s v="Yes"/>
    <n v="213"/>
    <m/>
    <m/>
    <s v="Commented Video"/>
    <s v="Comment"/>
    <s v="Gerson, seu conteúdo é muito bom, mas você precisa melhorar o seu suporte ao cliente. Estou há quase um mês tentando contato via email e não tenho resposta. Nas redes sociais também não."/>
    <s v="UCV-uhNsCQ0Ybu4twaEaj8CQ"/>
    <s v="Fernanda Costa"/>
    <s v="http://www.youtube.com/channel/UCV-uhNsCQ0Ybu4twaEaj8CQ"/>
    <m/>
    <s v="7VeYvnovMy0"/>
    <s v="https://www.youtube.com/watch?v=7VeYvnovMy0"/>
    <s v="none"/>
    <n v="1"/>
    <x v="210"/>
    <d v="2020-06-24T03:04:26.000"/>
    <m/>
    <m/>
    <m/>
    <n v="1"/>
    <s v="5"/>
    <s v="5"/>
    <n v="0"/>
    <n v="0"/>
    <n v="0"/>
    <n v="0"/>
    <n v="0"/>
    <n v="0"/>
    <n v="33"/>
    <n v="100"/>
    <n v="33"/>
  </r>
  <r>
    <s v="UCNaIAElKPANu-d7ysRpLcUg"/>
    <s v="UCwHR-x4jQl_3foBBuSBPhHw"/>
    <m/>
    <m/>
    <m/>
    <m/>
    <m/>
    <m/>
    <m/>
    <m/>
    <s v="Yes"/>
    <n v="214"/>
    <m/>
    <m/>
    <s v="Replied Comment"/>
    <s v="Reply"/>
    <s v="Olá, consegue sim. Vou gravar uma aula."/>
    <s v="UCNaIAElKPANu-d7ysRpLcUg"/>
    <s v="Gerson - Minhas Planilhas"/>
    <s v="http://www.youtube.com/channel/UCNaIAElKPANu-d7ysRpLcUg"/>
    <s v="UgxsRRouha_2dbuRd3V4AaABAg"/>
    <s v="7VeYvnovMy0"/>
    <s v="https://www.youtube.com/watch?v=7VeYvnovMy0"/>
    <s v="none"/>
    <n v="0"/>
    <x v="211"/>
    <d v="2020-06-24T03:56:00.000"/>
    <m/>
    <m/>
    <m/>
    <n v="1"/>
    <s v="5"/>
    <s v="5"/>
    <n v="0"/>
    <n v="0"/>
    <n v="0"/>
    <n v="0"/>
    <n v="0"/>
    <n v="0"/>
    <n v="7"/>
    <n v="100"/>
    <n v="7"/>
  </r>
  <r>
    <s v="UCwHR-x4jQl_3foBBuSBPhHw"/>
    <s v="UCNaIAElKPANu-d7ysRpLcUg"/>
    <m/>
    <m/>
    <m/>
    <m/>
    <m/>
    <m/>
    <m/>
    <m/>
    <s v="Yes"/>
    <n v="215"/>
    <m/>
    <m/>
    <s v="Commented Video"/>
    <s v="Comment"/>
    <s v="Professor, Consigo também com o one drive Personal?Se sim, como seria?"/>
    <s v="UCwHR-x4jQl_3foBBuSBPhHw"/>
    <s v="Jardel Farias"/>
    <s v="http://www.youtube.com/channel/UCwHR-x4jQl_3foBBuSBPhHw"/>
    <m/>
    <s v="7VeYvnovMy0"/>
    <s v="https://www.youtube.com/watch?v=7VeYvnovMy0"/>
    <s v="none"/>
    <n v="1"/>
    <x v="212"/>
    <d v="2020-06-24T03:16:44.000"/>
    <m/>
    <m/>
    <m/>
    <n v="1"/>
    <s v="5"/>
    <s v="5"/>
    <n v="0"/>
    <n v="0"/>
    <n v="0"/>
    <n v="0"/>
    <n v="0"/>
    <n v="0"/>
    <n v="12"/>
    <n v="100"/>
    <n v="12"/>
  </r>
  <r>
    <s v="UCNaIAElKPANu-d7ysRpLcUg"/>
    <s v="UCdO355gbRMlaZLqhaz-X84w"/>
    <m/>
    <m/>
    <m/>
    <m/>
    <m/>
    <m/>
    <m/>
    <m/>
    <s v="Yes"/>
    <n v="216"/>
    <m/>
    <m/>
    <s v="Replied Comment"/>
    <s v="Reply"/>
    <s v="Obrigado"/>
    <s v="UCNaIAElKPANu-d7ysRpLcUg"/>
    <s v="Gerson - Minhas Planilhas"/>
    <s v="http://www.youtube.com/channel/UCNaIAElKPANu-d7ysRpLcUg"/>
    <s v="Ugx2msJ25LpiSV18gHF4AaABAg"/>
    <s v="7VeYvnovMy0"/>
    <s v="https://www.youtube.com/watch?v=7VeYvnovMy0"/>
    <s v="none"/>
    <n v="0"/>
    <x v="213"/>
    <d v="2020-06-24T06:06:11.000"/>
    <m/>
    <m/>
    <m/>
    <n v="1"/>
    <s v="5"/>
    <s v="5"/>
    <n v="0"/>
    <n v="0"/>
    <n v="0"/>
    <n v="0"/>
    <n v="0"/>
    <n v="0"/>
    <n v="1"/>
    <n v="100"/>
    <n v="1"/>
  </r>
  <r>
    <s v="UCdO355gbRMlaZLqhaz-X84w"/>
    <s v="UCNaIAElKPANu-d7ysRpLcUg"/>
    <m/>
    <m/>
    <m/>
    <m/>
    <m/>
    <m/>
    <m/>
    <m/>
    <s v="Yes"/>
    <n v="217"/>
    <m/>
    <m/>
    <s v="Commented Video"/>
    <s v="Comment"/>
    <s v="Muito boa essa dica Gerson, parabéns :)"/>
    <s v="UCdO355gbRMlaZLqhaz-X84w"/>
    <s v="Robson Nascimento"/>
    <s v="http://www.youtube.com/channel/UCdO355gbRMlaZLqhaz-X84w"/>
    <m/>
    <s v="7VeYvnovMy0"/>
    <s v="https://www.youtube.com/watch?v=7VeYvnovMy0"/>
    <s v="none"/>
    <n v="1"/>
    <x v="214"/>
    <d v="2020-06-24T04:54:38.000"/>
    <m/>
    <m/>
    <m/>
    <n v="1"/>
    <s v="5"/>
    <s v="5"/>
    <n v="0"/>
    <n v="0"/>
    <n v="0"/>
    <n v="0"/>
    <n v="0"/>
    <n v="0"/>
    <n v="6"/>
    <n v="100"/>
    <n v="6"/>
  </r>
  <r>
    <s v="UCIUV3lP4RQEOqbY1funMH3w"/>
    <s v="UC2YHRjs9y2Jy0mdzPR_gvdQ"/>
    <m/>
    <m/>
    <m/>
    <m/>
    <m/>
    <m/>
    <m/>
    <m/>
    <s v="Yes"/>
    <n v="218"/>
    <m/>
    <m/>
    <s v="Replied Comment"/>
    <s v="Reply"/>
    <s v="Sure, Stay Tune"/>
    <s v="UCIUV3lP4RQEOqbY1funMH3w"/>
    <s v="Power BI Real-time"/>
    <s v="http://www.youtube.com/channel/UCIUV3lP4RQEOqbY1funMH3w"/>
    <s v="Ugx5EFYk9JCQSLBNcTV4AaABAg"/>
    <s v="IpwV3URrFOc"/>
    <s v="https://www.youtube.com/watch?v=IpwV3URrFOc"/>
    <s v="none"/>
    <n v="0"/>
    <x v="215"/>
    <d v="2020-06-19T14:39:25.000"/>
    <m/>
    <m/>
    <m/>
    <n v="2"/>
    <s v="3"/>
    <s v="3"/>
    <n v="0"/>
    <n v="0"/>
    <n v="0"/>
    <n v="0"/>
    <n v="0"/>
    <n v="0"/>
    <n v="3"/>
    <n v="100"/>
    <n v="3"/>
  </r>
  <r>
    <s v="UC2YHRjs9y2Jy0mdzPR_gvdQ"/>
    <s v="UCIUV3lP4RQEOqbY1funMH3w"/>
    <m/>
    <m/>
    <m/>
    <m/>
    <m/>
    <m/>
    <m/>
    <m/>
    <s v="Yes"/>
    <n v="219"/>
    <m/>
    <m/>
    <s v="Commented Video"/>
    <s v="Comment"/>
    <s v="Well explained with a simple example.. looking forward for more videos.."/>
    <s v="UC2YHRjs9y2Jy0mdzPR_gvdQ"/>
    <s v="Vishnu Rao"/>
    <s v="http://www.youtube.com/channel/UC2YHRjs9y2Jy0mdzPR_gvdQ"/>
    <m/>
    <s v="IpwV3URrFOc"/>
    <s v="https://www.youtube.com/watch?v=IpwV3URrFOc"/>
    <s v="none"/>
    <n v="0"/>
    <x v="216"/>
    <d v="2020-06-19T06:44:21.000"/>
    <m/>
    <m/>
    <m/>
    <n v="2"/>
    <s v="3"/>
    <s v="3"/>
    <n v="1"/>
    <n v="9.090909090909092"/>
    <n v="0"/>
    <n v="0"/>
    <n v="0"/>
    <n v="0"/>
    <n v="10"/>
    <n v="90.9090909090909"/>
    <n v="11"/>
  </r>
  <r>
    <s v="UCIUV3lP4RQEOqbY1funMH3w"/>
    <s v="UC2YHRjs9y2Jy0mdzPR_gvdQ"/>
    <m/>
    <m/>
    <m/>
    <m/>
    <m/>
    <m/>
    <m/>
    <m/>
    <s v="Yes"/>
    <n v="220"/>
    <m/>
    <m/>
    <s v="Replied Comment"/>
    <s v="Reply"/>
    <s v="thank you...Vishnu"/>
    <s v="UCIUV3lP4RQEOqbY1funMH3w"/>
    <s v="Power BI Real-time"/>
    <s v="http://www.youtube.com/channel/UCIUV3lP4RQEOqbY1funMH3w"/>
    <s v="UgwQ5iW_ZKOKBgrtwjt4AaABAg"/>
    <s v="u9spSr5jDtU"/>
    <s v="https://www.youtube.com/watch?v=u9spSr5jDtU"/>
    <s v="none"/>
    <n v="0"/>
    <x v="217"/>
    <d v="2020-06-24T08:48:52.000"/>
    <m/>
    <m/>
    <m/>
    <n v="2"/>
    <s v="3"/>
    <s v="3"/>
    <n v="1"/>
    <n v="33.333333333333336"/>
    <n v="0"/>
    <n v="0"/>
    <n v="0"/>
    <n v="0"/>
    <n v="2"/>
    <n v="66.66666666666667"/>
    <n v="3"/>
  </r>
  <r>
    <s v="UC2YHRjs9y2Jy0mdzPR_gvdQ"/>
    <s v="UCIUV3lP4RQEOqbY1funMH3w"/>
    <m/>
    <m/>
    <m/>
    <m/>
    <m/>
    <m/>
    <m/>
    <m/>
    <s v="Yes"/>
    <n v="221"/>
    <m/>
    <m/>
    <s v="Commented Video"/>
    <s v="Comment"/>
    <s v="Good explanation..more helpful in real-time work environment.."/>
    <s v="UC2YHRjs9y2Jy0mdzPR_gvdQ"/>
    <s v="Vishnu Rao"/>
    <s v="http://www.youtube.com/channel/UC2YHRjs9y2Jy0mdzPR_gvdQ"/>
    <m/>
    <s v="u9spSr5jDtU"/>
    <s v="https://www.youtube.com/watch?v=u9spSr5jDtU"/>
    <s v="none"/>
    <n v="3"/>
    <x v="218"/>
    <d v="2020-06-24T08:39:03.000"/>
    <m/>
    <m/>
    <m/>
    <n v="2"/>
    <s v="3"/>
    <s v="3"/>
    <n v="3"/>
    <n v="33.333333333333336"/>
    <n v="0"/>
    <n v="0"/>
    <n v="0"/>
    <n v="0"/>
    <n v="6"/>
    <n v="66.66666666666667"/>
    <n v="9"/>
  </r>
  <r>
    <s v="UCOkHNLgWs8h7Ga_QZU07ryA"/>
    <s v="UCw9VbBLCPPDHCU8ocVaYbyQ"/>
    <m/>
    <m/>
    <m/>
    <m/>
    <m/>
    <m/>
    <m/>
    <m/>
    <s v="No"/>
    <n v="222"/>
    <m/>
    <m/>
    <s v="Replied Comment"/>
    <s v="Reply"/>
    <s v="Hi &lt;br /&gt;I have one requirement&lt;br /&gt;&lt;br /&gt;I want to compare the sales of days of current month(12 days) with same period last month first 12 days ..&lt;br /&gt;&lt;br /&gt;If tomorrow came 13 of current Vs 13 of previous and so on..&lt;br /&gt;&lt;br /&gt;How to do this in dax."/>
    <s v="UCOkHNLgWs8h7Ga_QZU07ryA"/>
    <s v="A venkatesh"/>
    <s v="http://www.youtube.com/channel/UCOkHNLgWs8h7Ga_QZU07ryA"/>
    <s v="UgygOmv8Xf32UA02vB54AaABAg"/>
    <s v="u9spSr5jDtU"/>
    <s v="https://www.youtube.com/watch?v=u9spSr5jDtU"/>
    <s v="none"/>
    <n v="0"/>
    <x v="219"/>
    <d v="2020-06-24T11:10:04.000"/>
    <m/>
    <m/>
    <m/>
    <n v="1"/>
    <s v="3"/>
    <s v="3"/>
    <n v="0"/>
    <n v="0"/>
    <n v="0"/>
    <n v="0"/>
    <n v="0"/>
    <n v="0"/>
    <n v="52"/>
    <n v="100"/>
    <n v="52"/>
  </r>
  <r>
    <s v="UCIUV3lP4RQEOqbY1funMH3w"/>
    <s v="UCw9VbBLCPPDHCU8ocVaYbyQ"/>
    <m/>
    <m/>
    <m/>
    <m/>
    <m/>
    <m/>
    <m/>
    <m/>
    <s v="Yes"/>
    <n v="223"/>
    <m/>
    <m/>
    <s v="Replied Comment"/>
    <s v="Reply"/>
    <s v="good, practice with  more ideas you will get it."/>
    <s v="UCIUV3lP4RQEOqbY1funMH3w"/>
    <s v="Power BI Real-time"/>
    <s v="http://www.youtube.com/channel/UCIUV3lP4RQEOqbY1funMH3w"/>
    <s v="UgygOmv8Xf32UA02vB54AaABAg"/>
    <s v="u9spSr5jDtU"/>
    <s v="https://www.youtube.com/watch?v=u9spSr5jDtU"/>
    <s v="none"/>
    <n v="0"/>
    <x v="220"/>
    <d v="2020-06-24T09:50:02.000"/>
    <m/>
    <m/>
    <m/>
    <n v="1"/>
    <s v="3"/>
    <s v="3"/>
    <n v="1"/>
    <n v="11.11111111111111"/>
    <n v="0"/>
    <n v="0"/>
    <n v="0"/>
    <n v="0"/>
    <n v="8"/>
    <n v="88.88888888888889"/>
    <n v="9"/>
  </r>
  <r>
    <s v="UCw9VbBLCPPDHCU8ocVaYbyQ"/>
    <s v="UCIUV3lP4RQEOqbY1funMH3w"/>
    <m/>
    <m/>
    <m/>
    <m/>
    <m/>
    <m/>
    <m/>
    <m/>
    <s v="Yes"/>
    <n v="224"/>
    <m/>
    <m/>
    <s v="Commented Video"/>
    <s v="Comment"/>
    <s v="Good after add day and month some of the row showing blank and also I have questions suppose if we have 1  Jan 2020 then if we want to go 1 day back it cannot go back because year changing means (31 Dec 2019)."/>
    <s v="UCw9VbBLCPPDHCU8ocVaYbyQ"/>
    <s v="Lucky Mane"/>
    <s v="http://www.youtube.com/channel/UCw9VbBLCPPDHCU8ocVaYbyQ"/>
    <m/>
    <s v="u9spSr5jDtU"/>
    <s v="https://www.youtube.com/watch?v=u9spSr5jDtU"/>
    <s v="none"/>
    <n v="0"/>
    <x v="221"/>
    <d v="2020-06-24T09:10:04.000"/>
    <m/>
    <m/>
    <m/>
    <n v="1"/>
    <s v="3"/>
    <s v="3"/>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5"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22"/>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10">
    <i>
      <x v="1"/>
    </i>
    <i r="1">
      <x v="6"/>
    </i>
    <i r="2">
      <x v="170"/>
    </i>
    <i r="2">
      <x v="171"/>
    </i>
    <i r="2">
      <x v="172"/>
    </i>
    <i r="2">
      <x v="173"/>
    </i>
    <i r="2">
      <x v="174"/>
    </i>
    <i r="2">
      <x v="175"/>
    </i>
    <i r="2">
      <x v="176"/>
    </i>
    <i t="grand">
      <x/>
    </i>
  </rowItems>
  <colItems count="1">
    <i/>
  </colItems>
  <dataFields count="1">
    <dataField name="Count of Publishet At" fld="2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P224" totalsRowShown="0" headerRowDxfId="329" dataDxfId="293">
  <autoFilter ref="A2:AP224"/>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t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9" totalsRowShown="0" headerRowDxfId="211" dataDxfId="210">
  <autoFilter ref="A1:G59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02" dataDxfId="201">
  <autoFilter ref="A1:L199"/>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3" totalsRowShown="0" headerRowDxfId="160" dataDxfId="159">
  <autoFilter ref="A2:C23"/>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5"/>
    <tableColumn id="2" name="Value" dataDxfId="4"/>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142" dataDxfId="141">
  <autoFilter ref="A1:V11"/>
  <tableColumns count="22">
    <tableColumn id="1" name="Top URLs In Comment in Entire Graph" dataDxfId="140"/>
    <tableColumn id="2" name="Entire Graph Count" dataDxfId="139"/>
    <tableColumn id="3" name="Top URLs In Comment in G1" dataDxfId="138"/>
    <tableColumn id="4" name="G1 Count" dataDxfId="137"/>
    <tableColumn id="5" name="Top URLs In Comment in G2" dataDxfId="136"/>
    <tableColumn id="6" name="G2 Count" dataDxfId="135"/>
    <tableColumn id="7" name="Top URLs In Comment in G3" dataDxfId="134"/>
    <tableColumn id="8" name="G3 Count" dataDxfId="133"/>
    <tableColumn id="9" name="Top URLs In Comment in G4" dataDxfId="132"/>
    <tableColumn id="10" name="G4 Count" dataDxfId="131"/>
    <tableColumn id="11" name="Top URLs In Comment in G5" dataDxfId="130"/>
    <tableColumn id="12" name="G5 Count" dataDxfId="129"/>
    <tableColumn id="13" name="Top URLs In Comment in G6" dataDxfId="128"/>
    <tableColumn id="14" name="G6 Count" dataDxfId="127"/>
    <tableColumn id="15" name="Top URLs In Comment in G7" dataDxfId="126"/>
    <tableColumn id="16" name="G7 Count" dataDxfId="125"/>
    <tableColumn id="17" name="Top URLs In Comment in G8" dataDxfId="124"/>
    <tableColumn id="18" name="G8 Count" dataDxfId="123"/>
    <tableColumn id="19" name="Top URLs In Comment in G9" dataDxfId="122"/>
    <tableColumn id="20" name="G9 Count" dataDxfId="121"/>
    <tableColumn id="21" name="Top URLs In Comment in G10" dataDxfId="120"/>
    <tableColumn id="22" name="G10 Count" dataDxfId="119"/>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117" dataDxfId="116">
  <autoFilter ref="A14:V24"/>
  <tableColumns count="22">
    <tableColumn id="1" name="Top Domains In Comment in Entire Graph" dataDxfId="115"/>
    <tableColumn id="2" name="Entire Graph Count" dataDxfId="114"/>
    <tableColumn id="3" name="Top Domains In Comment in G1" dataDxfId="113"/>
    <tableColumn id="4" name="G1 Count" dataDxfId="112"/>
    <tableColumn id="5" name="Top Domains In Comment in G2" dataDxfId="111"/>
    <tableColumn id="6" name="G2 Count" dataDxfId="110"/>
    <tableColumn id="7" name="Top Domains In Comment in G3" dataDxfId="109"/>
    <tableColumn id="8" name="G3 Count" dataDxfId="108"/>
    <tableColumn id="9" name="Top Domains In Comment in G4" dataDxfId="107"/>
    <tableColumn id="10" name="G4 Count" dataDxfId="106"/>
    <tableColumn id="11" name="Top Domains In Comment in G5" dataDxfId="105"/>
    <tableColumn id="12" name="G5 Count" dataDxfId="104"/>
    <tableColumn id="13" name="Top Domains In Comment in G6" dataDxfId="103"/>
    <tableColumn id="14" name="G6 Count" dataDxfId="102"/>
    <tableColumn id="15" name="Top Domains In Comment in G7" dataDxfId="101"/>
    <tableColumn id="16" name="G7 Count" dataDxfId="100"/>
    <tableColumn id="17" name="Top Domains In Comment in G8" dataDxfId="99"/>
    <tableColumn id="18" name="G8 Count" dataDxfId="98"/>
    <tableColumn id="19" name="Top Domains In Comment in G9" dataDxfId="97"/>
    <tableColumn id="20" name="G9 Count" dataDxfId="96"/>
    <tableColumn id="21" name="Top Domains In Comment in G10" dataDxfId="95"/>
    <tableColumn id="22" name="G10 Count" dataDxfId="94"/>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7:V28" totalsRowShown="0" headerRowDxfId="92" dataDxfId="91">
  <autoFilter ref="A27:V28"/>
  <tableColumns count="22">
    <tableColumn id="1" name="Top Hashtags In Comment in Entire Graph" dataDxfId="90"/>
    <tableColumn id="2" name="Entire Graph Count" dataDxfId="89"/>
    <tableColumn id="3" name="Top Hashtags In Comment in G1" dataDxfId="88"/>
    <tableColumn id="4" name="G1 Count" dataDxfId="87"/>
    <tableColumn id="5" name="Top Hashtags In Comment in G2" dataDxfId="86"/>
    <tableColumn id="6" name="G2 Count" dataDxfId="85"/>
    <tableColumn id="7" name="Top Hashtags In Comment in G3" dataDxfId="84"/>
    <tableColumn id="8" name="G3 Count" dataDxfId="83"/>
    <tableColumn id="9" name="Top Hashtags In Comment in G4" dataDxfId="82"/>
    <tableColumn id="10" name="G4 Count" dataDxfId="81"/>
    <tableColumn id="11" name="Top Hashtags In Comment in G5" dataDxfId="80"/>
    <tableColumn id="12" name="G5 Count" dataDxfId="79"/>
    <tableColumn id="13" name="Top Hashtags In Comment in G6" dataDxfId="78"/>
    <tableColumn id="14" name="G6 Count" dataDxfId="77"/>
    <tableColumn id="15" name="Top Hashtags In Comment in G7" dataDxfId="76"/>
    <tableColumn id="16" name="G7 Count" dataDxfId="75"/>
    <tableColumn id="17" name="Top Hashtags In Comment in G8" dataDxfId="74"/>
    <tableColumn id="18" name="G8 Count" dataDxfId="73"/>
    <tableColumn id="19" name="Top Hashtags In Comment in G9" dataDxfId="72"/>
    <tableColumn id="20" name="G9 Count" dataDxfId="71"/>
    <tableColumn id="21" name="Top Hashtags In Comment in G10" dataDxfId="70"/>
    <tableColumn id="22" name="G10 Count" dataDxfId="69"/>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0:V40" totalsRowShown="0" headerRowDxfId="67" dataDxfId="66">
  <autoFilter ref="A30:V40"/>
  <tableColumns count="22">
    <tableColumn id="1" name="Top Words in Comment in Entire Graph" dataDxfId="65"/>
    <tableColumn id="2" name="Entire Graph Count" dataDxfId="64"/>
    <tableColumn id="3" name="Top Words in Comment in G1" dataDxfId="63"/>
    <tableColumn id="4" name="G1 Count" dataDxfId="62"/>
    <tableColumn id="5" name="Top Words in Comment in G2" dataDxfId="61"/>
    <tableColumn id="6" name="G2 Count" dataDxfId="60"/>
    <tableColumn id="7" name="Top Words in Comment in G3" dataDxfId="59"/>
    <tableColumn id="8" name="G3 Count" dataDxfId="58"/>
    <tableColumn id="9" name="Top Words in Comment in G4" dataDxfId="57"/>
    <tableColumn id="10" name="G4 Count" dataDxfId="56"/>
    <tableColumn id="11" name="Top Words in Comment in G5" dataDxfId="55"/>
    <tableColumn id="12" name="G5 Count" dataDxfId="54"/>
    <tableColumn id="13" name="Top Words in Comment in G6" dataDxfId="53"/>
    <tableColumn id="14" name="G6 Count" dataDxfId="52"/>
    <tableColumn id="15" name="Top Words in Comment in G7" dataDxfId="51"/>
    <tableColumn id="16" name="G7 Count" dataDxfId="50"/>
    <tableColumn id="17" name="Top Words in Comment in G8" dataDxfId="49"/>
    <tableColumn id="18" name="G8 Count" dataDxfId="48"/>
    <tableColumn id="19" name="Top Words in Comment in G9" dataDxfId="47"/>
    <tableColumn id="20" name="G9 Count" dataDxfId="46"/>
    <tableColumn id="21" name="Top Words in Comment in G10" dataDxfId="45"/>
    <tableColumn id="22" name="G10 Count" dataDxfId="44"/>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3:V53" totalsRowShown="0" headerRowDxfId="42" dataDxfId="41">
  <autoFilter ref="A43:V53"/>
  <tableColumns count="22">
    <tableColumn id="1" name="Top Word Pairs in Comment in Entire Graph" dataDxfId="40"/>
    <tableColumn id="2" name="Entire Graph Count" dataDxfId="39"/>
    <tableColumn id="3" name="Top Word Pairs in Comment in G1" dataDxfId="38"/>
    <tableColumn id="4" name="G1 Count" dataDxfId="37"/>
    <tableColumn id="5" name="Top Word Pairs in Comment in G2" dataDxfId="36"/>
    <tableColumn id="6" name="G2 Count" dataDxfId="35"/>
    <tableColumn id="7" name="Top Word Pairs in Comment in G3" dataDxfId="34"/>
    <tableColumn id="8" name="G3 Count" dataDxfId="33"/>
    <tableColumn id="9" name="Top Word Pairs in Comment in G4" dataDxfId="32"/>
    <tableColumn id="10" name="G4 Count" dataDxfId="31"/>
    <tableColumn id="11" name="Top Word Pairs in Comment in G5" dataDxfId="30"/>
    <tableColumn id="12" name="G5 Count" dataDxfId="29"/>
    <tableColumn id="13" name="Top Word Pairs in Comment in G6" dataDxfId="28"/>
    <tableColumn id="14" name="G6 Count" dataDxfId="27"/>
    <tableColumn id="15" name="Top Word Pairs in Comment in G7" dataDxfId="26"/>
    <tableColumn id="16" name="G7 Count" dataDxfId="25"/>
    <tableColumn id="17" name="Top Word Pairs in Comment in G8" dataDxfId="24"/>
    <tableColumn id="18" name="G8 Count" dataDxfId="23"/>
    <tableColumn id="19" name="Top Word Pairs in Comment in G9" dataDxfId="22"/>
    <tableColumn id="20" name="G9 Count" dataDxfId="21"/>
    <tableColumn id="21" name="Top Word Pairs in Comment in G10" dataDxfId="20"/>
    <tableColumn id="22" name="G10 Count" dataDxfId="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62" totalsRowShown="0" headerRowDxfId="328" dataDxfId="279">
  <autoFilter ref="A2:BN162"/>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6"/>
    <tableColumn id="57" name="URLs In Comment by Count" dataDxfId="15"/>
    <tableColumn id="58" name="URLs In Comment by Salience" dataDxfId="14"/>
    <tableColumn id="59" name="Domains In Comment by Count" dataDxfId="13"/>
    <tableColumn id="60" name="Domains In Comment by Salience" dataDxfId="12"/>
    <tableColumn id="61" name="Hashtags In Comment by Count" dataDxfId="11"/>
    <tableColumn id="62" name="Hashtags In Comment by Salience" dataDxfId="10"/>
    <tableColumn id="63" name="Top Words in Comment by Count" dataDxfId="9"/>
    <tableColumn id="64" name="Top Words in Comment by Salience" dataDxfId="8"/>
    <tableColumn id="65" name="Top Word Pairs in Comment by Count" dataDxfId="7"/>
    <tableColumn id="66" name="Top Word Pairs in Comment by Salience" dataDxfId="6"/>
  </tableColumns>
  <tableStyleInfo name="NodeXL Table" showFirstColumn="0" showLastColumn="0" showRowStripes="0" showColumnStripes="0"/>
</table>
</file>

<file path=xl/tables/table20.xml><?xml version="1.0" encoding="utf-8"?>
<table xmlns="http://schemas.openxmlformats.org/spreadsheetml/2006/main" id="20"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4" totalsRowShown="0" headerRowDxfId="327">
  <autoFilter ref="A2:AL24"/>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8"/>
    <tableColumn id="34" name="Top URLs In Comment" dataDxfId="93"/>
    <tableColumn id="35" name="Top Domains In Comment" dataDxfId="68"/>
    <tableColumn id="36" name="Top Hashtags In Comment" dataDxfId="43"/>
    <tableColumn id="37" name="Top Words in Comment" dataDxfId="18"/>
    <tableColumn id="38" name="Top Word Pairs in Commen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324" dataDxfId="323">
  <autoFilter ref="A1:C161"/>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learndax.com/power-bi-sample-data-for-beginners-to-download/" TargetMode="External" /><Relationship Id="rId2" Type="http://schemas.openxmlformats.org/officeDocument/2006/relationships/hyperlink" Target="https://youtu.be/cFJg1ZGoGp0" TargetMode="External" /><Relationship Id="rId3" Type="http://schemas.openxmlformats.org/officeDocument/2006/relationships/hyperlink" Target="http://gmail.com/" TargetMode="External" /><Relationship Id="rId4" Type="http://schemas.openxmlformats.org/officeDocument/2006/relationships/hyperlink" Target="https://www.sympla.com.br/evento__864452" TargetMode="External" /><Relationship Id="rId5" Type="http://schemas.openxmlformats.org/officeDocument/2006/relationships/hyperlink" Target="https://canva.me/gk69VTPBv7" TargetMode="External" /><Relationship Id="rId6" Type="http://schemas.openxmlformats.org/officeDocument/2006/relationships/hyperlink" Target="https://github.com/DaxStudio/DaxStudio/commit/f9ee1a2502b437b2ee37b1eaad7f7c855733c156" TargetMode="External" /><Relationship Id="rId7" Type="http://schemas.openxmlformats.org/officeDocument/2006/relationships/hyperlink" Target="https://www.sqlbi.com/blog/alberto/2020/06/20/7-reasons-dax-is-not-easy/" TargetMode="External" /><Relationship Id="rId8" Type="http://schemas.openxmlformats.org/officeDocument/2006/relationships/hyperlink" Target="https://www.youtube.com/watch?v=eABg872TAJU" TargetMode="External" /><Relationship Id="rId9" Type="http://schemas.openxmlformats.org/officeDocument/2006/relationships/hyperlink" Target="https://www.youtube.com/watch?v=9SV2VnYbgg4" TargetMode="External" /><Relationship Id="rId10" Type="http://schemas.openxmlformats.org/officeDocument/2006/relationships/hyperlink" Target="https://www.youtube.com/watch?v=7VeYvnovMy0&amp;amp;t=6m00s" TargetMode="External" /><Relationship Id="rId11" Type="http://schemas.openxmlformats.org/officeDocument/2006/relationships/hyperlink" Target="https://www.youtube.com/watch?v=9SV2VnYbgg4" TargetMode="External" /><Relationship Id="rId12" Type="http://schemas.openxmlformats.org/officeDocument/2006/relationships/hyperlink" Target="https://www.youtube.com/watch?v=eABg872TAJU" TargetMode="External" /><Relationship Id="rId13" Type="http://schemas.openxmlformats.org/officeDocument/2006/relationships/hyperlink" Target="https://www.sqlbi.com/blog/alberto/2020/06/20/7-reasons-dax-is-not-easy/" TargetMode="External" /><Relationship Id="rId14" Type="http://schemas.openxmlformats.org/officeDocument/2006/relationships/hyperlink" Target="https://github.com/DaxStudio/DaxStudio/commit/f9ee1a2502b437b2ee37b1eaad7f7c855733c156" TargetMode="External" /><Relationship Id="rId15" Type="http://schemas.openxmlformats.org/officeDocument/2006/relationships/hyperlink" Target="https://community.powerbi.com/" TargetMode="External" /><Relationship Id="rId16" Type="http://schemas.openxmlformats.org/officeDocument/2006/relationships/hyperlink" Target="https://community.powerbi.com/" TargetMode="External" /><Relationship Id="rId17" Type="http://schemas.openxmlformats.org/officeDocument/2006/relationships/hyperlink" Target="http://www.youtube.com/results?search_query=%23new" TargetMode="External" /><Relationship Id="rId18" Type="http://schemas.openxmlformats.org/officeDocument/2006/relationships/hyperlink" Target="https://www.learndax.com/power-bi-sample-data-for-beginners-to-download/" TargetMode="External" /><Relationship Id="rId19" Type="http://schemas.openxmlformats.org/officeDocument/2006/relationships/hyperlink" Target="https://www.youtube.com/watch?v=hhZ62IlTxYs&amp;amp;t=6m30s" TargetMode="External" /><Relationship Id="rId20" Type="http://schemas.openxmlformats.org/officeDocument/2006/relationships/hyperlink" Target="https://www.youtube.com/watch?v=7VeYvnovMy0&amp;amp;t=6m00s" TargetMode="External" /><Relationship Id="rId21" Type="http://schemas.openxmlformats.org/officeDocument/2006/relationships/hyperlink" Target="https://www.youtube.com/watch?v=7VeYvnovMy0&amp;amp;t=9m00s" TargetMode="External" /><Relationship Id="rId22" Type="http://schemas.openxmlformats.org/officeDocument/2006/relationships/hyperlink" Target="https://youtu.be/cFJg1ZGoGp0" TargetMode="External" /><Relationship Id="rId23" Type="http://schemas.openxmlformats.org/officeDocument/2006/relationships/hyperlink" Target="http://gmail.com/" TargetMode="External" /><Relationship Id="rId24" Type="http://schemas.openxmlformats.org/officeDocument/2006/relationships/hyperlink" Target="http://analysis.link/" TargetMode="External" /><Relationship Id="rId25" Type="http://schemas.openxmlformats.org/officeDocument/2006/relationships/hyperlink" Target="http://yahoo.com/" TargetMode="External" /><Relationship Id="rId26" Type="http://schemas.openxmlformats.org/officeDocument/2006/relationships/hyperlink" Target="https://canva.me/gk69VTPBv7" TargetMode="External" /><Relationship Id="rId27" Type="http://schemas.openxmlformats.org/officeDocument/2006/relationships/hyperlink" Target="https://www.sympla.com.br/evento__864452" TargetMode="Externa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1.710937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6" t="s">
        <v>39</v>
      </c>
      <c r="D1" s="17"/>
      <c r="E1" s="17"/>
      <c r="F1" s="17"/>
      <c r="G1" s="16"/>
      <c r="H1" s="14" t="s">
        <v>43</v>
      </c>
      <c r="I1" s="50"/>
      <c r="J1" s="50"/>
      <c r="K1" s="33" t="s">
        <v>42</v>
      </c>
      <c r="L1" s="18" t="s">
        <v>40</v>
      </c>
      <c r="M1" s="18"/>
      <c r="N1" s="15"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t="s">
        <v>1029</v>
      </c>
      <c r="AF2" s="13" t="s">
        <v>1065</v>
      </c>
      <c r="AG2" s="13" t="s">
        <v>1066</v>
      </c>
      <c r="AH2" s="52" t="s">
        <v>1409</v>
      </c>
      <c r="AI2" s="52" t="s">
        <v>1410</v>
      </c>
      <c r="AJ2" s="52" t="s">
        <v>1411</v>
      </c>
      <c r="AK2" s="52" t="s">
        <v>1412</v>
      </c>
      <c r="AL2" s="52" t="s">
        <v>1413</v>
      </c>
      <c r="AM2" s="52" t="s">
        <v>1414</v>
      </c>
      <c r="AN2" s="52" t="s">
        <v>1415</v>
      </c>
      <c r="AO2" s="52" t="s">
        <v>1416</v>
      </c>
      <c r="AP2" s="52" t="s">
        <v>1417</v>
      </c>
    </row>
    <row r="3" spans="1:42" ht="15" customHeight="1">
      <c r="A3" s="65" t="s">
        <v>212</v>
      </c>
      <c r="B3" s="65" t="s">
        <v>215</v>
      </c>
      <c r="C3" s="66" t="s">
        <v>1900</v>
      </c>
      <c r="D3" s="67">
        <v>10</v>
      </c>
      <c r="E3" s="68"/>
      <c r="F3" s="69">
        <v>20</v>
      </c>
      <c r="G3" s="66"/>
      <c r="H3" s="70"/>
      <c r="I3" s="71"/>
      <c r="J3" s="71"/>
      <c r="K3" s="34" t="s">
        <v>65</v>
      </c>
      <c r="L3" s="72">
        <v>3</v>
      </c>
      <c r="M3" s="72"/>
      <c r="N3" s="73"/>
      <c r="O3" s="79" t="s">
        <v>331</v>
      </c>
      <c r="P3" s="79" t="s">
        <v>333</v>
      </c>
      <c r="Q3" s="79" t="s">
        <v>552</v>
      </c>
      <c r="R3" s="79" t="s">
        <v>212</v>
      </c>
      <c r="S3" s="79" t="s">
        <v>553</v>
      </c>
      <c r="T3" s="81" t="str">
        <f>HYPERLINK("http://www.youtube.com/channel/UCqop8tlrCuuuczAfxrR5j1A")</f>
        <v>http://www.youtube.com/channel/UCqop8tlrCuuuczAfxrR5j1A</v>
      </c>
      <c r="U3" s="79" t="s">
        <v>669</v>
      </c>
      <c r="V3" s="79" t="s">
        <v>763</v>
      </c>
      <c r="W3" s="81" t="str">
        <f>HYPERLINK("https://www.youtube.com/watch?v=14KCckNbmvs")</f>
        <v>https://www.youtube.com/watch?v=14KCckNbmvs</v>
      </c>
      <c r="X3" s="79" t="s">
        <v>794</v>
      </c>
      <c r="Y3" s="79">
        <v>0</v>
      </c>
      <c r="Z3" s="83">
        <v>44000.8281712963</v>
      </c>
      <c r="AA3" s="83">
        <v>44000.8281712963</v>
      </c>
      <c r="AB3" s="79"/>
      <c r="AC3" s="79"/>
      <c r="AD3" s="79"/>
      <c r="AE3">
        <v>2</v>
      </c>
      <c r="AF3" s="79" t="str">
        <f>REPLACE(INDEX(GroupVertices[Group],MATCH(Edges[[#This Row],[Vertex 1]],GroupVertices[Vertex],0)),1,1,"")</f>
        <v>2</v>
      </c>
      <c r="AG3" s="79" t="str">
        <f>REPLACE(INDEX(GroupVertices[Group],MATCH(Edges[[#This Row],[Vertex 2]],GroupVertices[Vertex],0)),1,1,"")</f>
        <v>2</v>
      </c>
      <c r="AH3" s="48">
        <v>0</v>
      </c>
      <c r="AI3" s="49">
        <v>0</v>
      </c>
      <c r="AJ3" s="48">
        <v>0</v>
      </c>
      <c r="AK3" s="49">
        <v>0</v>
      </c>
      <c r="AL3" s="48">
        <v>0</v>
      </c>
      <c r="AM3" s="49">
        <v>0</v>
      </c>
      <c r="AN3" s="48">
        <v>19</v>
      </c>
      <c r="AO3" s="49">
        <v>100</v>
      </c>
      <c r="AP3" s="48">
        <v>19</v>
      </c>
    </row>
    <row r="4" spans="1:42" ht="15" customHeight="1">
      <c r="A4" s="65" t="s">
        <v>212</v>
      </c>
      <c r="B4" s="65" t="s">
        <v>215</v>
      </c>
      <c r="C4" s="66" t="s">
        <v>1900</v>
      </c>
      <c r="D4" s="67">
        <v>10</v>
      </c>
      <c r="E4" s="68"/>
      <c r="F4" s="69">
        <v>20</v>
      </c>
      <c r="G4" s="66"/>
      <c r="H4" s="70"/>
      <c r="I4" s="71"/>
      <c r="J4" s="71"/>
      <c r="K4" s="34" t="s">
        <v>65</v>
      </c>
      <c r="L4" s="78">
        <v>4</v>
      </c>
      <c r="M4" s="78"/>
      <c r="N4" s="73"/>
      <c r="O4" s="80" t="s">
        <v>331</v>
      </c>
      <c r="P4" s="80" t="s">
        <v>333</v>
      </c>
      <c r="Q4" s="80" t="s">
        <v>334</v>
      </c>
      <c r="R4" s="80" t="s">
        <v>212</v>
      </c>
      <c r="S4" s="80" t="s">
        <v>553</v>
      </c>
      <c r="T4" s="82" t="str">
        <f>HYPERLINK("http://www.youtube.com/channel/UCqop8tlrCuuuczAfxrR5j1A")</f>
        <v>http://www.youtube.com/channel/UCqop8tlrCuuuczAfxrR5j1A</v>
      </c>
      <c r="U4" s="80" t="s">
        <v>669</v>
      </c>
      <c r="V4" s="80" t="s">
        <v>763</v>
      </c>
      <c r="W4" s="82" t="str">
        <f>HYPERLINK("https://www.youtube.com/watch?v=14KCckNbmvs")</f>
        <v>https://www.youtube.com/watch?v=14KCckNbmvs</v>
      </c>
      <c r="X4" s="80" t="s">
        <v>794</v>
      </c>
      <c r="Y4" s="80">
        <v>0</v>
      </c>
      <c r="Z4" s="84">
        <v>44000.83146990741</v>
      </c>
      <c r="AA4" s="84">
        <v>44000.83146990741</v>
      </c>
      <c r="AB4" s="80"/>
      <c r="AC4" s="80"/>
      <c r="AD4" s="80"/>
      <c r="AE4">
        <v>2</v>
      </c>
      <c r="AF4" s="79" t="str">
        <f>REPLACE(INDEX(GroupVertices[Group],MATCH(Edges[[#This Row],[Vertex 1]],GroupVertices[Vertex],0)),1,1,"")</f>
        <v>2</v>
      </c>
      <c r="AG4" s="79" t="str">
        <f>REPLACE(INDEX(GroupVertices[Group],MATCH(Edges[[#This Row],[Vertex 2]],GroupVertices[Vertex],0)),1,1,"")</f>
        <v>2</v>
      </c>
      <c r="AH4" s="48">
        <v>1</v>
      </c>
      <c r="AI4" s="49">
        <v>3.5714285714285716</v>
      </c>
      <c r="AJ4" s="48">
        <v>0</v>
      </c>
      <c r="AK4" s="49">
        <v>0</v>
      </c>
      <c r="AL4" s="48">
        <v>0</v>
      </c>
      <c r="AM4" s="49">
        <v>0</v>
      </c>
      <c r="AN4" s="48">
        <v>27</v>
      </c>
      <c r="AO4" s="49">
        <v>96.42857142857143</v>
      </c>
      <c r="AP4" s="48">
        <v>28</v>
      </c>
    </row>
    <row r="5" spans="1:42" ht="15">
      <c r="A5" s="65" t="s">
        <v>213</v>
      </c>
      <c r="B5" s="65" t="s">
        <v>215</v>
      </c>
      <c r="C5" s="66" t="s">
        <v>1901</v>
      </c>
      <c r="D5" s="67">
        <v>3</v>
      </c>
      <c r="E5" s="68"/>
      <c r="F5" s="69">
        <v>50</v>
      </c>
      <c r="G5" s="66"/>
      <c r="H5" s="70"/>
      <c r="I5" s="71"/>
      <c r="J5" s="71"/>
      <c r="K5" s="34" t="s">
        <v>65</v>
      </c>
      <c r="L5" s="78">
        <v>5</v>
      </c>
      <c r="M5" s="78"/>
      <c r="N5" s="73"/>
      <c r="O5" s="80" t="s">
        <v>331</v>
      </c>
      <c r="P5" s="80" t="s">
        <v>333</v>
      </c>
      <c r="Q5" s="80" t="s">
        <v>335</v>
      </c>
      <c r="R5" s="80" t="s">
        <v>213</v>
      </c>
      <c r="S5" s="80" t="s">
        <v>554</v>
      </c>
      <c r="T5" s="82" t="str">
        <f>HYPERLINK("http://www.youtube.com/channel/UCfth7ICp0EaKM6YyQPjvoOg")</f>
        <v>http://www.youtube.com/channel/UCfth7ICp0EaKM6YyQPjvoOg</v>
      </c>
      <c r="U5" s="80" t="s">
        <v>669</v>
      </c>
      <c r="V5" s="80" t="s">
        <v>763</v>
      </c>
      <c r="W5" s="82" t="str">
        <f>HYPERLINK("https://www.youtube.com/watch?v=14KCckNbmvs")</f>
        <v>https://www.youtube.com/watch?v=14KCckNbmvs</v>
      </c>
      <c r="X5" s="80" t="s">
        <v>794</v>
      </c>
      <c r="Y5" s="80">
        <v>0</v>
      </c>
      <c r="Z5" s="84">
        <v>44000.95741898148</v>
      </c>
      <c r="AA5" s="84">
        <v>44000.95741898148</v>
      </c>
      <c r="AB5" s="80"/>
      <c r="AC5" s="80"/>
      <c r="AD5" s="80"/>
      <c r="AE5">
        <v>1</v>
      </c>
      <c r="AF5" s="79" t="str">
        <f>REPLACE(INDEX(GroupVertices[Group],MATCH(Edges[[#This Row],[Vertex 1]],GroupVertices[Vertex],0)),1,1,"")</f>
        <v>2</v>
      </c>
      <c r="AG5" s="79" t="str">
        <f>REPLACE(INDEX(GroupVertices[Group],MATCH(Edges[[#This Row],[Vertex 2]],GroupVertices[Vertex],0)),1,1,"")</f>
        <v>2</v>
      </c>
      <c r="AH5" s="48">
        <v>0</v>
      </c>
      <c r="AI5" s="49">
        <v>0</v>
      </c>
      <c r="AJ5" s="48">
        <v>0</v>
      </c>
      <c r="AK5" s="49">
        <v>0</v>
      </c>
      <c r="AL5" s="48">
        <v>0</v>
      </c>
      <c r="AM5" s="49">
        <v>0</v>
      </c>
      <c r="AN5" s="48">
        <v>7</v>
      </c>
      <c r="AO5" s="49">
        <v>100</v>
      </c>
      <c r="AP5" s="48">
        <v>7</v>
      </c>
    </row>
    <row r="6" spans="1:42" ht="15">
      <c r="A6" s="65" t="s">
        <v>214</v>
      </c>
      <c r="B6" s="65" t="s">
        <v>215</v>
      </c>
      <c r="C6" s="66" t="s">
        <v>1900</v>
      </c>
      <c r="D6" s="67">
        <v>10</v>
      </c>
      <c r="E6" s="68"/>
      <c r="F6" s="69">
        <v>20</v>
      </c>
      <c r="G6" s="66"/>
      <c r="H6" s="70"/>
      <c r="I6" s="71"/>
      <c r="J6" s="71"/>
      <c r="K6" s="34" t="s">
        <v>66</v>
      </c>
      <c r="L6" s="78">
        <v>6</v>
      </c>
      <c r="M6" s="78"/>
      <c r="N6" s="73"/>
      <c r="O6" s="80" t="s">
        <v>331</v>
      </c>
      <c r="P6" s="80" t="s">
        <v>333</v>
      </c>
      <c r="Q6" s="80" t="s">
        <v>336</v>
      </c>
      <c r="R6" s="80" t="s">
        <v>214</v>
      </c>
      <c r="S6" s="80" t="s">
        <v>555</v>
      </c>
      <c r="T6" s="82" t="str">
        <f>HYPERLINK("http://www.youtube.com/channel/UCFp1vaKzpfvoGai0vE5VJ0w")</f>
        <v>http://www.youtube.com/channel/UCFp1vaKzpfvoGai0vE5VJ0w</v>
      </c>
      <c r="U6" s="80" t="s">
        <v>669</v>
      </c>
      <c r="V6" s="80" t="s">
        <v>763</v>
      </c>
      <c r="W6" s="82" t="str">
        <f>HYPERLINK("https://www.youtube.com/watch?v=14KCckNbmvs")</f>
        <v>https://www.youtube.com/watch?v=14KCckNbmvs</v>
      </c>
      <c r="X6" s="80" t="s">
        <v>794</v>
      </c>
      <c r="Y6" s="80">
        <v>1</v>
      </c>
      <c r="Z6" s="84">
        <v>44002.98403935185</v>
      </c>
      <c r="AA6" s="84">
        <v>44002.98403935185</v>
      </c>
      <c r="AB6" s="80"/>
      <c r="AC6" s="80"/>
      <c r="AD6" s="80"/>
      <c r="AE6">
        <v>2</v>
      </c>
      <c r="AF6" s="79" t="str">
        <f>REPLACE(INDEX(GroupVertices[Group],MATCH(Edges[[#This Row],[Vertex 1]],GroupVertices[Vertex],0)),1,1,"")</f>
        <v>2</v>
      </c>
      <c r="AG6" s="79" t="str">
        <f>REPLACE(INDEX(GroupVertices[Group],MATCH(Edges[[#This Row],[Vertex 2]],GroupVertices[Vertex],0)),1,1,"")</f>
        <v>2</v>
      </c>
      <c r="AH6" s="48">
        <v>0</v>
      </c>
      <c r="AI6" s="49">
        <v>0</v>
      </c>
      <c r="AJ6" s="48">
        <v>1</v>
      </c>
      <c r="AK6" s="49">
        <v>2.272727272727273</v>
      </c>
      <c r="AL6" s="48">
        <v>0</v>
      </c>
      <c r="AM6" s="49">
        <v>0</v>
      </c>
      <c r="AN6" s="48">
        <v>43</v>
      </c>
      <c r="AO6" s="49">
        <v>97.72727272727273</v>
      </c>
      <c r="AP6" s="48">
        <v>44</v>
      </c>
    </row>
    <row r="7" spans="1:42" ht="15">
      <c r="A7" s="65" t="s">
        <v>214</v>
      </c>
      <c r="B7" s="65" t="s">
        <v>215</v>
      </c>
      <c r="C7" s="66" t="s">
        <v>1900</v>
      </c>
      <c r="D7" s="67">
        <v>10</v>
      </c>
      <c r="E7" s="68"/>
      <c r="F7" s="69">
        <v>20</v>
      </c>
      <c r="G7" s="66"/>
      <c r="H7" s="70"/>
      <c r="I7" s="71"/>
      <c r="J7" s="71"/>
      <c r="K7" s="34" t="s">
        <v>66</v>
      </c>
      <c r="L7" s="78">
        <v>7</v>
      </c>
      <c r="M7" s="78"/>
      <c r="N7" s="73"/>
      <c r="O7" s="80" t="s">
        <v>331</v>
      </c>
      <c r="P7" s="80" t="s">
        <v>333</v>
      </c>
      <c r="Q7" s="80" t="s">
        <v>337</v>
      </c>
      <c r="R7" s="80" t="s">
        <v>214</v>
      </c>
      <c r="S7" s="80" t="s">
        <v>555</v>
      </c>
      <c r="T7" s="82" t="str">
        <f>HYPERLINK("http://www.youtube.com/channel/UCFp1vaKzpfvoGai0vE5VJ0w")</f>
        <v>http://www.youtube.com/channel/UCFp1vaKzpfvoGai0vE5VJ0w</v>
      </c>
      <c r="U7" s="80" t="s">
        <v>669</v>
      </c>
      <c r="V7" s="80" t="s">
        <v>763</v>
      </c>
      <c r="W7" s="82" t="str">
        <f>HYPERLINK("https://www.youtube.com/watch?v=14KCckNbmvs")</f>
        <v>https://www.youtube.com/watch?v=14KCckNbmvs</v>
      </c>
      <c r="X7" s="80" t="s">
        <v>794</v>
      </c>
      <c r="Y7" s="80">
        <v>0</v>
      </c>
      <c r="Z7" s="84">
        <v>44002.98447916667</v>
      </c>
      <c r="AA7" s="84">
        <v>44002.98447916667</v>
      </c>
      <c r="AB7" s="80"/>
      <c r="AC7" s="80"/>
      <c r="AD7" s="80"/>
      <c r="AE7">
        <v>2</v>
      </c>
      <c r="AF7" s="79" t="str">
        <f>REPLACE(INDEX(GroupVertices[Group],MATCH(Edges[[#This Row],[Vertex 1]],GroupVertices[Vertex],0)),1,1,"")</f>
        <v>2</v>
      </c>
      <c r="AG7" s="79" t="str">
        <f>REPLACE(INDEX(GroupVertices[Group],MATCH(Edges[[#This Row],[Vertex 2]],GroupVertices[Vertex],0)),1,1,"")</f>
        <v>2</v>
      </c>
      <c r="AH7" s="48">
        <v>0</v>
      </c>
      <c r="AI7" s="49">
        <v>0</v>
      </c>
      <c r="AJ7" s="48">
        <v>0</v>
      </c>
      <c r="AK7" s="49">
        <v>0</v>
      </c>
      <c r="AL7" s="48">
        <v>0</v>
      </c>
      <c r="AM7" s="49">
        <v>0</v>
      </c>
      <c r="AN7" s="48">
        <v>31</v>
      </c>
      <c r="AO7" s="49">
        <v>100</v>
      </c>
      <c r="AP7" s="48">
        <v>31</v>
      </c>
    </row>
    <row r="8" spans="1:42" ht="15">
      <c r="A8" s="65" t="s">
        <v>215</v>
      </c>
      <c r="B8" s="65" t="s">
        <v>214</v>
      </c>
      <c r="C8" s="66" t="s">
        <v>1901</v>
      </c>
      <c r="D8" s="67">
        <v>3</v>
      </c>
      <c r="E8" s="68"/>
      <c r="F8" s="69">
        <v>50</v>
      </c>
      <c r="G8" s="66"/>
      <c r="H8" s="70"/>
      <c r="I8" s="71"/>
      <c r="J8" s="71"/>
      <c r="K8" s="34" t="s">
        <v>66</v>
      </c>
      <c r="L8" s="78">
        <v>8</v>
      </c>
      <c r="M8" s="78"/>
      <c r="N8" s="73"/>
      <c r="O8" s="80" t="s">
        <v>332</v>
      </c>
      <c r="P8" s="80" t="s">
        <v>198</v>
      </c>
      <c r="Q8" s="80" t="s">
        <v>338</v>
      </c>
      <c r="R8" s="80" t="s">
        <v>215</v>
      </c>
      <c r="S8" s="80" t="s">
        <v>556</v>
      </c>
      <c r="T8" s="82" t="str">
        <f>HYPERLINK("http://www.youtube.com/channel/UCDRa3hAzNSyCXYMm6zncajQ")</f>
        <v>http://www.youtube.com/channel/UCDRa3hAzNSyCXYMm6zncajQ</v>
      </c>
      <c r="U8" s="80"/>
      <c r="V8" s="80" t="s">
        <v>763</v>
      </c>
      <c r="W8" s="82" t="str">
        <f>HYPERLINK("https://www.youtube.com/watch?v=14KCckNbmvs")</f>
        <v>https://www.youtube.com/watch?v=14KCckNbmvs</v>
      </c>
      <c r="X8" s="80" t="s">
        <v>794</v>
      </c>
      <c r="Y8" s="80">
        <v>1</v>
      </c>
      <c r="Z8" s="84">
        <v>44000.79043981482</v>
      </c>
      <c r="AA8" s="84">
        <v>44000.79070601852</v>
      </c>
      <c r="AB8" s="80"/>
      <c r="AC8" s="80"/>
      <c r="AD8" s="80"/>
      <c r="AE8">
        <v>1</v>
      </c>
      <c r="AF8" s="79" t="str">
        <f>REPLACE(INDEX(GroupVertices[Group],MATCH(Edges[[#This Row],[Vertex 1]],GroupVertices[Vertex],0)),1,1,"")</f>
        <v>2</v>
      </c>
      <c r="AG8" s="79" t="str">
        <f>REPLACE(INDEX(GroupVertices[Group],MATCH(Edges[[#This Row],[Vertex 2]],GroupVertices[Vertex],0)),1,1,"")</f>
        <v>2</v>
      </c>
      <c r="AH8" s="48">
        <v>0</v>
      </c>
      <c r="AI8" s="49">
        <v>0</v>
      </c>
      <c r="AJ8" s="48">
        <v>0</v>
      </c>
      <c r="AK8" s="49">
        <v>0</v>
      </c>
      <c r="AL8" s="48">
        <v>0</v>
      </c>
      <c r="AM8" s="49">
        <v>0</v>
      </c>
      <c r="AN8" s="48">
        <v>37</v>
      </c>
      <c r="AO8" s="49">
        <v>100</v>
      </c>
      <c r="AP8" s="48">
        <v>37</v>
      </c>
    </row>
    <row r="9" spans="1:42" ht="15">
      <c r="A9" s="65" t="s">
        <v>214</v>
      </c>
      <c r="B9" s="65" t="s">
        <v>216</v>
      </c>
      <c r="C9" s="66" t="s">
        <v>1901</v>
      </c>
      <c r="D9" s="67">
        <v>3</v>
      </c>
      <c r="E9" s="68"/>
      <c r="F9" s="69">
        <v>50</v>
      </c>
      <c r="G9" s="66"/>
      <c r="H9" s="70"/>
      <c r="I9" s="71"/>
      <c r="J9" s="71"/>
      <c r="K9" s="34" t="s">
        <v>66</v>
      </c>
      <c r="L9" s="78">
        <v>9</v>
      </c>
      <c r="M9" s="78"/>
      <c r="N9" s="73"/>
      <c r="O9" s="80" t="s">
        <v>331</v>
      </c>
      <c r="P9" s="80" t="s">
        <v>333</v>
      </c>
      <c r="Q9" s="80" t="s">
        <v>339</v>
      </c>
      <c r="R9" s="80" t="s">
        <v>214</v>
      </c>
      <c r="S9" s="80" t="s">
        <v>555</v>
      </c>
      <c r="T9" s="82" t="str">
        <f>HYPERLINK("http://www.youtube.com/channel/UCFp1vaKzpfvoGai0vE5VJ0w")</f>
        <v>http://www.youtube.com/channel/UCFp1vaKzpfvoGai0vE5VJ0w</v>
      </c>
      <c r="U9" s="80" t="s">
        <v>670</v>
      </c>
      <c r="V9" s="80" t="s">
        <v>763</v>
      </c>
      <c r="W9" s="82" t="str">
        <f>HYPERLINK("https://www.youtube.com/watch?v=14KCckNbmvs")</f>
        <v>https://www.youtube.com/watch?v=14KCckNbmvs</v>
      </c>
      <c r="X9" s="80" t="s">
        <v>794</v>
      </c>
      <c r="Y9" s="80">
        <v>0</v>
      </c>
      <c r="Z9" s="84">
        <v>44002.98332175926</v>
      </c>
      <c r="AA9" s="84">
        <v>44002.98332175926</v>
      </c>
      <c r="AB9" s="80"/>
      <c r="AC9" s="80"/>
      <c r="AD9" s="80"/>
      <c r="AE9">
        <v>1</v>
      </c>
      <c r="AF9" s="79" t="str">
        <f>REPLACE(INDEX(GroupVertices[Group],MATCH(Edges[[#This Row],[Vertex 1]],GroupVertices[Vertex],0)),1,1,"")</f>
        <v>2</v>
      </c>
      <c r="AG9" s="79" t="str">
        <f>REPLACE(INDEX(GroupVertices[Group],MATCH(Edges[[#This Row],[Vertex 2]],GroupVertices[Vertex],0)),1,1,"")</f>
        <v>2</v>
      </c>
      <c r="AH9" s="48">
        <v>1</v>
      </c>
      <c r="AI9" s="49">
        <v>20</v>
      </c>
      <c r="AJ9" s="48">
        <v>0</v>
      </c>
      <c r="AK9" s="49">
        <v>0</v>
      </c>
      <c r="AL9" s="48">
        <v>0</v>
      </c>
      <c r="AM9" s="49">
        <v>0</v>
      </c>
      <c r="AN9" s="48">
        <v>4</v>
      </c>
      <c r="AO9" s="49">
        <v>80</v>
      </c>
      <c r="AP9" s="48">
        <v>5</v>
      </c>
    </row>
    <row r="10" spans="1:42" ht="15">
      <c r="A10" s="65" t="s">
        <v>216</v>
      </c>
      <c r="B10" s="65" t="s">
        <v>214</v>
      </c>
      <c r="C10" s="66" t="s">
        <v>1901</v>
      </c>
      <c r="D10" s="67">
        <v>3</v>
      </c>
      <c r="E10" s="68"/>
      <c r="F10" s="69">
        <v>50</v>
      </c>
      <c r="G10" s="66"/>
      <c r="H10" s="70"/>
      <c r="I10" s="71"/>
      <c r="J10" s="71"/>
      <c r="K10" s="34" t="s">
        <v>66</v>
      </c>
      <c r="L10" s="78">
        <v>10</v>
      </c>
      <c r="M10" s="78"/>
      <c r="N10" s="73"/>
      <c r="O10" s="80" t="s">
        <v>332</v>
      </c>
      <c r="P10" s="80" t="s">
        <v>198</v>
      </c>
      <c r="Q10" s="80" t="s">
        <v>340</v>
      </c>
      <c r="R10" s="80" t="s">
        <v>216</v>
      </c>
      <c r="S10" s="80" t="s">
        <v>557</v>
      </c>
      <c r="T10" s="82" t="str">
        <f>HYPERLINK("http://www.youtube.com/channel/UCvr2RftXJBsY7vTlQCmxZaw")</f>
        <v>http://www.youtube.com/channel/UCvr2RftXJBsY7vTlQCmxZaw</v>
      </c>
      <c r="U10" s="80"/>
      <c r="V10" s="80" t="s">
        <v>763</v>
      </c>
      <c r="W10" s="82" t="str">
        <f>HYPERLINK("https://www.youtube.com/watch?v=14KCckNbmvs")</f>
        <v>https://www.youtube.com/watch?v=14KCckNbmvs</v>
      </c>
      <c r="X10" s="80" t="s">
        <v>794</v>
      </c>
      <c r="Y10" s="80">
        <v>1</v>
      </c>
      <c r="Z10" s="84">
        <v>44000.82393518519</v>
      </c>
      <c r="AA10" s="84">
        <v>44000.82393518519</v>
      </c>
      <c r="AB10" s="80"/>
      <c r="AC10" s="80"/>
      <c r="AD10" s="80"/>
      <c r="AE10">
        <v>1</v>
      </c>
      <c r="AF10" s="79" t="str">
        <f>REPLACE(INDEX(GroupVertices[Group],MATCH(Edges[[#This Row],[Vertex 1]],GroupVertices[Vertex],0)),1,1,"")</f>
        <v>2</v>
      </c>
      <c r="AG10" s="79" t="str">
        <f>REPLACE(INDEX(GroupVertices[Group],MATCH(Edges[[#This Row],[Vertex 2]],GroupVertices[Vertex],0)),1,1,"")</f>
        <v>2</v>
      </c>
      <c r="AH10" s="48">
        <v>1</v>
      </c>
      <c r="AI10" s="49">
        <v>25</v>
      </c>
      <c r="AJ10" s="48">
        <v>0</v>
      </c>
      <c r="AK10" s="49">
        <v>0</v>
      </c>
      <c r="AL10" s="48">
        <v>0</v>
      </c>
      <c r="AM10" s="49">
        <v>0</v>
      </c>
      <c r="AN10" s="48">
        <v>3</v>
      </c>
      <c r="AO10" s="49">
        <v>75</v>
      </c>
      <c r="AP10" s="48">
        <v>4</v>
      </c>
    </row>
    <row r="11" spans="1:42" ht="15">
      <c r="A11" s="65" t="s">
        <v>214</v>
      </c>
      <c r="B11" s="65" t="s">
        <v>217</v>
      </c>
      <c r="C11" s="66" t="s">
        <v>1900</v>
      </c>
      <c r="D11" s="67">
        <v>10</v>
      </c>
      <c r="E11" s="68"/>
      <c r="F11" s="69">
        <v>20</v>
      </c>
      <c r="G11" s="66"/>
      <c r="H11" s="70"/>
      <c r="I11" s="71"/>
      <c r="J11" s="71"/>
      <c r="K11" s="34" t="s">
        <v>66</v>
      </c>
      <c r="L11" s="78">
        <v>11</v>
      </c>
      <c r="M11" s="78"/>
      <c r="N11" s="73"/>
      <c r="O11" s="80" t="s">
        <v>331</v>
      </c>
      <c r="P11" s="80" t="s">
        <v>333</v>
      </c>
      <c r="Q11" s="80" t="s">
        <v>341</v>
      </c>
      <c r="R11" s="80" t="s">
        <v>214</v>
      </c>
      <c r="S11" s="80" t="s">
        <v>555</v>
      </c>
      <c r="T11" s="82" t="str">
        <f>HYPERLINK("http://www.youtube.com/channel/UCFp1vaKzpfvoGai0vE5VJ0w")</f>
        <v>http://www.youtube.com/channel/UCFp1vaKzpfvoGai0vE5VJ0w</v>
      </c>
      <c r="U11" s="80" t="s">
        <v>671</v>
      </c>
      <c r="V11" s="80" t="s">
        <v>763</v>
      </c>
      <c r="W11" s="82" t="str">
        <f>HYPERLINK("https://www.youtube.com/watch?v=14KCckNbmvs")</f>
        <v>https://www.youtube.com/watch?v=14KCckNbmvs</v>
      </c>
      <c r="X11" s="80" t="s">
        <v>794</v>
      </c>
      <c r="Y11" s="80">
        <v>0</v>
      </c>
      <c r="Z11" s="84">
        <v>44002.98284722222</v>
      </c>
      <c r="AA11" s="84">
        <v>44002.98284722222</v>
      </c>
      <c r="AB11" s="80" t="s">
        <v>795</v>
      </c>
      <c r="AC11" s="80" t="s">
        <v>809</v>
      </c>
      <c r="AD11" s="80"/>
      <c r="AE11">
        <v>2</v>
      </c>
      <c r="AF11" s="79" t="str">
        <f>REPLACE(INDEX(GroupVertices[Group],MATCH(Edges[[#This Row],[Vertex 1]],GroupVertices[Vertex],0)),1,1,"")</f>
        <v>2</v>
      </c>
      <c r="AG11" s="79" t="str">
        <f>REPLACE(INDEX(GroupVertices[Group],MATCH(Edges[[#This Row],[Vertex 2]],GroupVertices[Vertex],0)),1,1,"")</f>
        <v>2</v>
      </c>
      <c r="AH11" s="48">
        <v>0</v>
      </c>
      <c r="AI11" s="49">
        <v>0</v>
      </c>
      <c r="AJ11" s="48">
        <v>1</v>
      </c>
      <c r="AK11" s="49">
        <v>2.4390243902439024</v>
      </c>
      <c r="AL11" s="48">
        <v>0</v>
      </c>
      <c r="AM11" s="49">
        <v>0</v>
      </c>
      <c r="AN11" s="48">
        <v>40</v>
      </c>
      <c r="AO11" s="49">
        <v>97.5609756097561</v>
      </c>
      <c r="AP11" s="48">
        <v>41</v>
      </c>
    </row>
    <row r="12" spans="1:42" ht="15">
      <c r="A12" s="65" t="s">
        <v>214</v>
      </c>
      <c r="B12" s="65" t="s">
        <v>217</v>
      </c>
      <c r="C12" s="66" t="s">
        <v>1900</v>
      </c>
      <c r="D12" s="67">
        <v>10</v>
      </c>
      <c r="E12" s="68"/>
      <c r="F12" s="69">
        <v>20</v>
      </c>
      <c r="G12" s="66"/>
      <c r="H12" s="70"/>
      <c r="I12" s="71"/>
      <c r="J12" s="71"/>
      <c r="K12" s="34" t="s">
        <v>66</v>
      </c>
      <c r="L12" s="78">
        <v>12</v>
      </c>
      <c r="M12" s="78"/>
      <c r="N12" s="73"/>
      <c r="O12" s="80" t="s">
        <v>331</v>
      </c>
      <c r="P12" s="80" t="s">
        <v>333</v>
      </c>
      <c r="Q12" s="80" t="s">
        <v>342</v>
      </c>
      <c r="R12" s="80" t="s">
        <v>214</v>
      </c>
      <c r="S12" s="80" t="s">
        <v>555</v>
      </c>
      <c r="T12" s="82" t="str">
        <f>HYPERLINK("http://www.youtube.com/channel/UCFp1vaKzpfvoGai0vE5VJ0w")</f>
        <v>http://www.youtube.com/channel/UCFp1vaKzpfvoGai0vE5VJ0w</v>
      </c>
      <c r="U12" s="80" t="s">
        <v>671</v>
      </c>
      <c r="V12" s="80" t="s">
        <v>763</v>
      </c>
      <c r="W12" s="82" t="str">
        <f>HYPERLINK("https://www.youtube.com/watch?v=14KCckNbmvs")</f>
        <v>https://www.youtube.com/watch?v=14KCckNbmvs</v>
      </c>
      <c r="X12" s="80" t="s">
        <v>794</v>
      </c>
      <c r="Y12" s="80">
        <v>0</v>
      </c>
      <c r="Z12" s="84">
        <v>44002.983148148145</v>
      </c>
      <c r="AA12" s="84">
        <v>44002.983148148145</v>
      </c>
      <c r="AB12" s="80" t="s">
        <v>796</v>
      </c>
      <c r="AC12" s="80" t="s">
        <v>809</v>
      </c>
      <c r="AD12" s="80"/>
      <c r="AE12">
        <v>2</v>
      </c>
      <c r="AF12" s="79" t="str">
        <f>REPLACE(INDEX(GroupVertices[Group],MATCH(Edges[[#This Row],[Vertex 1]],GroupVertices[Vertex],0)),1,1,"")</f>
        <v>2</v>
      </c>
      <c r="AG12" s="79" t="str">
        <f>REPLACE(INDEX(GroupVertices[Group],MATCH(Edges[[#This Row],[Vertex 2]],GroupVertices[Vertex],0)),1,1,"")</f>
        <v>2</v>
      </c>
      <c r="AH12" s="48">
        <v>0</v>
      </c>
      <c r="AI12" s="49">
        <v>0</v>
      </c>
      <c r="AJ12" s="48">
        <v>0</v>
      </c>
      <c r="AK12" s="49">
        <v>0</v>
      </c>
      <c r="AL12" s="48">
        <v>0</v>
      </c>
      <c r="AM12" s="49">
        <v>0</v>
      </c>
      <c r="AN12" s="48">
        <v>27</v>
      </c>
      <c r="AO12" s="49">
        <v>100</v>
      </c>
      <c r="AP12" s="48">
        <v>27</v>
      </c>
    </row>
    <row r="13" spans="1:42" ht="15">
      <c r="A13" s="65" t="s">
        <v>217</v>
      </c>
      <c r="B13" s="65" t="s">
        <v>214</v>
      </c>
      <c r="C13" s="66" t="s">
        <v>1901</v>
      </c>
      <c r="D13" s="67">
        <v>3</v>
      </c>
      <c r="E13" s="68"/>
      <c r="F13" s="69">
        <v>50</v>
      </c>
      <c r="G13" s="66"/>
      <c r="H13" s="70"/>
      <c r="I13" s="71"/>
      <c r="J13" s="71"/>
      <c r="K13" s="34" t="s">
        <v>66</v>
      </c>
      <c r="L13" s="78">
        <v>13</v>
      </c>
      <c r="M13" s="78"/>
      <c r="N13" s="73"/>
      <c r="O13" s="80" t="s">
        <v>332</v>
      </c>
      <c r="P13" s="80" t="s">
        <v>198</v>
      </c>
      <c r="Q13" s="80" t="s">
        <v>343</v>
      </c>
      <c r="R13" s="80" t="s">
        <v>217</v>
      </c>
      <c r="S13" s="80" t="s">
        <v>558</v>
      </c>
      <c r="T13" s="82" t="str">
        <f>HYPERLINK("http://www.youtube.com/channel/UCO7kLxBbcZ-F6jdssKIMfFw")</f>
        <v>http://www.youtube.com/channel/UCO7kLxBbcZ-F6jdssKIMfFw</v>
      </c>
      <c r="U13" s="80"/>
      <c r="V13" s="80" t="s">
        <v>763</v>
      </c>
      <c r="W13" s="82" t="str">
        <f>HYPERLINK("https://www.youtube.com/watch?v=14KCckNbmvs")</f>
        <v>https://www.youtube.com/watch?v=14KCckNbmvs</v>
      </c>
      <c r="X13" s="80" t="s">
        <v>794</v>
      </c>
      <c r="Y13" s="80">
        <v>1</v>
      </c>
      <c r="Z13" s="84">
        <v>44000.830196759256</v>
      </c>
      <c r="AA13" s="84">
        <v>44000.830196759256</v>
      </c>
      <c r="AB13" s="80"/>
      <c r="AC13" s="80"/>
      <c r="AD13" s="80"/>
      <c r="AE13">
        <v>1</v>
      </c>
      <c r="AF13" s="79" t="str">
        <f>REPLACE(INDEX(GroupVertices[Group],MATCH(Edges[[#This Row],[Vertex 1]],GroupVertices[Vertex],0)),1,1,"")</f>
        <v>2</v>
      </c>
      <c r="AG13" s="79" t="str">
        <f>REPLACE(INDEX(GroupVertices[Group],MATCH(Edges[[#This Row],[Vertex 2]],GroupVertices[Vertex],0)),1,1,"")</f>
        <v>2</v>
      </c>
      <c r="AH13" s="48">
        <v>1</v>
      </c>
      <c r="AI13" s="49">
        <v>3.7037037037037037</v>
      </c>
      <c r="AJ13" s="48">
        <v>0</v>
      </c>
      <c r="AK13" s="49">
        <v>0</v>
      </c>
      <c r="AL13" s="48">
        <v>0</v>
      </c>
      <c r="AM13" s="49">
        <v>0</v>
      </c>
      <c r="AN13" s="48">
        <v>26</v>
      </c>
      <c r="AO13" s="49">
        <v>96.29629629629629</v>
      </c>
      <c r="AP13" s="48">
        <v>27</v>
      </c>
    </row>
    <row r="14" spans="1:42" ht="15">
      <c r="A14" s="65" t="s">
        <v>214</v>
      </c>
      <c r="B14" s="65" t="s">
        <v>218</v>
      </c>
      <c r="C14" s="66" t="s">
        <v>1901</v>
      </c>
      <c r="D14" s="67">
        <v>3</v>
      </c>
      <c r="E14" s="68"/>
      <c r="F14" s="69">
        <v>50</v>
      </c>
      <c r="G14" s="66"/>
      <c r="H14" s="70"/>
      <c r="I14" s="71"/>
      <c r="J14" s="71"/>
      <c r="K14" s="34" t="s">
        <v>66</v>
      </c>
      <c r="L14" s="78">
        <v>14</v>
      </c>
      <c r="M14" s="78"/>
      <c r="N14" s="73"/>
      <c r="O14" s="80" t="s">
        <v>331</v>
      </c>
      <c r="P14" s="80" t="s">
        <v>333</v>
      </c>
      <c r="Q14" s="80" t="s">
        <v>344</v>
      </c>
      <c r="R14" s="80" t="s">
        <v>214</v>
      </c>
      <c r="S14" s="80" t="s">
        <v>555</v>
      </c>
      <c r="T14" s="82" t="str">
        <f>HYPERLINK("http://www.youtube.com/channel/UCFp1vaKzpfvoGai0vE5VJ0w")</f>
        <v>http://www.youtube.com/channel/UCFp1vaKzpfvoGai0vE5VJ0w</v>
      </c>
      <c r="U14" s="80" t="s">
        <v>672</v>
      </c>
      <c r="V14" s="80" t="s">
        <v>763</v>
      </c>
      <c r="W14" s="82" t="str">
        <f>HYPERLINK("https://www.youtube.com/watch?v=14KCckNbmvs")</f>
        <v>https://www.youtube.com/watch?v=14KCckNbmvs</v>
      </c>
      <c r="X14" s="80" t="s">
        <v>794</v>
      </c>
      <c r="Y14" s="80">
        <v>0</v>
      </c>
      <c r="Z14" s="84">
        <v>44002.98085648148</v>
      </c>
      <c r="AA14" s="84">
        <v>44002.98085648148</v>
      </c>
      <c r="AB14" s="80" t="s">
        <v>797</v>
      </c>
      <c r="AC14" s="80" t="s">
        <v>810</v>
      </c>
      <c r="AD14" s="80"/>
      <c r="AE14">
        <v>1</v>
      </c>
      <c r="AF14" s="79" t="str">
        <f>REPLACE(INDEX(GroupVertices[Group],MATCH(Edges[[#This Row],[Vertex 1]],GroupVertices[Vertex],0)),1,1,"")</f>
        <v>2</v>
      </c>
      <c r="AG14" s="79" t="str">
        <f>REPLACE(INDEX(GroupVertices[Group],MATCH(Edges[[#This Row],[Vertex 2]],GroupVertices[Vertex],0)),1,1,"")</f>
        <v>2</v>
      </c>
      <c r="AH14" s="48">
        <v>3</v>
      </c>
      <c r="AI14" s="49">
        <v>5.660377358490566</v>
      </c>
      <c r="AJ14" s="48">
        <v>0</v>
      </c>
      <c r="AK14" s="49">
        <v>0</v>
      </c>
      <c r="AL14" s="48">
        <v>0</v>
      </c>
      <c r="AM14" s="49">
        <v>0</v>
      </c>
      <c r="AN14" s="48">
        <v>50</v>
      </c>
      <c r="AO14" s="49">
        <v>94.33962264150944</v>
      </c>
      <c r="AP14" s="48">
        <v>53</v>
      </c>
    </row>
    <row r="15" spans="1:42" ht="15">
      <c r="A15" s="65" t="s">
        <v>218</v>
      </c>
      <c r="B15" s="65" t="s">
        <v>214</v>
      </c>
      <c r="C15" s="66" t="s">
        <v>1901</v>
      </c>
      <c r="D15" s="67">
        <v>3</v>
      </c>
      <c r="E15" s="68"/>
      <c r="F15" s="69">
        <v>50</v>
      </c>
      <c r="G15" s="66"/>
      <c r="H15" s="70"/>
      <c r="I15" s="71"/>
      <c r="J15" s="71"/>
      <c r="K15" s="34" t="s">
        <v>66</v>
      </c>
      <c r="L15" s="78">
        <v>15</v>
      </c>
      <c r="M15" s="78"/>
      <c r="N15" s="73"/>
      <c r="O15" s="80" t="s">
        <v>332</v>
      </c>
      <c r="P15" s="80" t="s">
        <v>198</v>
      </c>
      <c r="Q15" s="80" t="s">
        <v>345</v>
      </c>
      <c r="R15" s="80" t="s">
        <v>218</v>
      </c>
      <c r="S15" s="80" t="s">
        <v>559</v>
      </c>
      <c r="T15" s="82" t="str">
        <f>HYPERLINK("http://www.youtube.com/channel/UCFiPHO5NgaQdVggOroJP_nw")</f>
        <v>http://www.youtube.com/channel/UCFiPHO5NgaQdVggOroJP_nw</v>
      </c>
      <c r="U15" s="80"/>
      <c r="V15" s="80" t="s">
        <v>763</v>
      </c>
      <c r="W15" s="82" t="str">
        <f>HYPERLINK("https://www.youtube.com/watch?v=14KCckNbmvs")</f>
        <v>https://www.youtube.com/watch?v=14KCckNbmvs</v>
      </c>
      <c r="X15" s="80" t="s">
        <v>794</v>
      </c>
      <c r="Y15" s="80">
        <v>5</v>
      </c>
      <c r="Z15" s="84">
        <v>44000.855625</v>
      </c>
      <c r="AA15" s="84">
        <v>44000.855625</v>
      </c>
      <c r="AB15" s="80"/>
      <c r="AC15" s="80"/>
      <c r="AD15" s="80"/>
      <c r="AE15">
        <v>1</v>
      </c>
      <c r="AF15" s="79" t="str">
        <f>REPLACE(INDEX(GroupVertices[Group],MATCH(Edges[[#This Row],[Vertex 1]],GroupVertices[Vertex],0)),1,1,"")</f>
        <v>2</v>
      </c>
      <c r="AG15" s="79" t="str">
        <f>REPLACE(INDEX(GroupVertices[Group],MATCH(Edges[[#This Row],[Vertex 2]],GroupVertices[Vertex],0)),1,1,"")</f>
        <v>2</v>
      </c>
      <c r="AH15" s="48">
        <v>1</v>
      </c>
      <c r="AI15" s="49">
        <v>12.5</v>
      </c>
      <c r="AJ15" s="48">
        <v>0</v>
      </c>
      <c r="AK15" s="49">
        <v>0</v>
      </c>
      <c r="AL15" s="48">
        <v>0</v>
      </c>
      <c r="AM15" s="49">
        <v>0</v>
      </c>
      <c r="AN15" s="48">
        <v>7</v>
      </c>
      <c r="AO15" s="49">
        <v>87.5</v>
      </c>
      <c r="AP15" s="48">
        <v>8</v>
      </c>
    </row>
    <row r="16" spans="1:42" ht="15">
      <c r="A16" s="65" t="s">
        <v>214</v>
      </c>
      <c r="B16" s="65" t="s">
        <v>219</v>
      </c>
      <c r="C16" s="66" t="s">
        <v>1901</v>
      </c>
      <c r="D16" s="67">
        <v>3</v>
      </c>
      <c r="E16" s="68"/>
      <c r="F16" s="69">
        <v>50</v>
      </c>
      <c r="G16" s="66"/>
      <c r="H16" s="70"/>
      <c r="I16" s="71"/>
      <c r="J16" s="71"/>
      <c r="K16" s="34" t="s">
        <v>66</v>
      </c>
      <c r="L16" s="78">
        <v>16</v>
      </c>
      <c r="M16" s="78"/>
      <c r="N16" s="73"/>
      <c r="O16" s="80" t="s">
        <v>331</v>
      </c>
      <c r="P16" s="80" t="s">
        <v>333</v>
      </c>
      <c r="Q16" s="80" t="s">
        <v>346</v>
      </c>
      <c r="R16" s="80" t="s">
        <v>214</v>
      </c>
      <c r="S16" s="80" t="s">
        <v>555</v>
      </c>
      <c r="T16" s="82" t="str">
        <f>HYPERLINK("http://www.youtube.com/channel/UCFp1vaKzpfvoGai0vE5VJ0w")</f>
        <v>http://www.youtube.com/channel/UCFp1vaKzpfvoGai0vE5VJ0w</v>
      </c>
      <c r="U16" s="80" t="s">
        <v>673</v>
      </c>
      <c r="V16" s="80" t="s">
        <v>763</v>
      </c>
      <c r="W16" s="82" t="str">
        <f>HYPERLINK("https://www.youtube.com/watch?v=14KCckNbmvs")</f>
        <v>https://www.youtube.com/watch?v=14KCckNbmvs</v>
      </c>
      <c r="X16" s="80" t="s">
        <v>794</v>
      </c>
      <c r="Y16" s="80">
        <v>0</v>
      </c>
      <c r="Z16" s="84">
        <v>44002.9796412037</v>
      </c>
      <c r="AA16" s="84">
        <v>44002.9796412037</v>
      </c>
      <c r="AB16" s="80"/>
      <c r="AC16" s="80"/>
      <c r="AD16" s="80"/>
      <c r="AE16">
        <v>1</v>
      </c>
      <c r="AF16" s="79" t="str">
        <f>REPLACE(INDEX(GroupVertices[Group],MATCH(Edges[[#This Row],[Vertex 1]],GroupVertices[Vertex],0)),1,1,"")</f>
        <v>2</v>
      </c>
      <c r="AG16" s="79" t="str">
        <f>REPLACE(INDEX(GroupVertices[Group],MATCH(Edges[[#This Row],[Vertex 2]],GroupVertices[Vertex],0)),1,1,"")</f>
        <v>2</v>
      </c>
      <c r="AH16" s="48">
        <v>0</v>
      </c>
      <c r="AI16" s="49">
        <v>0</v>
      </c>
      <c r="AJ16" s="48">
        <v>0</v>
      </c>
      <c r="AK16" s="49">
        <v>0</v>
      </c>
      <c r="AL16" s="48">
        <v>0</v>
      </c>
      <c r="AM16" s="49">
        <v>0</v>
      </c>
      <c r="AN16" s="48">
        <v>4</v>
      </c>
      <c r="AO16" s="49">
        <v>100</v>
      </c>
      <c r="AP16" s="48">
        <v>4</v>
      </c>
    </row>
    <row r="17" spans="1:42" ht="15">
      <c r="A17" s="65" t="s">
        <v>219</v>
      </c>
      <c r="B17" s="65" t="s">
        <v>214</v>
      </c>
      <c r="C17" s="66" t="s">
        <v>1901</v>
      </c>
      <c r="D17" s="67">
        <v>3</v>
      </c>
      <c r="E17" s="68"/>
      <c r="F17" s="69">
        <v>50</v>
      </c>
      <c r="G17" s="66"/>
      <c r="H17" s="70"/>
      <c r="I17" s="71"/>
      <c r="J17" s="71"/>
      <c r="K17" s="34" t="s">
        <v>66</v>
      </c>
      <c r="L17" s="78">
        <v>17</v>
      </c>
      <c r="M17" s="78"/>
      <c r="N17" s="73"/>
      <c r="O17" s="80" t="s">
        <v>332</v>
      </c>
      <c r="P17" s="80" t="s">
        <v>198</v>
      </c>
      <c r="Q17" s="80" t="s">
        <v>347</v>
      </c>
      <c r="R17" s="80" t="s">
        <v>219</v>
      </c>
      <c r="S17" s="80" t="s">
        <v>560</v>
      </c>
      <c r="T17" s="82" t="str">
        <f>HYPERLINK("http://www.youtube.com/channel/UCQSAWg2c-QMRHUyywmilREQ")</f>
        <v>http://www.youtube.com/channel/UCQSAWg2c-QMRHUyywmilREQ</v>
      </c>
      <c r="U17" s="80"/>
      <c r="V17" s="80" t="s">
        <v>763</v>
      </c>
      <c r="W17" s="82" t="str">
        <f>HYPERLINK("https://www.youtube.com/watch?v=14KCckNbmvs")</f>
        <v>https://www.youtube.com/watch?v=14KCckNbmvs</v>
      </c>
      <c r="X17" s="80" t="s">
        <v>794</v>
      </c>
      <c r="Y17" s="80">
        <v>1</v>
      </c>
      <c r="Z17" s="84">
        <v>44001.12849537037</v>
      </c>
      <c r="AA17" s="84">
        <v>44001.12849537037</v>
      </c>
      <c r="AB17" s="80" t="s">
        <v>798</v>
      </c>
      <c r="AC17" s="80" t="s">
        <v>811</v>
      </c>
      <c r="AD17" s="80"/>
      <c r="AE17">
        <v>1</v>
      </c>
      <c r="AF17" s="79" t="str">
        <f>REPLACE(INDEX(GroupVertices[Group],MATCH(Edges[[#This Row],[Vertex 1]],GroupVertices[Vertex],0)),1,1,"")</f>
        <v>2</v>
      </c>
      <c r="AG17" s="79" t="str">
        <f>REPLACE(INDEX(GroupVertices[Group],MATCH(Edges[[#This Row],[Vertex 2]],GroupVertices[Vertex],0)),1,1,"")</f>
        <v>2</v>
      </c>
      <c r="AH17" s="48">
        <v>0</v>
      </c>
      <c r="AI17" s="49">
        <v>0</v>
      </c>
      <c r="AJ17" s="48">
        <v>0</v>
      </c>
      <c r="AK17" s="49">
        <v>0</v>
      </c>
      <c r="AL17" s="48">
        <v>0</v>
      </c>
      <c r="AM17" s="49">
        <v>0</v>
      </c>
      <c r="AN17" s="48">
        <v>26</v>
      </c>
      <c r="AO17" s="49">
        <v>100</v>
      </c>
      <c r="AP17" s="48">
        <v>26</v>
      </c>
    </row>
    <row r="18" spans="1:42" ht="15">
      <c r="A18" s="65" t="s">
        <v>214</v>
      </c>
      <c r="B18" s="65" t="s">
        <v>220</v>
      </c>
      <c r="C18" s="66" t="s">
        <v>1901</v>
      </c>
      <c r="D18" s="67">
        <v>3</v>
      </c>
      <c r="E18" s="68"/>
      <c r="F18" s="69">
        <v>50</v>
      </c>
      <c r="G18" s="66"/>
      <c r="H18" s="70"/>
      <c r="I18" s="71"/>
      <c r="J18" s="71"/>
      <c r="K18" s="34" t="s">
        <v>66</v>
      </c>
      <c r="L18" s="78">
        <v>18</v>
      </c>
      <c r="M18" s="78"/>
      <c r="N18" s="73"/>
      <c r="O18" s="80" t="s">
        <v>331</v>
      </c>
      <c r="P18" s="80" t="s">
        <v>333</v>
      </c>
      <c r="Q18" s="80" t="s">
        <v>348</v>
      </c>
      <c r="R18" s="80" t="s">
        <v>214</v>
      </c>
      <c r="S18" s="80" t="s">
        <v>555</v>
      </c>
      <c r="T18" s="82" t="str">
        <f>HYPERLINK("http://www.youtube.com/channel/UCFp1vaKzpfvoGai0vE5VJ0w")</f>
        <v>http://www.youtube.com/channel/UCFp1vaKzpfvoGai0vE5VJ0w</v>
      </c>
      <c r="U18" s="80" t="s">
        <v>674</v>
      </c>
      <c r="V18" s="80" t="s">
        <v>763</v>
      </c>
      <c r="W18" s="82" t="str">
        <f>HYPERLINK("https://www.youtube.com/watch?v=14KCckNbmvs")</f>
        <v>https://www.youtube.com/watch?v=14KCckNbmvs</v>
      </c>
      <c r="X18" s="80" t="s">
        <v>794</v>
      </c>
      <c r="Y18" s="80">
        <v>0</v>
      </c>
      <c r="Z18" s="84">
        <v>44002.979375</v>
      </c>
      <c r="AA18" s="84">
        <v>44002.979375</v>
      </c>
      <c r="AB18" s="80"/>
      <c r="AC18" s="80"/>
      <c r="AD18" s="80"/>
      <c r="AE18">
        <v>1</v>
      </c>
      <c r="AF18" s="79" t="str">
        <f>REPLACE(INDEX(GroupVertices[Group],MATCH(Edges[[#This Row],[Vertex 1]],GroupVertices[Vertex],0)),1,1,"")</f>
        <v>2</v>
      </c>
      <c r="AG18" s="79" t="str">
        <f>REPLACE(INDEX(GroupVertices[Group],MATCH(Edges[[#This Row],[Vertex 2]],GroupVertices[Vertex],0)),1,1,"")</f>
        <v>2</v>
      </c>
      <c r="AH18" s="48">
        <v>0</v>
      </c>
      <c r="AI18" s="49">
        <v>0</v>
      </c>
      <c r="AJ18" s="48">
        <v>0</v>
      </c>
      <c r="AK18" s="49">
        <v>0</v>
      </c>
      <c r="AL18" s="48">
        <v>0</v>
      </c>
      <c r="AM18" s="49">
        <v>0</v>
      </c>
      <c r="AN18" s="48">
        <v>28</v>
      </c>
      <c r="AO18" s="49">
        <v>100</v>
      </c>
      <c r="AP18" s="48">
        <v>28</v>
      </c>
    </row>
    <row r="19" spans="1:42" ht="15">
      <c r="A19" s="65" t="s">
        <v>220</v>
      </c>
      <c r="B19" s="65" t="s">
        <v>214</v>
      </c>
      <c r="C19" s="66" t="s">
        <v>1901</v>
      </c>
      <c r="D19" s="67">
        <v>3</v>
      </c>
      <c r="E19" s="68"/>
      <c r="F19" s="69">
        <v>50</v>
      </c>
      <c r="G19" s="66"/>
      <c r="H19" s="70"/>
      <c r="I19" s="71"/>
      <c r="J19" s="71"/>
      <c r="K19" s="34" t="s">
        <v>66</v>
      </c>
      <c r="L19" s="78">
        <v>19</v>
      </c>
      <c r="M19" s="78"/>
      <c r="N19" s="73"/>
      <c r="O19" s="80" t="s">
        <v>332</v>
      </c>
      <c r="P19" s="80" t="s">
        <v>198</v>
      </c>
      <c r="Q19" s="80" t="s">
        <v>349</v>
      </c>
      <c r="R19" s="80" t="s">
        <v>220</v>
      </c>
      <c r="S19" s="80" t="s">
        <v>561</v>
      </c>
      <c r="T19" s="82" t="str">
        <f>HYPERLINK("http://www.youtube.com/channel/UCtlTqmbJidEUZFkxHptY1FA")</f>
        <v>http://www.youtube.com/channel/UCtlTqmbJidEUZFkxHptY1FA</v>
      </c>
      <c r="U19" s="80"/>
      <c r="V19" s="80" t="s">
        <v>763</v>
      </c>
      <c r="W19" s="82" t="str">
        <f>HYPERLINK("https://www.youtube.com/watch?v=14KCckNbmvs")</f>
        <v>https://www.youtube.com/watch?v=14KCckNbmvs</v>
      </c>
      <c r="X19" s="80" t="s">
        <v>794</v>
      </c>
      <c r="Y19" s="80">
        <v>8</v>
      </c>
      <c r="Z19" s="84">
        <v>44001.1721412037</v>
      </c>
      <c r="AA19" s="84">
        <v>44001.1721412037</v>
      </c>
      <c r="AB19" s="80"/>
      <c r="AC19" s="80"/>
      <c r="AD19" s="80"/>
      <c r="AE19">
        <v>1</v>
      </c>
      <c r="AF19" s="79" t="str">
        <f>REPLACE(INDEX(GroupVertices[Group],MATCH(Edges[[#This Row],[Vertex 1]],GroupVertices[Vertex],0)),1,1,"")</f>
        <v>2</v>
      </c>
      <c r="AG19" s="79" t="str">
        <f>REPLACE(INDEX(GroupVertices[Group],MATCH(Edges[[#This Row],[Vertex 2]],GroupVertices[Vertex],0)),1,1,"")</f>
        <v>2</v>
      </c>
      <c r="AH19" s="48">
        <v>3</v>
      </c>
      <c r="AI19" s="49">
        <v>13.043478260869565</v>
      </c>
      <c r="AJ19" s="48">
        <v>0</v>
      </c>
      <c r="AK19" s="49">
        <v>0</v>
      </c>
      <c r="AL19" s="48">
        <v>0</v>
      </c>
      <c r="AM19" s="49">
        <v>0</v>
      </c>
      <c r="AN19" s="48">
        <v>20</v>
      </c>
      <c r="AO19" s="49">
        <v>86.95652173913044</v>
      </c>
      <c r="AP19" s="48">
        <v>23</v>
      </c>
    </row>
    <row r="20" spans="1:42" ht="15">
      <c r="A20" s="65" t="s">
        <v>214</v>
      </c>
      <c r="B20" s="65" t="s">
        <v>221</v>
      </c>
      <c r="C20" s="66" t="s">
        <v>1901</v>
      </c>
      <c r="D20" s="67">
        <v>3</v>
      </c>
      <c r="E20" s="68"/>
      <c r="F20" s="69">
        <v>50</v>
      </c>
      <c r="G20" s="66"/>
      <c r="H20" s="70"/>
      <c r="I20" s="71"/>
      <c r="J20" s="71"/>
      <c r="K20" s="34" t="s">
        <v>66</v>
      </c>
      <c r="L20" s="78">
        <v>20</v>
      </c>
      <c r="M20" s="78"/>
      <c r="N20" s="73"/>
      <c r="O20" s="80" t="s">
        <v>331</v>
      </c>
      <c r="P20" s="80" t="s">
        <v>333</v>
      </c>
      <c r="Q20" s="80" t="s">
        <v>350</v>
      </c>
      <c r="R20" s="80" t="s">
        <v>214</v>
      </c>
      <c r="S20" s="80" t="s">
        <v>555</v>
      </c>
      <c r="T20" s="82" t="str">
        <f>HYPERLINK("http://www.youtube.com/channel/UCFp1vaKzpfvoGai0vE5VJ0w")</f>
        <v>http://www.youtube.com/channel/UCFp1vaKzpfvoGai0vE5VJ0w</v>
      </c>
      <c r="U20" s="80" t="s">
        <v>675</v>
      </c>
      <c r="V20" s="80" t="s">
        <v>763</v>
      </c>
      <c r="W20" s="82" t="str">
        <f>HYPERLINK("https://www.youtube.com/watch?v=14KCckNbmvs")</f>
        <v>https://www.youtube.com/watch?v=14KCckNbmvs</v>
      </c>
      <c r="X20" s="80" t="s">
        <v>794</v>
      </c>
      <c r="Y20" s="80">
        <v>0</v>
      </c>
      <c r="Z20" s="84">
        <v>44002.97699074074</v>
      </c>
      <c r="AA20" s="84">
        <v>44002.97699074074</v>
      </c>
      <c r="AB20" s="80"/>
      <c r="AC20" s="80"/>
      <c r="AD20" s="80"/>
      <c r="AE20">
        <v>1</v>
      </c>
      <c r="AF20" s="79" t="str">
        <f>REPLACE(INDEX(GroupVertices[Group],MATCH(Edges[[#This Row],[Vertex 1]],GroupVertices[Vertex],0)),1,1,"")</f>
        <v>2</v>
      </c>
      <c r="AG20" s="79" t="str">
        <f>REPLACE(INDEX(GroupVertices[Group],MATCH(Edges[[#This Row],[Vertex 2]],GroupVertices[Vertex],0)),1,1,"")</f>
        <v>2</v>
      </c>
      <c r="AH20" s="48">
        <v>0</v>
      </c>
      <c r="AI20" s="49">
        <v>0</v>
      </c>
      <c r="AJ20" s="48">
        <v>0</v>
      </c>
      <c r="AK20" s="49">
        <v>0</v>
      </c>
      <c r="AL20" s="48">
        <v>0</v>
      </c>
      <c r="AM20" s="49">
        <v>0</v>
      </c>
      <c r="AN20" s="48">
        <v>11</v>
      </c>
      <c r="AO20" s="49">
        <v>100</v>
      </c>
      <c r="AP20" s="48">
        <v>11</v>
      </c>
    </row>
    <row r="21" spans="1:42" ht="15">
      <c r="A21" s="65" t="s">
        <v>221</v>
      </c>
      <c r="B21" s="65" t="s">
        <v>214</v>
      </c>
      <c r="C21" s="66" t="s">
        <v>1901</v>
      </c>
      <c r="D21" s="67">
        <v>3</v>
      </c>
      <c r="E21" s="68"/>
      <c r="F21" s="69">
        <v>50</v>
      </c>
      <c r="G21" s="66"/>
      <c r="H21" s="70"/>
      <c r="I21" s="71"/>
      <c r="J21" s="71"/>
      <c r="K21" s="34" t="s">
        <v>66</v>
      </c>
      <c r="L21" s="78">
        <v>21</v>
      </c>
      <c r="M21" s="78"/>
      <c r="N21" s="73"/>
      <c r="O21" s="80" t="s">
        <v>332</v>
      </c>
      <c r="P21" s="80" t="s">
        <v>198</v>
      </c>
      <c r="Q21" s="80" t="s">
        <v>351</v>
      </c>
      <c r="R21" s="80" t="s">
        <v>221</v>
      </c>
      <c r="S21" s="80" t="s">
        <v>562</v>
      </c>
      <c r="T21" s="82" t="str">
        <f>HYPERLINK("http://www.youtube.com/channel/UCYyKfXHo6Jho0ICP9TZFZRg")</f>
        <v>http://www.youtube.com/channel/UCYyKfXHo6Jho0ICP9TZFZRg</v>
      </c>
      <c r="U21" s="80"/>
      <c r="V21" s="80" t="s">
        <v>763</v>
      </c>
      <c r="W21" s="82" t="str">
        <f>HYPERLINK("https://www.youtube.com/watch?v=14KCckNbmvs")</f>
        <v>https://www.youtube.com/watch?v=14KCckNbmvs</v>
      </c>
      <c r="X21" s="80" t="s">
        <v>794</v>
      </c>
      <c r="Y21" s="80">
        <v>1</v>
      </c>
      <c r="Z21" s="84">
        <v>44001.75640046296</v>
      </c>
      <c r="AA21" s="84">
        <v>44001.75640046296</v>
      </c>
      <c r="AB21" s="80"/>
      <c r="AC21" s="80"/>
      <c r="AD21" s="80"/>
      <c r="AE21">
        <v>1</v>
      </c>
      <c r="AF21" s="79" t="str">
        <f>REPLACE(INDEX(GroupVertices[Group],MATCH(Edges[[#This Row],[Vertex 1]],GroupVertices[Vertex],0)),1,1,"")</f>
        <v>2</v>
      </c>
      <c r="AG21" s="79" t="str">
        <f>REPLACE(INDEX(GroupVertices[Group],MATCH(Edges[[#This Row],[Vertex 2]],GroupVertices[Vertex],0)),1,1,"")</f>
        <v>2</v>
      </c>
      <c r="AH21" s="48">
        <v>3</v>
      </c>
      <c r="AI21" s="49">
        <v>13.043478260869565</v>
      </c>
      <c r="AJ21" s="48">
        <v>0</v>
      </c>
      <c r="AK21" s="49">
        <v>0</v>
      </c>
      <c r="AL21" s="48">
        <v>0</v>
      </c>
      <c r="AM21" s="49">
        <v>0</v>
      </c>
      <c r="AN21" s="48">
        <v>20</v>
      </c>
      <c r="AO21" s="49">
        <v>86.95652173913044</v>
      </c>
      <c r="AP21" s="48">
        <v>23</v>
      </c>
    </row>
    <row r="22" spans="1:42" ht="15">
      <c r="A22" s="65" t="s">
        <v>214</v>
      </c>
      <c r="B22" s="65" t="s">
        <v>222</v>
      </c>
      <c r="C22" s="66" t="s">
        <v>1901</v>
      </c>
      <c r="D22" s="67">
        <v>3</v>
      </c>
      <c r="E22" s="68"/>
      <c r="F22" s="69">
        <v>50</v>
      </c>
      <c r="G22" s="66"/>
      <c r="H22" s="70"/>
      <c r="I22" s="71"/>
      <c r="J22" s="71"/>
      <c r="K22" s="34" t="s">
        <v>66</v>
      </c>
      <c r="L22" s="78">
        <v>22</v>
      </c>
      <c r="M22" s="78"/>
      <c r="N22" s="73"/>
      <c r="O22" s="80" t="s">
        <v>331</v>
      </c>
      <c r="P22" s="80" t="s">
        <v>333</v>
      </c>
      <c r="Q22" s="80" t="s">
        <v>352</v>
      </c>
      <c r="R22" s="80" t="s">
        <v>214</v>
      </c>
      <c r="S22" s="80" t="s">
        <v>555</v>
      </c>
      <c r="T22" s="82" t="str">
        <f>HYPERLINK("http://www.youtube.com/channel/UCFp1vaKzpfvoGai0vE5VJ0w")</f>
        <v>http://www.youtube.com/channel/UCFp1vaKzpfvoGai0vE5VJ0w</v>
      </c>
      <c r="U22" s="80" t="s">
        <v>676</v>
      </c>
      <c r="V22" s="80" t="s">
        <v>763</v>
      </c>
      <c r="W22" s="82" t="str">
        <f>HYPERLINK("https://www.youtube.com/watch?v=14KCckNbmvs")</f>
        <v>https://www.youtube.com/watch?v=14KCckNbmvs</v>
      </c>
      <c r="X22" s="80" t="s">
        <v>794</v>
      </c>
      <c r="Y22" s="80">
        <v>0</v>
      </c>
      <c r="Z22" s="84">
        <v>44002.97672453704</v>
      </c>
      <c r="AA22" s="84">
        <v>44002.97672453704</v>
      </c>
      <c r="AB22" s="80"/>
      <c r="AC22" s="80"/>
      <c r="AD22" s="80"/>
      <c r="AE22">
        <v>1</v>
      </c>
      <c r="AF22" s="79" t="str">
        <f>REPLACE(INDEX(GroupVertices[Group],MATCH(Edges[[#This Row],[Vertex 1]],GroupVertices[Vertex],0)),1,1,"")</f>
        <v>2</v>
      </c>
      <c r="AG22" s="79" t="str">
        <f>REPLACE(INDEX(GroupVertices[Group],MATCH(Edges[[#This Row],[Vertex 2]],GroupVertices[Vertex],0)),1,1,"")</f>
        <v>2</v>
      </c>
      <c r="AH22" s="48">
        <v>0</v>
      </c>
      <c r="AI22" s="49">
        <v>0</v>
      </c>
      <c r="AJ22" s="48">
        <v>0</v>
      </c>
      <c r="AK22" s="49">
        <v>0</v>
      </c>
      <c r="AL22" s="48">
        <v>0</v>
      </c>
      <c r="AM22" s="49">
        <v>0</v>
      </c>
      <c r="AN22" s="48">
        <v>4</v>
      </c>
      <c r="AO22" s="49">
        <v>100</v>
      </c>
      <c r="AP22" s="48">
        <v>4</v>
      </c>
    </row>
    <row r="23" spans="1:42" ht="15">
      <c r="A23" s="65" t="s">
        <v>222</v>
      </c>
      <c r="B23" s="65" t="s">
        <v>214</v>
      </c>
      <c r="C23" s="66" t="s">
        <v>1901</v>
      </c>
      <c r="D23" s="67">
        <v>3</v>
      </c>
      <c r="E23" s="68"/>
      <c r="F23" s="69">
        <v>50</v>
      </c>
      <c r="G23" s="66"/>
      <c r="H23" s="70"/>
      <c r="I23" s="71"/>
      <c r="J23" s="71"/>
      <c r="K23" s="34" t="s">
        <v>66</v>
      </c>
      <c r="L23" s="78">
        <v>23</v>
      </c>
      <c r="M23" s="78"/>
      <c r="N23" s="73"/>
      <c r="O23" s="80" t="s">
        <v>332</v>
      </c>
      <c r="P23" s="80" t="s">
        <v>198</v>
      </c>
      <c r="Q23" s="80" t="s">
        <v>353</v>
      </c>
      <c r="R23" s="80" t="s">
        <v>222</v>
      </c>
      <c r="S23" s="80" t="s">
        <v>563</v>
      </c>
      <c r="T23" s="82" t="str">
        <f>HYPERLINK("http://www.youtube.com/channel/UCHVkfQ6eBHYzyRh0LLjpNpg")</f>
        <v>http://www.youtube.com/channel/UCHVkfQ6eBHYzyRh0LLjpNpg</v>
      </c>
      <c r="U23" s="80"/>
      <c r="V23" s="80" t="s">
        <v>763</v>
      </c>
      <c r="W23" s="82" t="str">
        <f>HYPERLINK("https://www.youtube.com/watch?v=14KCckNbmvs")</f>
        <v>https://www.youtube.com/watch?v=14KCckNbmvs</v>
      </c>
      <c r="X23" s="80" t="s">
        <v>794</v>
      </c>
      <c r="Y23" s="80">
        <v>1</v>
      </c>
      <c r="Z23" s="84">
        <v>44001.856875</v>
      </c>
      <c r="AA23" s="84">
        <v>44001.856875</v>
      </c>
      <c r="AB23" s="80"/>
      <c r="AC23" s="80"/>
      <c r="AD23" s="80"/>
      <c r="AE23">
        <v>1</v>
      </c>
      <c r="AF23" s="79" t="str">
        <f>REPLACE(INDEX(GroupVertices[Group],MATCH(Edges[[#This Row],[Vertex 1]],GroupVertices[Vertex],0)),1,1,"")</f>
        <v>2</v>
      </c>
      <c r="AG23" s="79" t="str">
        <f>REPLACE(INDEX(GroupVertices[Group],MATCH(Edges[[#This Row],[Vertex 2]],GroupVertices[Vertex],0)),1,1,"")</f>
        <v>2</v>
      </c>
      <c r="AH23" s="48">
        <v>1</v>
      </c>
      <c r="AI23" s="49">
        <v>100</v>
      </c>
      <c r="AJ23" s="48">
        <v>0</v>
      </c>
      <c r="AK23" s="49">
        <v>0</v>
      </c>
      <c r="AL23" s="48">
        <v>0</v>
      </c>
      <c r="AM23" s="49">
        <v>0</v>
      </c>
      <c r="AN23" s="48">
        <v>0</v>
      </c>
      <c r="AO23" s="49">
        <v>0</v>
      </c>
      <c r="AP23" s="48">
        <v>1</v>
      </c>
    </row>
    <row r="24" spans="1:42" ht="15">
      <c r="A24" s="65" t="s">
        <v>214</v>
      </c>
      <c r="B24" s="65" t="s">
        <v>223</v>
      </c>
      <c r="C24" s="66" t="s">
        <v>1901</v>
      </c>
      <c r="D24" s="67">
        <v>3</v>
      </c>
      <c r="E24" s="68"/>
      <c r="F24" s="69">
        <v>50</v>
      </c>
      <c r="G24" s="66"/>
      <c r="H24" s="70"/>
      <c r="I24" s="71"/>
      <c r="J24" s="71"/>
      <c r="K24" s="34" t="s">
        <v>66</v>
      </c>
      <c r="L24" s="78">
        <v>24</v>
      </c>
      <c r="M24" s="78"/>
      <c r="N24" s="73"/>
      <c r="O24" s="80" t="s">
        <v>331</v>
      </c>
      <c r="P24" s="80" t="s">
        <v>333</v>
      </c>
      <c r="Q24" s="80" t="s">
        <v>354</v>
      </c>
      <c r="R24" s="80" t="s">
        <v>214</v>
      </c>
      <c r="S24" s="80" t="s">
        <v>555</v>
      </c>
      <c r="T24" s="82" t="str">
        <f>HYPERLINK("http://www.youtube.com/channel/UCFp1vaKzpfvoGai0vE5VJ0w")</f>
        <v>http://www.youtube.com/channel/UCFp1vaKzpfvoGai0vE5VJ0w</v>
      </c>
      <c r="U24" s="80" t="s">
        <v>677</v>
      </c>
      <c r="V24" s="80" t="s">
        <v>763</v>
      </c>
      <c r="W24" s="82" t="str">
        <f>HYPERLINK("https://www.youtube.com/watch?v=14KCckNbmvs")</f>
        <v>https://www.youtube.com/watch?v=14KCckNbmvs</v>
      </c>
      <c r="X24" s="80" t="s">
        <v>794</v>
      </c>
      <c r="Y24" s="80">
        <v>0</v>
      </c>
      <c r="Z24" s="84">
        <v>44002.9759837963</v>
      </c>
      <c r="AA24" s="84">
        <v>44002.9759837963</v>
      </c>
      <c r="AB24" s="80"/>
      <c r="AC24" s="80"/>
      <c r="AD24" s="80"/>
      <c r="AE24">
        <v>1</v>
      </c>
      <c r="AF24" s="79" t="str">
        <f>REPLACE(INDEX(GroupVertices[Group],MATCH(Edges[[#This Row],[Vertex 1]],GroupVertices[Vertex],0)),1,1,"")</f>
        <v>2</v>
      </c>
      <c r="AG24" s="79" t="str">
        <f>REPLACE(INDEX(GroupVertices[Group],MATCH(Edges[[#This Row],[Vertex 2]],GroupVertices[Vertex],0)),1,1,"")</f>
        <v>2</v>
      </c>
      <c r="AH24" s="48">
        <v>1</v>
      </c>
      <c r="AI24" s="49">
        <v>1.1764705882352942</v>
      </c>
      <c r="AJ24" s="48">
        <v>4</v>
      </c>
      <c r="AK24" s="49">
        <v>4.705882352941177</v>
      </c>
      <c r="AL24" s="48">
        <v>0</v>
      </c>
      <c r="AM24" s="49">
        <v>0</v>
      </c>
      <c r="AN24" s="48">
        <v>80</v>
      </c>
      <c r="AO24" s="49">
        <v>94.11764705882354</v>
      </c>
      <c r="AP24" s="48">
        <v>85</v>
      </c>
    </row>
    <row r="25" spans="1:42" ht="15">
      <c r="A25" s="65" t="s">
        <v>223</v>
      </c>
      <c r="B25" s="65" t="s">
        <v>214</v>
      </c>
      <c r="C25" s="66" t="s">
        <v>1901</v>
      </c>
      <c r="D25" s="67">
        <v>3</v>
      </c>
      <c r="E25" s="68"/>
      <c r="F25" s="69">
        <v>50</v>
      </c>
      <c r="G25" s="66"/>
      <c r="H25" s="70"/>
      <c r="I25" s="71"/>
      <c r="J25" s="71"/>
      <c r="K25" s="34" t="s">
        <v>66</v>
      </c>
      <c r="L25" s="78">
        <v>25</v>
      </c>
      <c r="M25" s="78"/>
      <c r="N25" s="73"/>
      <c r="O25" s="80" t="s">
        <v>332</v>
      </c>
      <c r="P25" s="80" t="s">
        <v>198</v>
      </c>
      <c r="Q25" s="80" t="s">
        <v>355</v>
      </c>
      <c r="R25" s="80" t="s">
        <v>223</v>
      </c>
      <c r="S25" s="80" t="s">
        <v>564</v>
      </c>
      <c r="T25" s="82" t="str">
        <f>HYPERLINK("http://www.youtube.com/channel/UCIOXfx8ziM1LrWylHIsrN0Q")</f>
        <v>http://www.youtube.com/channel/UCIOXfx8ziM1LrWylHIsrN0Q</v>
      </c>
      <c r="U25" s="80"/>
      <c r="V25" s="80" t="s">
        <v>763</v>
      </c>
      <c r="W25" s="82" t="str">
        <f>HYPERLINK("https://www.youtube.com/watch?v=14KCckNbmvs")</f>
        <v>https://www.youtube.com/watch?v=14KCckNbmvs</v>
      </c>
      <c r="X25" s="80" t="s">
        <v>794</v>
      </c>
      <c r="Y25" s="80">
        <v>0</v>
      </c>
      <c r="Z25" s="84">
        <v>44002.19975694444</v>
      </c>
      <c r="AA25" s="84">
        <v>44002.19975694444</v>
      </c>
      <c r="AB25" s="80"/>
      <c r="AC25" s="80"/>
      <c r="AD25" s="80"/>
      <c r="AE25">
        <v>1</v>
      </c>
      <c r="AF25" s="79" t="str">
        <f>REPLACE(INDEX(GroupVertices[Group],MATCH(Edges[[#This Row],[Vertex 1]],GroupVertices[Vertex],0)),1,1,"")</f>
        <v>2</v>
      </c>
      <c r="AG25" s="79" t="str">
        <f>REPLACE(INDEX(GroupVertices[Group],MATCH(Edges[[#This Row],[Vertex 2]],GroupVertices[Vertex],0)),1,1,"")</f>
        <v>2</v>
      </c>
      <c r="AH25" s="48">
        <v>0</v>
      </c>
      <c r="AI25" s="49">
        <v>0</v>
      </c>
      <c r="AJ25" s="48">
        <v>0</v>
      </c>
      <c r="AK25" s="49">
        <v>0</v>
      </c>
      <c r="AL25" s="48">
        <v>0</v>
      </c>
      <c r="AM25" s="49">
        <v>0</v>
      </c>
      <c r="AN25" s="48">
        <v>47</v>
      </c>
      <c r="AO25" s="49">
        <v>100</v>
      </c>
      <c r="AP25" s="48">
        <v>47</v>
      </c>
    </row>
    <row r="26" spans="1:42" ht="15">
      <c r="A26" s="65" t="s">
        <v>224</v>
      </c>
      <c r="B26" s="65" t="s">
        <v>225</v>
      </c>
      <c r="C26" s="66" t="s">
        <v>1901</v>
      </c>
      <c r="D26" s="67">
        <v>3</v>
      </c>
      <c r="E26" s="68"/>
      <c r="F26" s="69">
        <v>50</v>
      </c>
      <c r="G26" s="66"/>
      <c r="H26" s="70"/>
      <c r="I26" s="71"/>
      <c r="J26" s="71"/>
      <c r="K26" s="34" t="s">
        <v>66</v>
      </c>
      <c r="L26" s="78">
        <v>26</v>
      </c>
      <c r="M26" s="78"/>
      <c r="N26" s="73"/>
      <c r="O26" s="80" t="s">
        <v>331</v>
      </c>
      <c r="P26" s="80" t="s">
        <v>333</v>
      </c>
      <c r="Q26" s="80" t="s">
        <v>356</v>
      </c>
      <c r="R26" s="80" t="s">
        <v>224</v>
      </c>
      <c r="S26" s="80" t="s">
        <v>565</v>
      </c>
      <c r="T26" s="82" t="str">
        <f>HYPERLINK("http://www.youtube.com/channel/UCIUV3lP4RQEOqbY1funMH3w")</f>
        <v>http://www.youtube.com/channel/UCIUV3lP4RQEOqbY1funMH3w</v>
      </c>
      <c r="U26" s="80" t="s">
        <v>678</v>
      </c>
      <c r="V26" s="80" t="s">
        <v>764</v>
      </c>
      <c r="W26" s="82" t="str">
        <f>HYPERLINK("https://www.youtube.com/watch?v=IpwV3URrFOc")</f>
        <v>https://www.youtube.com/watch?v=IpwV3URrFOc</v>
      </c>
      <c r="X26" s="80" t="s">
        <v>794</v>
      </c>
      <c r="Y26" s="80">
        <v>0</v>
      </c>
      <c r="Z26" s="84">
        <v>44001.18981481482</v>
      </c>
      <c r="AA26" s="84">
        <v>44001.18981481482</v>
      </c>
      <c r="AB26" s="80"/>
      <c r="AC26" s="80"/>
      <c r="AD26" s="80"/>
      <c r="AE26">
        <v>1</v>
      </c>
      <c r="AF26" s="79" t="str">
        <f>REPLACE(INDEX(GroupVertices[Group],MATCH(Edges[[#This Row],[Vertex 1]],GroupVertices[Vertex],0)),1,1,"")</f>
        <v>3</v>
      </c>
      <c r="AG26" s="79" t="str">
        <f>REPLACE(INDEX(GroupVertices[Group],MATCH(Edges[[#This Row],[Vertex 2]],GroupVertices[Vertex],0)),1,1,"")</f>
        <v>3</v>
      </c>
      <c r="AH26" s="48">
        <v>1</v>
      </c>
      <c r="AI26" s="49">
        <v>25</v>
      </c>
      <c r="AJ26" s="48">
        <v>0</v>
      </c>
      <c r="AK26" s="49">
        <v>0</v>
      </c>
      <c r="AL26" s="48">
        <v>0</v>
      </c>
      <c r="AM26" s="49">
        <v>0</v>
      </c>
      <c r="AN26" s="48">
        <v>3</v>
      </c>
      <c r="AO26" s="49">
        <v>75</v>
      </c>
      <c r="AP26" s="48">
        <v>4</v>
      </c>
    </row>
    <row r="27" spans="1:42" ht="15">
      <c r="A27" s="65" t="s">
        <v>225</v>
      </c>
      <c r="B27" s="65" t="s">
        <v>224</v>
      </c>
      <c r="C27" s="66" t="s">
        <v>1901</v>
      </c>
      <c r="D27" s="67">
        <v>3</v>
      </c>
      <c r="E27" s="68"/>
      <c r="F27" s="69">
        <v>50</v>
      </c>
      <c r="G27" s="66"/>
      <c r="H27" s="70"/>
      <c r="I27" s="71"/>
      <c r="J27" s="71"/>
      <c r="K27" s="34" t="s">
        <v>66</v>
      </c>
      <c r="L27" s="78">
        <v>27</v>
      </c>
      <c r="M27" s="78"/>
      <c r="N27" s="73"/>
      <c r="O27" s="80" t="s">
        <v>332</v>
      </c>
      <c r="P27" s="80" t="s">
        <v>198</v>
      </c>
      <c r="Q27" s="80" t="s">
        <v>357</v>
      </c>
      <c r="R27" s="80" t="s">
        <v>225</v>
      </c>
      <c r="S27" s="80" t="s">
        <v>566</v>
      </c>
      <c r="T27" s="82" t="str">
        <f>HYPERLINK("http://www.youtube.com/channel/UCQgAbIWD4HdKm-HJ91VvZuw")</f>
        <v>http://www.youtube.com/channel/UCQgAbIWD4HdKm-HJ91VvZuw</v>
      </c>
      <c r="U27" s="80"/>
      <c r="V27" s="80" t="s">
        <v>764</v>
      </c>
      <c r="W27" s="82" t="str">
        <f>HYPERLINK("https://www.youtube.com/watch?v=IpwV3URrFOc")</f>
        <v>https://www.youtube.com/watch?v=IpwV3URrFOc</v>
      </c>
      <c r="X27" s="80" t="s">
        <v>794</v>
      </c>
      <c r="Y27" s="80">
        <v>0</v>
      </c>
      <c r="Z27" s="84">
        <v>44000.75361111111</v>
      </c>
      <c r="AA27" s="84">
        <v>44000.75361111111</v>
      </c>
      <c r="AB27" s="80"/>
      <c r="AC27" s="80"/>
      <c r="AD27" s="80"/>
      <c r="AE27">
        <v>1</v>
      </c>
      <c r="AF27" s="79" t="str">
        <f>REPLACE(INDEX(GroupVertices[Group],MATCH(Edges[[#This Row],[Vertex 1]],GroupVertices[Vertex],0)),1,1,"")</f>
        <v>3</v>
      </c>
      <c r="AG27" s="79" t="str">
        <f>REPLACE(INDEX(GroupVertices[Group],MATCH(Edges[[#This Row],[Vertex 2]],GroupVertices[Vertex],0)),1,1,"")</f>
        <v>3</v>
      </c>
      <c r="AH27" s="48">
        <v>1</v>
      </c>
      <c r="AI27" s="49">
        <v>50</v>
      </c>
      <c r="AJ27" s="48">
        <v>0</v>
      </c>
      <c r="AK27" s="49">
        <v>0</v>
      </c>
      <c r="AL27" s="48">
        <v>0</v>
      </c>
      <c r="AM27" s="49">
        <v>0</v>
      </c>
      <c r="AN27" s="48">
        <v>1</v>
      </c>
      <c r="AO27" s="49">
        <v>50</v>
      </c>
      <c r="AP27" s="48">
        <v>2</v>
      </c>
    </row>
    <row r="28" spans="1:42" ht="15">
      <c r="A28" s="65" t="s">
        <v>226</v>
      </c>
      <c r="B28" s="65" t="s">
        <v>227</v>
      </c>
      <c r="C28" s="66" t="s">
        <v>1901</v>
      </c>
      <c r="D28" s="67">
        <v>3</v>
      </c>
      <c r="E28" s="68"/>
      <c r="F28" s="69">
        <v>50</v>
      </c>
      <c r="G28" s="66"/>
      <c r="H28" s="70"/>
      <c r="I28" s="71"/>
      <c r="J28" s="71"/>
      <c r="K28" s="34" t="s">
        <v>65</v>
      </c>
      <c r="L28" s="78">
        <v>28</v>
      </c>
      <c r="M28" s="78"/>
      <c r="N28" s="73"/>
      <c r="O28" s="80" t="s">
        <v>331</v>
      </c>
      <c r="P28" s="80" t="s">
        <v>333</v>
      </c>
      <c r="Q28" s="80" t="s">
        <v>358</v>
      </c>
      <c r="R28" s="80" t="s">
        <v>226</v>
      </c>
      <c r="S28" s="80" t="s">
        <v>567</v>
      </c>
      <c r="T28" s="82" t="str">
        <f>HYPERLINK("http://www.youtube.com/channel/UCHuFeq6O8IE77zuClBDkATg")</f>
        <v>http://www.youtube.com/channel/UCHuFeq6O8IE77zuClBDkATg</v>
      </c>
      <c r="U28" s="80" t="s">
        <v>679</v>
      </c>
      <c r="V28" s="80" t="s">
        <v>765</v>
      </c>
      <c r="W28" s="82" t="str">
        <f>HYPERLINK("https://www.youtube.com/watch?v=Ieh0EhJzJgo")</f>
        <v>https://www.youtube.com/watch?v=Ieh0EhJzJgo</v>
      </c>
      <c r="X28" s="80" t="s">
        <v>794</v>
      </c>
      <c r="Y28" s="80">
        <v>0</v>
      </c>
      <c r="Z28" s="84">
        <v>44003.45829861111</v>
      </c>
      <c r="AA28" s="84">
        <v>44003.45829861111</v>
      </c>
      <c r="AB28" s="80"/>
      <c r="AC28" s="80"/>
      <c r="AD28" s="80"/>
      <c r="AE28">
        <v>1</v>
      </c>
      <c r="AF28" s="79" t="str">
        <f>REPLACE(INDEX(GroupVertices[Group],MATCH(Edges[[#This Row],[Vertex 1]],GroupVertices[Vertex],0)),1,1,"")</f>
        <v>7</v>
      </c>
      <c r="AG28" s="79" t="str">
        <f>REPLACE(INDEX(GroupVertices[Group],MATCH(Edges[[#This Row],[Vertex 2]],GroupVertices[Vertex],0)),1,1,"")</f>
        <v>7</v>
      </c>
      <c r="AH28" s="48">
        <v>0</v>
      </c>
      <c r="AI28" s="49">
        <v>0</v>
      </c>
      <c r="AJ28" s="48">
        <v>0</v>
      </c>
      <c r="AK28" s="49">
        <v>0</v>
      </c>
      <c r="AL28" s="48">
        <v>0</v>
      </c>
      <c r="AM28" s="49">
        <v>0</v>
      </c>
      <c r="AN28" s="48">
        <v>24</v>
      </c>
      <c r="AO28" s="49">
        <v>100</v>
      </c>
      <c r="AP28" s="48">
        <v>24</v>
      </c>
    </row>
    <row r="29" spans="1:42" ht="15">
      <c r="A29" s="65" t="s">
        <v>227</v>
      </c>
      <c r="B29" s="65" t="s">
        <v>328</v>
      </c>
      <c r="C29" s="66" t="s">
        <v>1901</v>
      </c>
      <c r="D29" s="67">
        <v>3</v>
      </c>
      <c r="E29" s="68"/>
      <c r="F29" s="69">
        <v>50</v>
      </c>
      <c r="G29" s="66"/>
      <c r="H29" s="70"/>
      <c r="I29" s="71"/>
      <c r="J29" s="71"/>
      <c r="K29" s="34" t="s">
        <v>65</v>
      </c>
      <c r="L29" s="78">
        <v>29</v>
      </c>
      <c r="M29" s="78"/>
      <c r="N29" s="73"/>
      <c r="O29" s="80" t="s">
        <v>332</v>
      </c>
      <c r="P29" s="80" t="s">
        <v>198</v>
      </c>
      <c r="Q29" s="80" t="s">
        <v>359</v>
      </c>
      <c r="R29" s="80" t="s">
        <v>227</v>
      </c>
      <c r="S29" s="80" t="s">
        <v>568</v>
      </c>
      <c r="T29" s="82" t="str">
        <f>HYPERLINK("http://www.youtube.com/channel/UCMHwup1V_k48AWCCFNe2yqQ")</f>
        <v>http://www.youtube.com/channel/UCMHwup1V_k48AWCCFNe2yqQ</v>
      </c>
      <c r="U29" s="80"/>
      <c r="V29" s="80" t="s">
        <v>765</v>
      </c>
      <c r="W29" s="82" t="str">
        <f>HYPERLINK("https://www.youtube.com/watch?v=Ieh0EhJzJgo")</f>
        <v>https://www.youtube.com/watch?v=Ieh0EhJzJgo</v>
      </c>
      <c r="X29" s="80" t="s">
        <v>794</v>
      </c>
      <c r="Y29" s="80">
        <v>2</v>
      </c>
      <c r="Z29" s="84">
        <v>44001.009305555555</v>
      </c>
      <c r="AA29" s="84">
        <v>44001.009305555555</v>
      </c>
      <c r="AB29" s="80"/>
      <c r="AC29" s="80"/>
      <c r="AD29" s="80"/>
      <c r="AE29">
        <v>1</v>
      </c>
      <c r="AF29" s="79" t="str">
        <f>REPLACE(INDEX(GroupVertices[Group],MATCH(Edges[[#This Row],[Vertex 1]],GroupVertices[Vertex],0)),1,1,"")</f>
        <v>7</v>
      </c>
      <c r="AG29" s="79" t="str">
        <f>REPLACE(INDEX(GroupVertices[Group],MATCH(Edges[[#This Row],[Vertex 2]],GroupVertices[Vertex],0)),1,1,"")</f>
        <v>7</v>
      </c>
      <c r="AH29" s="48">
        <v>2</v>
      </c>
      <c r="AI29" s="49">
        <v>4.761904761904762</v>
      </c>
      <c r="AJ29" s="48">
        <v>0</v>
      </c>
      <c r="AK29" s="49">
        <v>0</v>
      </c>
      <c r="AL29" s="48">
        <v>0</v>
      </c>
      <c r="AM29" s="49">
        <v>0</v>
      </c>
      <c r="AN29" s="48">
        <v>40</v>
      </c>
      <c r="AO29" s="49">
        <v>95.23809523809524</v>
      </c>
      <c r="AP29" s="48">
        <v>42</v>
      </c>
    </row>
    <row r="30" spans="1:42" ht="15">
      <c r="A30" s="65" t="s">
        <v>228</v>
      </c>
      <c r="B30" s="65" t="s">
        <v>229</v>
      </c>
      <c r="C30" s="66" t="s">
        <v>1901</v>
      </c>
      <c r="D30" s="67">
        <v>3</v>
      </c>
      <c r="E30" s="68"/>
      <c r="F30" s="69">
        <v>50</v>
      </c>
      <c r="G30" s="66"/>
      <c r="H30" s="70"/>
      <c r="I30" s="71"/>
      <c r="J30" s="71"/>
      <c r="K30" s="34" t="s">
        <v>66</v>
      </c>
      <c r="L30" s="78">
        <v>30</v>
      </c>
      <c r="M30" s="78"/>
      <c r="N30" s="73"/>
      <c r="O30" s="80" t="s">
        <v>331</v>
      </c>
      <c r="P30" s="80" t="s">
        <v>333</v>
      </c>
      <c r="Q30" s="80" t="s">
        <v>360</v>
      </c>
      <c r="R30" s="80" t="s">
        <v>228</v>
      </c>
      <c r="S30" s="80" t="s">
        <v>569</v>
      </c>
      <c r="T30" s="82" t="str">
        <f>HYPERLINK("http://www.youtube.com/channel/UCz4eajnBYLumJR1qQj2SR9w")</f>
        <v>http://www.youtube.com/channel/UCz4eajnBYLumJR1qQj2SR9w</v>
      </c>
      <c r="U30" s="80" t="s">
        <v>680</v>
      </c>
      <c r="V30" s="80" t="s">
        <v>766</v>
      </c>
      <c r="W30" s="82" t="str">
        <f>HYPERLINK("https://www.youtube.com/watch?v=FM4zsUFg_iE")</f>
        <v>https://www.youtube.com/watch?v=FM4zsUFg_iE</v>
      </c>
      <c r="X30" s="80" t="s">
        <v>794</v>
      </c>
      <c r="Y30" s="80">
        <v>0</v>
      </c>
      <c r="Z30" s="84">
        <v>44001.80059027778</v>
      </c>
      <c r="AA30" s="84">
        <v>44001.80059027778</v>
      </c>
      <c r="AB30" s="80"/>
      <c r="AC30" s="80"/>
      <c r="AD30" s="80"/>
      <c r="AE30">
        <v>1</v>
      </c>
      <c r="AF30" s="79" t="str">
        <f>REPLACE(INDEX(GroupVertices[Group],MATCH(Edges[[#This Row],[Vertex 1]],GroupVertices[Vertex],0)),1,1,"")</f>
        <v>19</v>
      </c>
      <c r="AG30" s="79" t="str">
        <f>REPLACE(INDEX(GroupVertices[Group],MATCH(Edges[[#This Row],[Vertex 2]],GroupVertices[Vertex],0)),1,1,"")</f>
        <v>19</v>
      </c>
      <c r="AH30" s="48">
        <v>0</v>
      </c>
      <c r="AI30" s="49">
        <v>0</v>
      </c>
      <c r="AJ30" s="48">
        <v>0</v>
      </c>
      <c r="AK30" s="49">
        <v>0</v>
      </c>
      <c r="AL30" s="48">
        <v>0</v>
      </c>
      <c r="AM30" s="49">
        <v>0</v>
      </c>
      <c r="AN30" s="48">
        <v>9</v>
      </c>
      <c r="AO30" s="49">
        <v>100</v>
      </c>
      <c r="AP30" s="48">
        <v>9</v>
      </c>
    </row>
    <row r="31" spans="1:42" ht="15">
      <c r="A31" s="65" t="s">
        <v>229</v>
      </c>
      <c r="B31" s="65" t="s">
        <v>228</v>
      </c>
      <c r="C31" s="66" t="s">
        <v>1901</v>
      </c>
      <c r="D31" s="67">
        <v>3</v>
      </c>
      <c r="E31" s="68"/>
      <c r="F31" s="69">
        <v>50</v>
      </c>
      <c r="G31" s="66"/>
      <c r="H31" s="70"/>
      <c r="I31" s="71"/>
      <c r="J31" s="71"/>
      <c r="K31" s="34" t="s">
        <v>66</v>
      </c>
      <c r="L31" s="78">
        <v>31</v>
      </c>
      <c r="M31" s="78"/>
      <c r="N31" s="73"/>
      <c r="O31" s="80" t="s">
        <v>332</v>
      </c>
      <c r="P31" s="80" t="s">
        <v>198</v>
      </c>
      <c r="Q31" s="80" t="s">
        <v>361</v>
      </c>
      <c r="R31" s="80" t="s">
        <v>229</v>
      </c>
      <c r="S31" s="80" t="s">
        <v>570</v>
      </c>
      <c r="T31" s="82" t="str">
        <f>HYPERLINK("http://www.youtube.com/channel/UCTM43tLnMPEe1n93r_hJIJQ")</f>
        <v>http://www.youtube.com/channel/UCTM43tLnMPEe1n93r_hJIJQ</v>
      </c>
      <c r="U31" s="80"/>
      <c r="V31" s="80" t="s">
        <v>766</v>
      </c>
      <c r="W31" s="82" t="str">
        <f>HYPERLINK("https://www.youtube.com/watch?v=FM4zsUFg_iE")</f>
        <v>https://www.youtube.com/watch?v=FM4zsUFg_iE</v>
      </c>
      <c r="X31" s="80" t="s">
        <v>794</v>
      </c>
      <c r="Y31" s="80">
        <v>1</v>
      </c>
      <c r="Z31" s="84">
        <v>44001.77322916667</v>
      </c>
      <c r="AA31" s="84">
        <v>44001.77322916667</v>
      </c>
      <c r="AB31" s="80"/>
      <c r="AC31" s="80"/>
      <c r="AD31" s="80"/>
      <c r="AE31">
        <v>1</v>
      </c>
      <c r="AF31" s="79" t="str">
        <f>REPLACE(INDEX(GroupVertices[Group],MATCH(Edges[[#This Row],[Vertex 1]],GroupVertices[Vertex],0)),1,1,"")</f>
        <v>19</v>
      </c>
      <c r="AG31" s="79" t="str">
        <f>REPLACE(INDEX(GroupVertices[Group],MATCH(Edges[[#This Row],[Vertex 2]],GroupVertices[Vertex],0)),1,1,"")</f>
        <v>19</v>
      </c>
      <c r="AH31" s="48">
        <v>0</v>
      </c>
      <c r="AI31" s="49">
        <v>0</v>
      </c>
      <c r="AJ31" s="48">
        <v>0</v>
      </c>
      <c r="AK31" s="49">
        <v>0</v>
      </c>
      <c r="AL31" s="48">
        <v>0</v>
      </c>
      <c r="AM31" s="49">
        <v>0</v>
      </c>
      <c r="AN31" s="48">
        <v>4</v>
      </c>
      <c r="AO31" s="49">
        <v>100</v>
      </c>
      <c r="AP31" s="48">
        <v>4</v>
      </c>
    </row>
    <row r="32" spans="1:42" ht="15">
      <c r="A32" s="65" t="s">
        <v>228</v>
      </c>
      <c r="B32" s="65" t="s">
        <v>230</v>
      </c>
      <c r="C32" s="66" t="s">
        <v>1901</v>
      </c>
      <c r="D32" s="67">
        <v>3</v>
      </c>
      <c r="E32" s="68"/>
      <c r="F32" s="69">
        <v>50</v>
      </c>
      <c r="G32" s="66"/>
      <c r="H32" s="70"/>
      <c r="I32" s="71"/>
      <c r="J32" s="71"/>
      <c r="K32" s="34" t="s">
        <v>66</v>
      </c>
      <c r="L32" s="78">
        <v>32</v>
      </c>
      <c r="M32" s="78"/>
      <c r="N32" s="73"/>
      <c r="O32" s="80" t="s">
        <v>331</v>
      </c>
      <c r="P32" s="80" t="s">
        <v>333</v>
      </c>
      <c r="Q32" s="80" t="s">
        <v>362</v>
      </c>
      <c r="R32" s="80" t="s">
        <v>228</v>
      </c>
      <c r="S32" s="80" t="s">
        <v>569</v>
      </c>
      <c r="T32" s="82" t="str">
        <f>HYPERLINK("http://www.youtube.com/channel/UCz4eajnBYLumJR1qQj2SR9w")</f>
        <v>http://www.youtube.com/channel/UCz4eajnBYLumJR1qQj2SR9w</v>
      </c>
      <c r="U32" s="80" t="s">
        <v>681</v>
      </c>
      <c r="V32" s="80" t="s">
        <v>766</v>
      </c>
      <c r="W32" s="82" t="str">
        <f>HYPERLINK("https://www.youtube.com/watch?v=FM4zsUFg_iE")</f>
        <v>https://www.youtube.com/watch?v=FM4zsUFg_iE</v>
      </c>
      <c r="X32" s="80" t="s">
        <v>794</v>
      </c>
      <c r="Y32" s="80">
        <v>1</v>
      </c>
      <c r="Z32" s="84">
        <v>44001.80087962963</v>
      </c>
      <c r="AA32" s="84">
        <v>44001.80087962963</v>
      </c>
      <c r="AB32" s="80"/>
      <c r="AC32" s="80"/>
      <c r="AD32" s="80"/>
      <c r="AE32">
        <v>1</v>
      </c>
      <c r="AF32" s="79" t="str">
        <f>REPLACE(INDEX(GroupVertices[Group],MATCH(Edges[[#This Row],[Vertex 1]],GroupVertices[Vertex],0)),1,1,"")</f>
        <v>19</v>
      </c>
      <c r="AG32" s="79" t="str">
        <f>REPLACE(INDEX(GroupVertices[Group],MATCH(Edges[[#This Row],[Vertex 2]],GroupVertices[Vertex],0)),1,1,"")</f>
        <v>19</v>
      </c>
      <c r="AH32" s="48">
        <v>0</v>
      </c>
      <c r="AI32" s="49">
        <v>0</v>
      </c>
      <c r="AJ32" s="48">
        <v>0</v>
      </c>
      <c r="AK32" s="49">
        <v>0</v>
      </c>
      <c r="AL32" s="48">
        <v>0</v>
      </c>
      <c r="AM32" s="49">
        <v>0</v>
      </c>
      <c r="AN32" s="48">
        <v>6</v>
      </c>
      <c r="AO32" s="49">
        <v>100</v>
      </c>
      <c r="AP32" s="48">
        <v>6</v>
      </c>
    </row>
    <row r="33" spans="1:42" ht="15">
      <c r="A33" s="65" t="s">
        <v>230</v>
      </c>
      <c r="B33" s="65" t="s">
        <v>228</v>
      </c>
      <c r="C33" s="66" t="s">
        <v>1901</v>
      </c>
      <c r="D33" s="67">
        <v>3</v>
      </c>
      <c r="E33" s="68"/>
      <c r="F33" s="69">
        <v>50</v>
      </c>
      <c r="G33" s="66"/>
      <c r="H33" s="70"/>
      <c r="I33" s="71"/>
      <c r="J33" s="71"/>
      <c r="K33" s="34" t="s">
        <v>66</v>
      </c>
      <c r="L33" s="78">
        <v>33</v>
      </c>
      <c r="M33" s="78"/>
      <c r="N33" s="73"/>
      <c r="O33" s="80" t="s">
        <v>332</v>
      </c>
      <c r="P33" s="80" t="s">
        <v>198</v>
      </c>
      <c r="Q33" s="80" t="s">
        <v>363</v>
      </c>
      <c r="R33" s="80" t="s">
        <v>230</v>
      </c>
      <c r="S33" s="80" t="s">
        <v>571</v>
      </c>
      <c r="T33" s="82" t="str">
        <f>HYPERLINK("http://www.youtube.com/channel/UCh_KxM9jaD6DCzneVuwjXNA")</f>
        <v>http://www.youtube.com/channel/UCh_KxM9jaD6DCzneVuwjXNA</v>
      </c>
      <c r="U33" s="80"/>
      <c r="V33" s="80" t="s">
        <v>766</v>
      </c>
      <c r="W33" s="82" t="str">
        <f>HYPERLINK("https://www.youtube.com/watch?v=FM4zsUFg_iE")</f>
        <v>https://www.youtube.com/watch?v=FM4zsUFg_iE</v>
      </c>
      <c r="X33" s="80" t="s">
        <v>794</v>
      </c>
      <c r="Y33" s="80">
        <v>1</v>
      </c>
      <c r="Z33" s="84">
        <v>44001.78270833333</v>
      </c>
      <c r="AA33" s="84">
        <v>44001.78270833333</v>
      </c>
      <c r="AB33" s="80"/>
      <c r="AC33" s="80"/>
      <c r="AD33" s="80"/>
      <c r="AE33">
        <v>1</v>
      </c>
      <c r="AF33" s="79" t="str">
        <f>REPLACE(INDEX(GroupVertices[Group],MATCH(Edges[[#This Row],[Vertex 1]],GroupVertices[Vertex],0)),1,1,"")</f>
        <v>19</v>
      </c>
      <c r="AG33" s="79" t="str">
        <f>REPLACE(INDEX(GroupVertices[Group],MATCH(Edges[[#This Row],[Vertex 2]],GroupVertices[Vertex],0)),1,1,"")</f>
        <v>19</v>
      </c>
      <c r="AH33" s="48">
        <v>0</v>
      </c>
      <c r="AI33" s="49">
        <v>0</v>
      </c>
      <c r="AJ33" s="48">
        <v>0</v>
      </c>
      <c r="AK33" s="49">
        <v>0</v>
      </c>
      <c r="AL33" s="48">
        <v>0</v>
      </c>
      <c r="AM33" s="49">
        <v>0</v>
      </c>
      <c r="AN33" s="48">
        <v>15</v>
      </c>
      <c r="AO33" s="49">
        <v>100</v>
      </c>
      <c r="AP33" s="48">
        <v>15</v>
      </c>
    </row>
    <row r="34" spans="1:42" ht="15">
      <c r="A34" s="65" t="s">
        <v>231</v>
      </c>
      <c r="B34" s="65" t="s">
        <v>232</v>
      </c>
      <c r="C34" s="66" t="s">
        <v>1901</v>
      </c>
      <c r="D34" s="67">
        <v>3</v>
      </c>
      <c r="E34" s="68"/>
      <c r="F34" s="69">
        <v>50</v>
      </c>
      <c r="G34" s="66"/>
      <c r="H34" s="70"/>
      <c r="I34" s="71"/>
      <c r="J34" s="71"/>
      <c r="K34" s="34" t="s">
        <v>66</v>
      </c>
      <c r="L34" s="78">
        <v>34</v>
      </c>
      <c r="M34" s="78"/>
      <c r="N34" s="73"/>
      <c r="O34" s="80" t="s">
        <v>331</v>
      </c>
      <c r="P34" s="80" t="s">
        <v>333</v>
      </c>
      <c r="Q34" s="80" t="s">
        <v>364</v>
      </c>
      <c r="R34" s="80" t="s">
        <v>231</v>
      </c>
      <c r="S34" s="80" t="s">
        <v>572</v>
      </c>
      <c r="T34" s="82" t="str">
        <f>HYPERLINK("http://www.youtube.com/channel/UCR5WT6Lkv9pdX_xsvQ6YyDg")</f>
        <v>http://www.youtube.com/channel/UCR5WT6Lkv9pdX_xsvQ6YyDg</v>
      </c>
      <c r="U34" s="80" t="s">
        <v>682</v>
      </c>
      <c r="V34" s="80" t="s">
        <v>767</v>
      </c>
      <c r="W34" s="82" t="str">
        <f>HYPERLINK("https://www.youtube.com/watch?v=6vJIAJNTdG0")</f>
        <v>https://www.youtube.com/watch?v=6vJIAJNTdG0</v>
      </c>
      <c r="X34" s="80" t="s">
        <v>794</v>
      </c>
      <c r="Y34" s="80">
        <v>1</v>
      </c>
      <c r="Z34" s="84">
        <v>44002.69060185185</v>
      </c>
      <c r="AA34" s="84">
        <v>44002.69060185185</v>
      </c>
      <c r="AB34" s="80"/>
      <c r="AC34" s="80"/>
      <c r="AD34" s="80"/>
      <c r="AE34">
        <v>1</v>
      </c>
      <c r="AF34" s="79" t="str">
        <f>REPLACE(INDEX(GroupVertices[Group],MATCH(Edges[[#This Row],[Vertex 1]],GroupVertices[Vertex],0)),1,1,"")</f>
        <v>8</v>
      </c>
      <c r="AG34" s="79" t="str">
        <f>REPLACE(INDEX(GroupVertices[Group],MATCH(Edges[[#This Row],[Vertex 2]],GroupVertices[Vertex],0)),1,1,"")</f>
        <v>8</v>
      </c>
      <c r="AH34" s="48">
        <v>0</v>
      </c>
      <c r="AI34" s="49">
        <v>0</v>
      </c>
      <c r="AJ34" s="48">
        <v>0</v>
      </c>
      <c r="AK34" s="49">
        <v>0</v>
      </c>
      <c r="AL34" s="48">
        <v>0</v>
      </c>
      <c r="AM34" s="49">
        <v>0</v>
      </c>
      <c r="AN34" s="48">
        <v>22</v>
      </c>
      <c r="AO34" s="49">
        <v>100</v>
      </c>
      <c r="AP34" s="48">
        <v>22</v>
      </c>
    </row>
    <row r="35" spans="1:42" ht="15">
      <c r="A35" s="65" t="s">
        <v>232</v>
      </c>
      <c r="B35" s="65" t="s">
        <v>231</v>
      </c>
      <c r="C35" s="66" t="s">
        <v>1901</v>
      </c>
      <c r="D35" s="67">
        <v>3</v>
      </c>
      <c r="E35" s="68"/>
      <c r="F35" s="69">
        <v>50</v>
      </c>
      <c r="G35" s="66"/>
      <c r="H35" s="70"/>
      <c r="I35" s="71"/>
      <c r="J35" s="71"/>
      <c r="K35" s="34" t="s">
        <v>66</v>
      </c>
      <c r="L35" s="78">
        <v>35</v>
      </c>
      <c r="M35" s="78"/>
      <c r="N35" s="73"/>
      <c r="O35" s="80" t="s">
        <v>332</v>
      </c>
      <c r="P35" s="80" t="s">
        <v>198</v>
      </c>
      <c r="Q35" s="80" t="s">
        <v>365</v>
      </c>
      <c r="R35" s="80" t="s">
        <v>232</v>
      </c>
      <c r="S35" s="80" t="s">
        <v>573</v>
      </c>
      <c r="T35" s="82" t="str">
        <f>HYPERLINK("http://www.youtube.com/channel/UCJNf_zUjSFMnCJSjjr2I2cw")</f>
        <v>http://www.youtube.com/channel/UCJNf_zUjSFMnCJSjjr2I2cw</v>
      </c>
      <c r="U35" s="80"/>
      <c r="V35" s="80" t="s">
        <v>767</v>
      </c>
      <c r="W35" s="82" t="str">
        <f>HYPERLINK("https://www.youtube.com/watch?v=6vJIAJNTdG0")</f>
        <v>https://www.youtube.com/watch?v=6vJIAJNTdG0</v>
      </c>
      <c r="X35" s="80" t="s">
        <v>794</v>
      </c>
      <c r="Y35" s="80">
        <v>1</v>
      </c>
      <c r="Z35" s="84">
        <v>44002.646840277775</v>
      </c>
      <c r="AA35" s="84">
        <v>44002.646840277775</v>
      </c>
      <c r="AB35" s="80"/>
      <c r="AC35" s="80"/>
      <c r="AD35" s="80"/>
      <c r="AE35">
        <v>1</v>
      </c>
      <c r="AF35" s="79" t="str">
        <f>REPLACE(INDEX(GroupVertices[Group],MATCH(Edges[[#This Row],[Vertex 1]],GroupVertices[Vertex],0)),1,1,"")</f>
        <v>8</v>
      </c>
      <c r="AG35" s="79" t="str">
        <f>REPLACE(INDEX(GroupVertices[Group],MATCH(Edges[[#This Row],[Vertex 2]],GroupVertices[Vertex],0)),1,1,"")</f>
        <v>8</v>
      </c>
      <c r="AH35" s="48">
        <v>0</v>
      </c>
      <c r="AI35" s="49">
        <v>0</v>
      </c>
      <c r="AJ35" s="48">
        <v>0</v>
      </c>
      <c r="AK35" s="49">
        <v>0</v>
      </c>
      <c r="AL35" s="48">
        <v>0</v>
      </c>
      <c r="AM35" s="49">
        <v>0</v>
      </c>
      <c r="AN35" s="48">
        <v>10</v>
      </c>
      <c r="AO35" s="49">
        <v>100</v>
      </c>
      <c r="AP35" s="48">
        <v>10</v>
      </c>
    </row>
    <row r="36" spans="1:42" ht="15">
      <c r="A36" s="65" t="s">
        <v>231</v>
      </c>
      <c r="B36" s="65" t="s">
        <v>233</v>
      </c>
      <c r="C36" s="66" t="s">
        <v>1900</v>
      </c>
      <c r="D36" s="67">
        <v>10</v>
      </c>
      <c r="E36" s="68"/>
      <c r="F36" s="69">
        <v>20</v>
      </c>
      <c r="G36" s="66"/>
      <c r="H36" s="70"/>
      <c r="I36" s="71"/>
      <c r="J36" s="71"/>
      <c r="K36" s="34" t="s">
        <v>66</v>
      </c>
      <c r="L36" s="78">
        <v>36</v>
      </c>
      <c r="M36" s="78"/>
      <c r="N36" s="73"/>
      <c r="O36" s="80" t="s">
        <v>331</v>
      </c>
      <c r="P36" s="80" t="s">
        <v>333</v>
      </c>
      <c r="Q36" s="80" t="s">
        <v>366</v>
      </c>
      <c r="R36" s="80" t="s">
        <v>231</v>
      </c>
      <c r="S36" s="80" t="s">
        <v>572</v>
      </c>
      <c r="T36" s="82" t="str">
        <f>HYPERLINK("http://www.youtube.com/channel/UCR5WT6Lkv9pdX_xsvQ6YyDg")</f>
        <v>http://www.youtube.com/channel/UCR5WT6Lkv9pdX_xsvQ6YyDg</v>
      </c>
      <c r="U36" s="80" t="s">
        <v>683</v>
      </c>
      <c r="V36" s="80" t="s">
        <v>767</v>
      </c>
      <c r="W36" s="82" t="str">
        <f>HYPERLINK("https://www.youtube.com/watch?v=6vJIAJNTdG0")</f>
        <v>https://www.youtube.com/watch?v=6vJIAJNTdG0</v>
      </c>
      <c r="X36" s="80" t="s">
        <v>794</v>
      </c>
      <c r="Y36" s="80">
        <v>1</v>
      </c>
      <c r="Z36" s="84">
        <v>44003.16820601852</v>
      </c>
      <c r="AA36" s="84">
        <v>44003.16820601852</v>
      </c>
      <c r="AB36" s="80"/>
      <c r="AC36" s="80"/>
      <c r="AD36" s="80"/>
      <c r="AE36">
        <v>2</v>
      </c>
      <c r="AF36" s="79" t="str">
        <f>REPLACE(INDEX(GroupVertices[Group],MATCH(Edges[[#This Row],[Vertex 1]],GroupVertices[Vertex],0)),1,1,"")</f>
        <v>8</v>
      </c>
      <c r="AG36" s="79" t="str">
        <f>REPLACE(INDEX(GroupVertices[Group],MATCH(Edges[[#This Row],[Vertex 2]],GroupVertices[Vertex],0)),1,1,"")</f>
        <v>8</v>
      </c>
      <c r="AH36" s="48">
        <v>4</v>
      </c>
      <c r="AI36" s="49">
        <v>33.333333333333336</v>
      </c>
      <c r="AJ36" s="48">
        <v>0</v>
      </c>
      <c r="AK36" s="49">
        <v>0</v>
      </c>
      <c r="AL36" s="48">
        <v>0</v>
      </c>
      <c r="AM36" s="49">
        <v>0</v>
      </c>
      <c r="AN36" s="48">
        <v>8</v>
      </c>
      <c r="AO36" s="49">
        <v>66.66666666666667</v>
      </c>
      <c r="AP36" s="48">
        <v>12</v>
      </c>
    </row>
    <row r="37" spans="1:42" ht="15">
      <c r="A37" s="65" t="s">
        <v>231</v>
      </c>
      <c r="B37" s="65" t="s">
        <v>233</v>
      </c>
      <c r="C37" s="66" t="s">
        <v>1900</v>
      </c>
      <c r="D37" s="67">
        <v>10</v>
      </c>
      <c r="E37" s="68"/>
      <c r="F37" s="69">
        <v>20</v>
      </c>
      <c r="G37" s="66"/>
      <c r="H37" s="70"/>
      <c r="I37" s="71"/>
      <c r="J37" s="71"/>
      <c r="K37" s="34" t="s">
        <v>66</v>
      </c>
      <c r="L37" s="78">
        <v>37</v>
      </c>
      <c r="M37" s="78"/>
      <c r="N37" s="73"/>
      <c r="O37" s="80" t="s">
        <v>331</v>
      </c>
      <c r="P37" s="80" t="s">
        <v>333</v>
      </c>
      <c r="Q37" s="80" t="s">
        <v>367</v>
      </c>
      <c r="R37" s="80" t="s">
        <v>231</v>
      </c>
      <c r="S37" s="80" t="s">
        <v>572</v>
      </c>
      <c r="T37" s="82" t="str">
        <f>HYPERLINK("http://www.youtube.com/channel/UCR5WT6Lkv9pdX_xsvQ6YyDg")</f>
        <v>http://www.youtube.com/channel/UCR5WT6Lkv9pdX_xsvQ6YyDg</v>
      </c>
      <c r="U37" s="80" t="s">
        <v>683</v>
      </c>
      <c r="V37" s="80" t="s">
        <v>767</v>
      </c>
      <c r="W37" s="82" t="str">
        <f>HYPERLINK("https://www.youtube.com/watch?v=6vJIAJNTdG0")</f>
        <v>https://www.youtube.com/watch?v=6vJIAJNTdG0</v>
      </c>
      <c r="X37" s="80" t="s">
        <v>794</v>
      </c>
      <c r="Y37" s="80">
        <v>0</v>
      </c>
      <c r="Z37" s="84">
        <v>44005.11623842592</v>
      </c>
      <c r="AA37" s="84">
        <v>44005.11623842592</v>
      </c>
      <c r="AB37" s="80"/>
      <c r="AC37" s="80"/>
      <c r="AD37" s="80"/>
      <c r="AE37">
        <v>2</v>
      </c>
      <c r="AF37" s="79" t="str">
        <f>REPLACE(INDEX(GroupVertices[Group],MATCH(Edges[[#This Row],[Vertex 1]],GroupVertices[Vertex],0)),1,1,"")</f>
        <v>8</v>
      </c>
      <c r="AG37" s="79" t="str">
        <f>REPLACE(INDEX(GroupVertices[Group],MATCH(Edges[[#This Row],[Vertex 2]],GroupVertices[Vertex],0)),1,1,"")</f>
        <v>8</v>
      </c>
      <c r="AH37" s="48">
        <v>1</v>
      </c>
      <c r="AI37" s="49">
        <v>3.7037037037037037</v>
      </c>
      <c r="AJ37" s="48">
        <v>0</v>
      </c>
      <c r="AK37" s="49">
        <v>0</v>
      </c>
      <c r="AL37" s="48">
        <v>0</v>
      </c>
      <c r="AM37" s="49">
        <v>0</v>
      </c>
      <c r="AN37" s="48">
        <v>26</v>
      </c>
      <c r="AO37" s="49">
        <v>96.29629629629629</v>
      </c>
      <c r="AP37" s="48">
        <v>27</v>
      </c>
    </row>
    <row r="38" spans="1:42" ht="15">
      <c r="A38" s="65" t="s">
        <v>233</v>
      </c>
      <c r="B38" s="65" t="s">
        <v>231</v>
      </c>
      <c r="C38" s="66" t="s">
        <v>1901</v>
      </c>
      <c r="D38" s="67">
        <v>3</v>
      </c>
      <c r="E38" s="68"/>
      <c r="F38" s="69">
        <v>50</v>
      </c>
      <c r="G38" s="66"/>
      <c r="H38" s="70"/>
      <c r="I38" s="71"/>
      <c r="J38" s="71"/>
      <c r="K38" s="34" t="s">
        <v>66</v>
      </c>
      <c r="L38" s="78">
        <v>38</v>
      </c>
      <c r="M38" s="78"/>
      <c r="N38" s="73"/>
      <c r="O38" s="80" t="s">
        <v>332</v>
      </c>
      <c r="P38" s="80" t="s">
        <v>198</v>
      </c>
      <c r="Q38" s="80" t="s">
        <v>368</v>
      </c>
      <c r="R38" s="80" t="s">
        <v>233</v>
      </c>
      <c r="S38" s="80" t="s">
        <v>574</v>
      </c>
      <c r="T38" s="82" t="str">
        <f>HYPERLINK("http://www.youtube.com/channel/UCOnfASrbw0effD5EpxKpnmA")</f>
        <v>http://www.youtube.com/channel/UCOnfASrbw0effD5EpxKpnmA</v>
      </c>
      <c r="U38" s="80"/>
      <c r="V38" s="80" t="s">
        <v>767</v>
      </c>
      <c r="W38" s="82" t="str">
        <f>HYPERLINK("https://www.youtube.com/watch?v=6vJIAJNTdG0")</f>
        <v>https://www.youtube.com/watch?v=6vJIAJNTdG0</v>
      </c>
      <c r="X38" s="80" t="s">
        <v>794</v>
      </c>
      <c r="Y38" s="80">
        <v>0</v>
      </c>
      <c r="Z38" s="84">
        <v>44002.91677083333</v>
      </c>
      <c r="AA38" s="84">
        <v>44002.91677083333</v>
      </c>
      <c r="AB38" s="80"/>
      <c r="AC38" s="80"/>
      <c r="AD38" s="80"/>
      <c r="AE38">
        <v>1</v>
      </c>
      <c r="AF38" s="79" t="str">
        <f>REPLACE(INDEX(GroupVertices[Group],MATCH(Edges[[#This Row],[Vertex 1]],GroupVertices[Vertex],0)),1,1,"")</f>
        <v>8</v>
      </c>
      <c r="AG38" s="79" t="str">
        <f>REPLACE(INDEX(GroupVertices[Group],MATCH(Edges[[#This Row],[Vertex 2]],GroupVertices[Vertex],0)),1,1,"")</f>
        <v>8</v>
      </c>
      <c r="AH38" s="48">
        <v>2</v>
      </c>
      <c r="AI38" s="49">
        <v>40</v>
      </c>
      <c r="AJ38" s="48">
        <v>0</v>
      </c>
      <c r="AK38" s="49">
        <v>0</v>
      </c>
      <c r="AL38" s="48">
        <v>0</v>
      </c>
      <c r="AM38" s="49">
        <v>0</v>
      </c>
      <c r="AN38" s="48">
        <v>3</v>
      </c>
      <c r="AO38" s="49">
        <v>60</v>
      </c>
      <c r="AP38" s="48">
        <v>5</v>
      </c>
    </row>
    <row r="39" spans="1:42" ht="15">
      <c r="A39" s="65" t="s">
        <v>233</v>
      </c>
      <c r="B39" s="65" t="s">
        <v>233</v>
      </c>
      <c r="C39" s="66" t="s">
        <v>1901</v>
      </c>
      <c r="D39" s="67">
        <v>3</v>
      </c>
      <c r="E39" s="68"/>
      <c r="F39" s="69">
        <v>50</v>
      </c>
      <c r="G39" s="66"/>
      <c r="H39" s="70"/>
      <c r="I39" s="71"/>
      <c r="J39" s="71"/>
      <c r="K39" s="34" t="s">
        <v>65</v>
      </c>
      <c r="L39" s="78">
        <v>39</v>
      </c>
      <c r="M39" s="78"/>
      <c r="N39" s="73"/>
      <c r="O39" s="80" t="s">
        <v>331</v>
      </c>
      <c r="P39" s="80" t="s">
        <v>333</v>
      </c>
      <c r="Q39" s="80" t="s">
        <v>369</v>
      </c>
      <c r="R39" s="80" t="s">
        <v>233</v>
      </c>
      <c r="S39" s="80" t="s">
        <v>574</v>
      </c>
      <c r="T39" s="82" t="str">
        <f>HYPERLINK("http://www.youtube.com/channel/UCOnfASrbw0effD5EpxKpnmA")</f>
        <v>http://www.youtube.com/channel/UCOnfASrbw0effD5EpxKpnmA</v>
      </c>
      <c r="U39" s="80" t="s">
        <v>683</v>
      </c>
      <c r="V39" s="80" t="s">
        <v>767</v>
      </c>
      <c r="W39" s="82" t="str">
        <f>HYPERLINK("https://www.youtube.com/watch?v=6vJIAJNTdG0")</f>
        <v>https://www.youtube.com/watch?v=6vJIAJNTdG0</v>
      </c>
      <c r="X39" s="80" t="s">
        <v>794</v>
      </c>
      <c r="Y39" s="80">
        <v>1</v>
      </c>
      <c r="Z39" s="84">
        <v>44003.790034722224</v>
      </c>
      <c r="AA39" s="84">
        <v>44003.790034722224</v>
      </c>
      <c r="AB39" s="80"/>
      <c r="AC39" s="80"/>
      <c r="AD39" s="80"/>
      <c r="AE39">
        <v>1</v>
      </c>
      <c r="AF39" s="79" t="str">
        <f>REPLACE(INDEX(GroupVertices[Group],MATCH(Edges[[#This Row],[Vertex 1]],GroupVertices[Vertex],0)),1,1,"")</f>
        <v>8</v>
      </c>
      <c r="AG39" s="79" t="str">
        <f>REPLACE(INDEX(GroupVertices[Group],MATCH(Edges[[#This Row],[Vertex 2]],GroupVertices[Vertex],0)),1,1,"")</f>
        <v>8</v>
      </c>
      <c r="AH39" s="48">
        <v>2</v>
      </c>
      <c r="AI39" s="49">
        <v>9.090909090909092</v>
      </c>
      <c r="AJ39" s="48">
        <v>0</v>
      </c>
      <c r="AK39" s="49">
        <v>0</v>
      </c>
      <c r="AL39" s="48">
        <v>0</v>
      </c>
      <c r="AM39" s="49">
        <v>0</v>
      </c>
      <c r="AN39" s="48">
        <v>20</v>
      </c>
      <c r="AO39" s="49">
        <v>90.9090909090909</v>
      </c>
      <c r="AP39" s="48">
        <v>22</v>
      </c>
    </row>
    <row r="40" spans="1:42" ht="15">
      <c r="A40" s="65" t="s">
        <v>234</v>
      </c>
      <c r="B40" s="65" t="s">
        <v>235</v>
      </c>
      <c r="C40" s="66" t="s">
        <v>1901</v>
      </c>
      <c r="D40" s="67">
        <v>3</v>
      </c>
      <c r="E40" s="68"/>
      <c r="F40" s="69">
        <v>50</v>
      </c>
      <c r="G40" s="66"/>
      <c r="H40" s="70"/>
      <c r="I40" s="71"/>
      <c r="J40" s="71"/>
      <c r="K40" s="34" t="s">
        <v>66</v>
      </c>
      <c r="L40" s="78">
        <v>40</v>
      </c>
      <c r="M40" s="78"/>
      <c r="N40" s="73"/>
      <c r="O40" s="80" t="s">
        <v>331</v>
      </c>
      <c r="P40" s="80" t="s">
        <v>333</v>
      </c>
      <c r="Q40" s="80" t="s">
        <v>370</v>
      </c>
      <c r="R40" s="80" t="s">
        <v>234</v>
      </c>
      <c r="S40" s="80" t="s">
        <v>575</v>
      </c>
      <c r="T40" s="82" t="str">
        <f>HYPERLINK("http://www.youtube.com/channel/UCHQ7g1xX-e9rghxNR4ChsOg")</f>
        <v>http://www.youtube.com/channel/UCHQ7g1xX-e9rghxNR4ChsOg</v>
      </c>
      <c r="U40" s="80" t="s">
        <v>684</v>
      </c>
      <c r="V40" s="80" t="s">
        <v>768</v>
      </c>
      <c r="W40" s="82" t="str">
        <f>HYPERLINK("https://www.youtube.com/watch?v=XDmnHdGD5iE")</f>
        <v>https://www.youtube.com/watch?v=XDmnHdGD5iE</v>
      </c>
      <c r="X40" s="80" t="s">
        <v>794</v>
      </c>
      <c r="Y40" s="80">
        <v>0</v>
      </c>
      <c r="Z40" s="84">
        <v>44002.668645833335</v>
      </c>
      <c r="AA40" s="84">
        <v>44002.668645833335</v>
      </c>
      <c r="AB40" s="80"/>
      <c r="AC40" s="80"/>
      <c r="AD40" s="80"/>
      <c r="AE40">
        <v>1</v>
      </c>
      <c r="AF40" s="79" t="str">
        <f>REPLACE(INDEX(GroupVertices[Group],MATCH(Edges[[#This Row],[Vertex 1]],GroupVertices[Vertex],0)),1,1,"")</f>
        <v>16</v>
      </c>
      <c r="AG40" s="79" t="str">
        <f>REPLACE(INDEX(GroupVertices[Group],MATCH(Edges[[#This Row],[Vertex 2]],GroupVertices[Vertex],0)),1,1,"")</f>
        <v>16</v>
      </c>
      <c r="AH40" s="48">
        <v>0</v>
      </c>
      <c r="AI40" s="49">
        <v>0</v>
      </c>
      <c r="AJ40" s="48">
        <v>0</v>
      </c>
      <c r="AK40" s="49">
        <v>0</v>
      </c>
      <c r="AL40" s="48">
        <v>0</v>
      </c>
      <c r="AM40" s="49">
        <v>0</v>
      </c>
      <c r="AN40" s="48">
        <v>1</v>
      </c>
      <c r="AO40" s="49">
        <v>100</v>
      </c>
      <c r="AP40" s="48">
        <v>1</v>
      </c>
    </row>
    <row r="41" spans="1:42" ht="15">
      <c r="A41" s="65" t="s">
        <v>235</v>
      </c>
      <c r="B41" s="65" t="s">
        <v>234</v>
      </c>
      <c r="C41" s="66" t="s">
        <v>1901</v>
      </c>
      <c r="D41" s="67">
        <v>3</v>
      </c>
      <c r="E41" s="68"/>
      <c r="F41" s="69">
        <v>50</v>
      </c>
      <c r="G41" s="66"/>
      <c r="H41" s="70"/>
      <c r="I41" s="71"/>
      <c r="J41" s="71"/>
      <c r="K41" s="34" t="s">
        <v>66</v>
      </c>
      <c r="L41" s="78">
        <v>41</v>
      </c>
      <c r="M41" s="78"/>
      <c r="N41" s="73"/>
      <c r="O41" s="80" t="s">
        <v>332</v>
      </c>
      <c r="P41" s="80" t="s">
        <v>198</v>
      </c>
      <c r="Q41" s="80" t="s">
        <v>371</v>
      </c>
      <c r="R41" s="80" t="s">
        <v>235</v>
      </c>
      <c r="S41" s="80" t="s">
        <v>576</v>
      </c>
      <c r="T41" s="82" t="str">
        <f>HYPERLINK("http://www.youtube.com/channel/UCKhZm9FwH3Agf6k2p_OIsAQ")</f>
        <v>http://www.youtube.com/channel/UCKhZm9FwH3Agf6k2p_OIsAQ</v>
      </c>
      <c r="U41" s="80"/>
      <c r="V41" s="80" t="s">
        <v>768</v>
      </c>
      <c r="W41" s="82" t="str">
        <f>HYPERLINK("https://www.youtube.com/watch?v=XDmnHdGD5iE")</f>
        <v>https://www.youtube.com/watch?v=XDmnHdGD5iE</v>
      </c>
      <c r="X41" s="80" t="s">
        <v>794</v>
      </c>
      <c r="Y41" s="80">
        <v>1</v>
      </c>
      <c r="Z41" s="84">
        <v>44002.64456018519</v>
      </c>
      <c r="AA41" s="84">
        <v>44002.64456018519</v>
      </c>
      <c r="AB41" s="80"/>
      <c r="AC41" s="80"/>
      <c r="AD41" s="80"/>
      <c r="AE41">
        <v>1</v>
      </c>
      <c r="AF41" s="79" t="str">
        <f>REPLACE(INDEX(GroupVertices[Group],MATCH(Edges[[#This Row],[Vertex 1]],GroupVertices[Vertex],0)),1,1,"")</f>
        <v>16</v>
      </c>
      <c r="AG41" s="79" t="str">
        <f>REPLACE(INDEX(GroupVertices[Group],MATCH(Edges[[#This Row],[Vertex 2]],GroupVertices[Vertex],0)),1,1,"")</f>
        <v>16</v>
      </c>
      <c r="AH41" s="48">
        <v>1</v>
      </c>
      <c r="AI41" s="49">
        <v>100</v>
      </c>
      <c r="AJ41" s="48">
        <v>0</v>
      </c>
      <c r="AK41" s="49">
        <v>0</v>
      </c>
      <c r="AL41" s="48">
        <v>0</v>
      </c>
      <c r="AM41" s="49">
        <v>0</v>
      </c>
      <c r="AN41" s="48">
        <v>0</v>
      </c>
      <c r="AO41" s="49">
        <v>0</v>
      </c>
      <c r="AP41" s="48">
        <v>1</v>
      </c>
    </row>
    <row r="42" spans="1:42" ht="15">
      <c r="A42" s="65" t="s">
        <v>234</v>
      </c>
      <c r="B42" s="65" t="s">
        <v>236</v>
      </c>
      <c r="C42" s="66" t="s">
        <v>1901</v>
      </c>
      <c r="D42" s="67">
        <v>3</v>
      </c>
      <c r="E42" s="68"/>
      <c r="F42" s="69">
        <v>50</v>
      </c>
      <c r="G42" s="66"/>
      <c r="H42" s="70"/>
      <c r="I42" s="71"/>
      <c r="J42" s="71"/>
      <c r="K42" s="34" t="s">
        <v>66</v>
      </c>
      <c r="L42" s="78">
        <v>42</v>
      </c>
      <c r="M42" s="78"/>
      <c r="N42" s="73"/>
      <c r="O42" s="80" t="s">
        <v>331</v>
      </c>
      <c r="P42" s="80" t="s">
        <v>333</v>
      </c>
      <c r="Q42" s="80" t="s">
        <v>372</v>
      </c>
      <c r="R42" s="80" t="s">
        <v>234</v>
      </c>
      <c r="S42" s="80" t="s">
        <v>575</v>
      </c>
      <c r="T42" s="82" t="str">
        <f>HYPERLINK("http://www.youtube.com/channel/UCHQ7g1xX-e9rghxNR4ChsOg")</f>
        <v>http://www.youtube.com/channel/UCHQ7g1xX-e9rghxNR4ChsOg</v>
      </c>
      <c r="U42" s="80" t="s">
        <v>685</v>
      </c>
      <c r="V42" s="80" t="s">
        <v>768</v>
      </c>
      <c r="W42" s="82" t="str">
        <f>HYPERLINK("https://www.youtube.com/watch?v=XDmnHdGD5iE")</f>
        <v>https://www.youtube.com/watch?v=XDmnHdGD5iE</v>
      </c>
      <c r="X42" s="80" t="s">
        <v>794</v>
      </c>
      <c r="Y42" s="80">
        <v>0</v>
      </c>
      <c r="Z42" s="84">
        <v>44002.66872685185</v>
      </c>
      <c r="AA42" s="84">
        <v>44002.66872685185</v>
      </c>
      <c r="AB42" s="80"/>
      <c r="AC42" s="80"/>
      <c r="AD42" s="80"/>
      <c r="AE42">
        <v>1</v>
      </c>
      <c r="AF42" s="79" t="str">
        <f>REPLACE(INDEX(GroupVertices[Group],MATCH(Edges[[#This Row],[Vertex 1]],GroupVertices[Vertex],0)),1,1,"")</f>
        <v>16</v>
      </c>
      <c r="AG42" s="79" t="str">
        <f>REPLACE(INDEX(GroupVertices[Group],MATCH(Edges[[#This Row],[Vertex 2]],GroupVertices[Vertex],0)),1,1,"")</f>
        <v>16</v>
      </c>
      <c r="AH42" s="48">
        <v>1</v>
      </c>
      <c r="AI42" s="49">
        <v>50</v>
      </c>
      <c r="AJ42" s="48">
        <v>0</v>
      </c>
      <c r="AK42" s="49">
        <v>0</v>
      </c>
      <c r="AL42" s="48">
        <v>0</v>
      </c>
      <c r="AM42" s="49">
        <v>0</v>
      </c>
      <c r="AN42" s="48">
        <v>1</v>
      </c>
      <c r="AO42" s="49">
        <v>50</v>
      </c>
      <c r="AP42" s="48">
        <v>2</v>
      </c>
    </row>
    <row r="43" spans="1:42" ht="15">
      <c r="A43" s="65" t="s">
        <v>236</v>
      </c>
      <c r="B43" s="65" t="s">
        <v>234</v>
      </c>
      <c r="C43" s="66" t="s">
        <v>1901</v>
      </c>
      <c r="D43" s="67">
        <v>3</v>
      </c>
      <c r="E43" s="68"/>
      <c r="F43" s="69">
        <v>50</v>
      </c>
      <c r="G43" s="66"/>
      <c r="H43" s="70"/>
      <c r="I43" s="71"/>
      <c r="J43" s="71"/>
      <c r="K43" s="34" t="s">
        <v>66</v>
      </c>
      <c r="L43" s="78">
        <v>43</v>
      </c>
      <c r="M43" s="78"/>
      <c r="N43" s="73"/>
      <c r="O43" s="80" t="s">
        <v>332</v>
      </c>
      <c r="P43" s="80" t="s">
        <v>198</v>
      </c>
      <c r="Q43" s="80" t="s">
        <v>373</v>
      </c>
      <c r="R43" s="80" t="s">
        <v>236</v>
      </c>
      <c r="S43" s="80" t="s">
        <v>577</v>
      </c>
      <c r="T43" s="82" t="str">
        <f>HYPERLINK("http://www.youtube.com/channel/UCrh8CGftRFYnUFanFFE932A")</f>
        <v>http://www.youtube.com/channel/UCrh8CGftRFYnUFanFFE932A</v>
      </c>
      <c r="U43" s="80"/>
      <c r="V43" s="80" t="s">
        <v>768</v>
      </c>
      <c r="W43" s="82" t="str">
        <f>HYPERLINK("https://www.youtube.com/watch?v=XDmnHdGD5iE")</f>
        <v>https://www.youtube.com/watch?v=XDmnHdGD5iE</v>
      </c>
      <c r="X43" s="80" t="s">
        <v>794</v>
      </c>
      <c r="Y43" s="80">
        <v>1</v>
      </c>
      <c r="Z43" s="84">
        <v>44002.66043981481</v>
      </c>
      <c r="AA43" s="84">
        <v>44002.66043981481</v>
      </c>
      <c r="AB43" s="80"/>
      <c r="AC43" s="80"/>
      <c r="AD43" s="80"/>
      <c r="AE43">
        <v>1</v>
      </c>
      <c r="AF43" s="79" t="str">
        <f>REPLACE(INDEX(GroupVertices[Group],MATCH(Edges[[#This Row],[Vertex 1]],GroupVertices[Vertex],0)),1,1,"")</f>
        <v>16</v>
      </c>
      <c r="AG43" s="79" t="str">
        <f>REPLACE(INDEX(GroupVertices[Group],MATCH(Edges[[#This Row],[Vertex 2]],GroupVertices[Vertex],0)),1,1,"")</f>
        <v>16</v>
      </c>
      <c r="AH43" s="48">
        <v>0</v>
      </c>
      <c r="AI43" s="49">
        <v>0</v>
      </c>
      <c r="AJ43" s="48">
        <v>0</v>
      </c>
      <c r="AK43" s="49">
        <v>0</v>
      </c>
      <c r="AL43" s="48">
        <v>0</v>
      </c>
      <c r="AM43" s="49">
        <v>0</v>
      </c>
      <c r="AN43" s="48">
        <v>6</v>
      </c>
      <c r="AO43" s="49">
        <v>100</v>
      </c>
      <c r="AP43" s="48">
        <v>6</v>
      </c>
    </row>
    <row r="44" spans="1:42" ht="15">
      <c r="A44" s="65" t="s">
        <v>234</v>
      </c>
      <c r="B44" s="65" t="s">
        <v>237</v>
      </c>
      <c r="C44" s="66" t="s">
        <v>1901</v>
      </c>
      <c r="D44" s="67">
        <v>3</v>
      </c>
      <c r="E44" s="68"/>
      <c r="F44" s="69">
        <v>50</v>
      </c>
      <c r="G44" s="66"/>
      <c r="H44" s="70"/>
      <c r="I44" s="71"/>
      <c r="J44" s="71"/>
      <c r="K44" s="34" t="s">
        <v>66</v>
      </c>
      <c r="L44" s="78">
        <v>44</v>
      </c>
      <c r="M44" s="78"/>
      <c r="N44" s="73"/>
      <c r="O44" s="80" t="s">
        <v>331</v>
      </c>
      <c r="P44" s="80" t="s">
        <v>333</v>
      </c>
      <c r="Q44" s="80" t="s">
        <v>370</v>
      </c>
      <c r="R44" s="80" t="s">
        <v>234</v>
      </c>
      <c r="S44" s="80" t="s">
        <v>575</v>
      </c>
      <c r="T44" s="82" t="str">
        <f>HYPERLINK("http://www.youtube.com/channel/UCHQ7g1xX-e9rghxNR4ChsOg")</f>
        <v>http://www.youtube.com/channel/UCHQ7g1xX-e9rghxNR4ChsOg</v>
      </c>
      <c r="U44" s="80" t="s">
        <v>686</v>
      </c>
      <c r="V44" s="80" t="s">
        <v>768</v>
      </c>
      <c r="W44" s="82" t="str">
        <f>HYPERLINK("https://www.youtube.com/watch?v=XDmnHdGD5iE")</f>
        <v>https://www.youtube.com/watch?v=XDmnHdGD5iE</v>
      </c>
      <c r="X44" s="80" t="s">
        <v>794</v>
      </c>
      <c r="Y44" s="80">
        <v>0</v>
      </c>
      <c r="Z44" s="84">
        <v>44002.66878472222</v>
      </c>
      <c r="AA44" s="84">
        <v>44002.66878472222</v>
      </c>
      <c r="AB44" s="80"/>
      <c r="AC44" s="80"/>
      <c r="AD44" s="80"/>
      <c r="AE44">
        <v>1</v>
      </c>
      <c r="AF44" s="79" t="str">
        <f>REPLACE(INDEX(GroupVertices[Group],MATCH(Edges[[#This Row],[Vertex 1]],GroupVertices[Vertex],0)),1,1,"")</f>
        <v>16</v>
      </c>
      <c r="AG44" s="79" t="str">
        <f>REPLACE(INDEX(GroupVertices[Group],MATCH(Edges[[#This Row],[Vertex 2]],GroupVertices[Vertex],0)),1,1,"")</f>
        <v>16</v>
      </c>
      <c r="AH44" s="48">
        <v>0</v>
      </c>
      <c r="AI44" s="49">
        <v>0</v>
      </c>
      <c r="AJ44" s="48">
        <v>0</v>
      </c>
      <c r="AK44" s="49">
        <v>0</v>
      </c>
      <c r="AL44" s="48">
        <v>0</v>
      </c>
      <c r="AM44" s="49">
        <v>0</v>
      </c>
      <c r="AN44" s="48">
        <v>1</v>
      </c>
      <c r="AO44" s="49">
        <v>100</v>
      </c>
      <c r="AP44" s="48">
        <v>1</v>
      </c>
    </row>
    <row r="45" spans="1:42" ht="15">
      <c r="A45" s="65" t="s">
        <v>237</v>
      </c>
      <c r="B45" s="65" t="s">
        <v>234</v>
      </c>
      <c r="C45" s="66" t="s">
        <v>1901</v>
      </c>
      <c r="D45" s="67">
        <v>3</v>
      </c>
      <c r="E45" s="68"/>
      <c r="F45" s="69">
        <v>50</v>
      </c>
      <c r="G45" s="66"/>
      <c r="H45" s="70"/>
      <c r="I45" s="71"/>
      <c r="J45" s="71"/>
      <c r="K45" s="34" t="s">
        <v>66</v>
      </c>
      <c r="L45" s="78">
        <v>45</v>
      </c>
      <c r="M45" s="78"/>
      <c r="N45" s="73"/>
      <c r="O45" s="80" t="s">
        <v>332</v>
      </c>
      <c r="P45" s="80" t="s">
        <v>198</v>
      </c>
      <c r="Q45" s="80" t="s">
        <v>374</v>
      </c>
      <c r="R45" s="80" t="s">
        <v>237</v>
      </c>
      <c r="S45" s="80" t="s">
        <v>578</v>
      </c>
      <c r="T45" s="82" t="str">
        <f>HYPERLINK("http://www.youtube.com/channel/UCYyWCfl36cbHL4ObejxDLNw")</f>
        <v>http://www.youtube.com/channel/UCYyWCfl36cbHL4ObejxDLNw</v>
      </c>
      <c r="U45" s="80"/>
      <c r="V45" s="80" t="s">
        <v>768</v>
      </c>
      <c r="W45" s="82" t="str">
        <f>HYPERLINK("https://www.youtube.com/watch?v=XDmnHdGD5iE")</f>
        <v>https://www.youtube.com/watch?v=XDmnHdGD5iE</v>
      </c>
      <c r="X45" s="80" t="s">
        <v>794</v>
      </c>
      <c r="Y45" s="80">
        <v>1</v>
      </c>
      <c r="Z45" s="84">
        <v>44002.66136574074</v>
      </c>
      <c r="AA45" s="84">
        <v>44002.66136574074</v>
      </c>
      <c r="AB45" s="80"/>
      <c r="AC45" s="80"/>
      <c r="AD45" s="80"/>
      <c r="AE45">
        <v>1</v>
      </c>
      <c r="AF45" s="79" t="str">
        <f>REPLACE(INDEX(GroupVertices[Group],MATCH(Edges[[#This Row],[Vertex 1]],GroupVertices[Vertex],0)),1,1,"")</f>
        <v>16</v>
      </c>
      <c r="AG45" s="79" t="str">
        <f>REPLACE(INDEX(GroupVertices[Group],MATCH(Edges[[#This Row],[Vertex 2]],GroupVertices[Vertex],0)),1,1,"")</f>
        <v>16</v>
      </c>
      <c r="AH45" s="48">
        <v>1</v>
      </c>
      <c r="AI45" s="49">
        <v>33.333333333333336</v>
      </c>
      <c r="AJ45" s="48">
        <v>0</v>
      </c>
      <c r="AK45" s="49">
        <v>0</v>
      </c>
      <c r="AL45" s="48">
        <v>0</v>
      </c>
      <c r="AM45" s="49">
        <v>0</v>
      </c>
      <c r="AN45" s="48">
        <v>2</v>
      </c>
      <c r="AO45" s="49">
        <v>66.66666666666667</v>
      </c>
      <c r="AP45" s="48">
        <v>3</v>
      </c>
    </row>
    <row r="46" spans="1:42" ht="15">
      <c r="A46" s="65" t="s">
        <v>238</v>
      </c>
      <c r="B46" s="65" t="s">
        <v>232</v>
      </c>
      <c r="C46" s="66" t="s">
        <v>1901</v>
      </c>
      <c r="D46" s="67">
        <v>3</v>
      </c>
      <c r="E46" s="68"/>
      <c r="F46" s="69">
        <v>50</v>
      </c>
      <c r="G46" s="66"/>
      <c r="H46" s="70"/>
      <c r="I46" s="71"/>
      <c r="J46" s="71"/>
      <c r="K46" s="34" t="s">
        <v>66</v>
      </c>
      <c r="L46" s="78">
        <v>46</v>
      </c>
      <c r="M46" s="78"/>
      <c r="N46" s="73"/>
      <c r="O46" s="80" t="s">
        <v>331</v>
      </c>
      <c r="P46" s="80" t="s">
        <v>333</v>
      </c>
      <c r="Q46" s="80" t="s">
        <v>375</v>
      </c>
      <c r="R46" s="80" t="s">
        <v>238</v>
      </c>
      <c r="S46" s="80" t="s">
        <v>579</v>
      </c>
      <c r="T46" s="82" t="str">
        <f>HYPERLINK("http://www.youtube.com/channel/UCLKL6RjR4FG0_kWNw7mJS1A")</f>
        <v>http://www.youtube.com/channel/UCLKL6RjR4FG0_kWNw7mJS1A</v>
      </c>
      <c r="U46" s="80" t="s">
        <v>687</v>
      </c>
      <c r="V46" s="80" t="s">
        <v>769</v>
      </c>
      <c r="W46" s="82" t="str">
        <f>HYPERLINK("https://www.youtube.com/watch?v=oVhk6C3hzvk")</f>
        <v>https://www.youtube.com/watch?v=oVhk6C3hzvk</v>
      </c>
      <c r="X46" s="80" t="s">
        <v>794</v>
      </c>
      <c r="Y46" s="80">
        <v>0</v>
      </c>
      <c r="Z46" s="84">
        <v>44002.73886574074</v>
      </c>
      <c r="AA46" s="84">
        <v>44002.73886574074</v>
      </c>
      <c r="AB46" s="80"/>
      <c r="AC46" s="80"/>
      <c r="AD46" s="80"/>
      <c r="AE46">
        <v>1</v>
      </c>
      <c r="AF46" s="79" t="str">
        <f>REPLACE(INDEX(GroupVertices[Group],MATCH(Edges[[#This Row],[Vertex 1]],GroupVertices[Vertex],0)),1,1,"")</f>
        <v>8</v>
      </c>
      <c r="AG46" s="79" t="str">
        <f>REPLACE(INDEX(GroupVertices[Group],MATCH(Edges[[#This Row],[Vertex 2]],GroupVertices[Vertex],0)),1,1,"")</f>
        <v>8</v>
      </c>
      <c r="AH46" s="48">
        <v>0</v>
      </c>
      <c r="AI46" s="49">
        <v>0</v>
      </c>
      <c r="AJ46" s="48">
        <v>0</v>
      </c>
      <c r="AK46" s="49">
        <v>0</v>
      </c>
      <c r="AL46" s="48">
        <v>0</v>
      </c>
      <c r="AM46" s="49">
        <v>0</v>
      </c>
      <c r="AN46" s="48">
        <v>1</v>
      </c>
      <c r="AO46" s="49">
        <v>100</v>
      </c>
      <c r="AP46" s="48">
        <v>1</v>
      </c>
    </row>
    <row r="47" spans="1:42" ht="15">
      <c r="A47" s="65" t="s">
        <v>232</v>
      </c>
      <c r="B47" s="65" t="s">
        <v>238</v>
      </c>
      <c r="C47" s="66" t="s">
        <v>1901</v>
      </c>
      <c r="D47" s="67">
        <v>3</v>
      </c>
      <c r="E47" s="68"/>
      <c r="F47" s="69">
        <v>50</v>
      </c>
      <c r="G47" s="66"/>
      <c r="H47" s="70"/>
      <c r="I47" s="71"/>
      <c r="J47" s="71"/>
      <c r="K47" s="34" t="s">
        <v>66</v>
      </c>
      <c r="L47" s="78">
        <v>47</v>
      </c>
      <c r="M47" s="78"/>
      <c r="N47" s="73"/>
      <c r="O47" s="80" t="s">
        <v>332</v>
      </c>
      <c r="P47" s="80" t="s">
        <v>198</v>
      </c>
      <c r="Q47" s="80" t="s">
        <v>376</v>
      </c>
      <c r="R47" s="80" t="s">
        <v>232</v>
      </c>
      <c r="S47" s="80" t="s">
        <v>573</v>
      </c>
      <c r="T47" s="82" t="str">
        <f>HYPERLINK("http://www.youtube.com/channel/UCJNf_zUjSFMnCJSjjr2I2cw")</f>
        <v>http://www.youtube.com/channel/UCJNf_zUjSFMnCJSjjr2I2cw</v>
      </c>
      <c r="U47" s="80"/>
      <c r="V47" s="80" t="s">
        <v>769</v>
      </c>
      <c r="W47" s="82" t="str">
        <f>HYPERLINK("https://www.youtube.com/watch?v=oVhk6C3hzvk")</f>
        <v>https://www.youtube.com/watch?v=oVhk6C3hzvk</v>
      </c>
      <c r="X47" s="80" t="s">
        <v>794</v>
      </c>
      <c r="Y47" s="80">
        <v>1</v>
      </c>
      <c r="Z47" s="84">
        <v>44002.702060185184</v>
      </c>
      <c r="AA47" s="84">
        <v>44002.702060185184</v>
      </c>
      <c r="AB47" s="80"/>
      <c r="AC47" s="80"/>
      <c r="AD47" s="80"/>
      <c r="AE47">
        <v>1</v>
      </c>
      <c r="AF47" s="79" t="str">
        <f>REPLACE(INDEX(GroupVertices[Group],MATCH(Edges[[#This Row],[Vertex 1]],GroupVertices[Vertex],0)),1,1,"")</f>
        <v>8</v>
      </c>
      <c r="AG47" s="79" t="str">
        <f>REPLACE(INDEX(GroupVertices[Group],MATCH(Edges[[#This Row],[Vertex 2]],GroupVertices[Vertex],0)),1,1,"")</f>
        <v>8</v>
      </c>
      <c r="AH47" s="48">
        <v>0</v>
      </c>
      <c r="AI47" s="49">
        <v>0</v>
      </c>
      <c r="AJ47" s="48">
        <v>0</v>
      </c>
      <c r="AK47" s="49">
        <v>0</v>
      </c>
      <c r="AL47" s="48">
        <v>0</v>
      </c>
      <c r="AM47" s="49">
        <v>0</v>
      </c>
      <c r="AN47" s="48">
        <v>15</v>
      </c>
      <c r="AO47" s="49">
        <v>100</v>
      </c>
      <c r="AP47" s="48">
        <v>15</v>
      </c>
    </row>
    <row r="48" spans="1:42" ht="15">
      <c r="A48" s="65" t="s">
        <v>238</v>
      </c>
      <c r="B48" s="65" t="s">
        <v>239</v>
      </c>
      <c r="C48" s="66" t="s">
        <v>1901</v>
      </c>
      <c r="D48" s="67">
        <v>3</v>
      </c>
      <c r="E48" s="68"/>
      <c r="F48" s="69">
        <v>50</v>
      </c>
      <c r="G48" s="66"/>
      <c r="H48" s="70"/>
      <c r="I48" s="71"/>
      <c r="J48" s="71"/>
      <c r="K48" s="34" t="s">
        <v>66</v>
      </c>
      <c r="L48" s="78">
        <v>48</v>
      </c>
      <c r="M48" s="78"/>
      <c r="N48" s="73"/>
      <c r="O48" s="80" t="s">
        <v>331</v>
      </c>
      <c r="P48" s="80" t="s">
        <v>333</v>
      </c>
      <c r="Q48" s="80" t="s">
        <v>377</v>
      </c>
      <c r="R48" s="80" t="s">
        <v>238</v>
      </c>
      <c r="S48" s="80" t="s">
        <v>579</v>
      </c>
      <c r="T48" s="82" t="str">
        <f>HYPERLINK("http://www.youtube.com/channel/UCLKL6RjR4FG0_kWNw7mJS1A")</f>
        <v>http://www.youtube.com/channel/UCLKL6RjR4FG0_kWNw7mJS1A</v>
      </c>
      <c r="U48" s="80" t="s">
        <v>688</v>
      </c>
      <c r="V48" s="80" t="s">
        <v>769</v>
      </c>
      <c r="W48" s="82" t="str">
        <f>HYPERLINK("https://www.youtube.com/watch?v=oVhk6C3hzvk")</f>
        <v>https://www.youtube.com/watch?v=oVhk6C3hzvk</v>
      </c>
      <c r="X48" s="80" t="s">
        <v>794</v>
      </c>
      <c r="Y48" s="80">
        <v>0</v>
      </c>
      <c r="Z48" s="84">
        <v>44003.16025462963</v>
      </c>
      <c r="AA48" s="84">
        <v>44003.16025462963</v>
      </c>
      <c r="AB48" s="80"/>
      <c r="AC48" s="80"/>
      <c r="AD48" s="80"/>
      <c r="AE48">
        <v>1</v>
      </c>
      <c r="AF48" s="79" t="str">
        <f>REPLACE(INDEX(GroupVertices[Group],MATCH(Edges[[#This Row],[Vertex 1]],GroupVertices[Vertex],0)),1,1,"")</f>
        <v>8</v>
      </c>
      <c r="AG48" s="79" t="str">
        <f>REPLACE(INDEX(GroupVertices[Group],MATCH(Edges[[#This Row],[Vertex 2]],GroupVertices[Vertex],0)),1,1,"")</f>
        <v>8</v>
      </c>
      <c r="AH48" s="48">
        <v>0</v>
      </c>
      <c r="AI48" s="49">
        <v>0</v>
      </c>
      <c r="AJ48" s="48">
        <v>0</v>
      </c>
      <c r="AK48" s="49">
        <v>0</v>
      </c>
      <c r="AL48" s="48">
        <v>0</v>
      </c>
      <c r="AM48" s="49">
        <v>0</v>
      </c>
      <c r="AN48" s="48">
        <v>8</v>
      </c>
      <c r="AO48" s="49">
        <v>100</v>
      </c>
      <c r="AP48" s="48">
        <v>8</v>
      </c>
    </row>
    <row r="49" spans="1:42" ht="15">
      <c r="A49" s="65" t="s">
        <v>239</v>
      </c>
      <c r="B49" s="65" t="s">
        <v>238</v>
      </c>
      <c r="C49" s="66" t="s">
        <v>1901</v>
      </c>
      <c r="D49" s="67">
        <v>3</v>
      </c>
      <c r="E49" s="68"/>
      <c r="F49" s="69">
        <v>50</v>
      </c>
      <c r="G49" s="66"/>
      <c r="H49" s="70"/>
      <c r="I49" s="71"/>
      <c r="J49" s="71"/>
      <c r="K49" s="34" t="s">
        <v>66</v>
      </c>
      <c r="L49" s="78">
        <v>49</v>
      </c>
      <c r="M49" s="78"/>
      <c r="N49" s="73"/>
      <c r="O49" s="80" t="s">
        <v>332</v>
      </c>
      <c r="P49" s="80" t="s">
        <v>198</v>
      </c>
      <c r="Q49" s="80" t="s">
        <v>378</v>
      </c>
      <c r="R49" s="80" t="s">
        <v>239</v>
      </c>
      <c r="S49" s="80" t="s">
        <v>580</v>
      </c>
      <c r="T49" s="82" t="str">
        <f>HYPERLINK("http://www.youtube.com/channel/UCMhHl1VbqopFrfmyV9nmCWA")</f>
        <v>http://www.youtube.com/channel/UCMhHl1VbqopFrfmyV9nmCWA</v>
      </c>
      <c r="U49" s="80"/>
      <c r="V49" s="80" t="s">
        <v>769</v>
      </c>
      <c r="W49" s="82" t="str">
        <f>HYPERLINK("https://www.youtube.com/watch?v=oVhk6C3hzvk")</f>
        <v>https://www.youtube.com/watch?v=oVhk6C3hzvk</v>
      </c>
      <c r="X49" s="80" t="s">
        <v>794</v>
      </c>
      <c r="Y49" s="80">
        <v>1</v>
      </c>
      <c r="Z49" s="84">
        <v>44003.0403125</v>
      </c>
      <c r="AA49" s="84">
        <v>44003.0403125</v>
      </c>
      <c r="AB49" s="80"/>
      <c r="AC49" s="80"/>
      <c r="AD49" s="80"/>
      <c r="AE49">
        <v>1</v>
      </c>
      <c r="AF49" s="79" t="str">
        <f>REPLACE(INDEX(GroupVertices[Group],MATCH(Edges[[#This Row],[Vertex 1]],GroupVertices[Vertex],0)),1,1,"")</f>
        <v>8</v>
      </c>
      <c r="AG49" s="79" t="str">
        <f>REPLACE(INDEX(GroupVertices[Group],MATCH(Edges[[#This Row],[Vertex 2]],GroupVertices[Vertex],0)),1,1,"")</f>
        <v>8</v>
      </c>
      <c r="AH49" s="48">
        <v>0</v>
      </c>
      <c r="AI49" s="49">
        <v>0</v>
      </c>
      <c r="AJ49" s="48">
        <v>0</v>
      </c>
      <c r="AK49" s="49">
        <v>0</v>
      </c>
      <c r="AL49" s="48">
        <v>0</v>
      </c>
      <c r="AM49" s="49">
        <v>0</v>
      </c>
      <c r="AN49" s="48">
        <v>15</v>
      </c>
      <c r="AO49" s="49">
        <v>100</v>
      </c>
      <c r="AP49" s="48">
        <v>15</v>
      </c>
    </row>
    <row r="50" spans="1:42" ht="15">
      <c r="A50" s="65" t="s">
        <v>238</v>
      </c>
      <c r="B50" s="65" t="s">
        <v>240</v>
      </c>
      <c r="C50" s="66" t="s">
        <v>1901</v>
      </c>
      <c r="D50" s="67">
        <v>3</v>
      </c>
      <c r="E50" s="68"/>
      <c r="F50" s="69">
        <v>50</v>
      </c>
      <c r="G50" s="66"/>
      <c r="H50" s="70"/>
      <c r="I50" s="71"/>
      <c r="J50" s="71"/>
      <c r="K50" s="34" t="s">
        <v>66</v>
      </c>
      <c r="L50" s="78">
        <v>50</v>
      </c>
      <c r="M50" s="78"/>
      <c r="N50" s="73"/>
      <c r="O50" s="80" t="s">
        <v>331</v>
      </c>
      <c r="P50" s="80" t="s">
        <v>333</v>
      </c>
      <c r="Q50" s="80" t="s">
        <v>377</v>
      </c>
      <c r="R50" s="80" t="s">
        <v>238</v>
      </c>
      <c r="S50" s="80" t="s">
        <v>579</v>
      </c>
      <c r="T50" s="82" t="str">
        <f>HYPERLINK("http://www.youtube.com/channel/UCLKL6RjR4FG0_kWNw7mJS1A")</f>
        <v>http://www.youtube.com/channel/UCLKL6RjR4FG0_kWNw7mJS1A</v>
      </c>
      <c r="U50" s="80" t="s">
        <v>689</v>
      </c>
      <c r="V50" s="80" t="s">
        <v>769</v>
      </c>
      <c r="W50" s="82" t="str">
        <f>HYPERLINK("https://www.youtube.com/watch?v=oVhk6C3hzvk")</f>
        <v>https://www.youtube.com/watch?v=oVhk6C3hzvk</v>
      </c>
      <c r="X50" s="80" t="s">
        <v>794</v>
      </c>
      <c r="Y50" s="80">
        <v>0</v>
      </c>
      <c r="Z50" s="84">
        <v>44003.160208333335</v>
      </c>
      <c r="AA50" s="84">
        <v>44003.160208333335</v>
      </c>
      <c r="AB50" s="80"/>
      <c r="AC50" s="80"/>
      <c r="AD50" s="80"/>
      <c r="AE50">
        <v>1</v>
      </c>
      <c r="AF50" s="79" t="str">
        <f>REPLACE(INDEX(GroupVertices[Group],MATCH(Edges[[#This Row],[Vertex 1]],GroupVertices[Vertex],0)),1,1,"")</f>
        <v>8</v>
      </c>
      <c r="AG50" s="79" t="str">
        <f>REPLACE(INDEX(GroupVertices[Group],MATCH(Edges[[#This Row],[Vertex 2]],GroupVertices[Vertex],0)),1,1,"")</f>
        <v>8</v>
      </c>
      <c r="AH50" s="48">
        <v>0</v>
      </c>
      <c r="AI50" s="49">
        <v>0</v>
      </c>
      <c r="AJ50" s="48">
        <v>0</v>
      </c>
      <c r="AK50" s="49">
        <v>0</v>
      </c>
      <c r="AL50" s="48">
        <v>0</v>
      </c>
      <c r="AM50" s="49">
        <v>0</v>
      </c>
      <c r="AN50" s="48">
        <v>8</v>
      </c>
      <c r="AO50" s="49">
        <v>100</v>
      </c>
      <c r="AP50" s="48">
        <v>8</v>
      </c>
    </row>
    <row r="51" spans="1:42" ht="15">
      <c r="A51" s="65" t="s">
        <v>240</v>
      </c>
      <c r="B51" s="65" t="s">
        <v>238</v>
      </c>
      <c r="C51" s="66" t="s">
        <v>1901</v>
      </c>
      <c r="D51" s="67">
        <v>3</v>
      </c>
      <c r="E51" s="68"/>
      <c r="F51" s="69">
        <v>50</v>
      </c>
      <c r="G51" s="66"/>
      <c r="H51" s="70"/>
      <c r="I51" s="71"/>
      <c r="J51" s="71"/>
      <c r="K51" s="34" t="s">
        <v>66</v>
      </c>
      <c r="L51" s="78">
        <v>51</v>
      </c>
      <c r="M51" s="78"/>
      <c r="N51" s="73"/>
      <c r="O51" s="80" t="s">
        <v>332</v>
      </c>
      <c r="P51" s="80" t="s">
        <v>198</v>
      </c>
      <c r="Q51" s="80" t="s">
        <v>379</v>
      </c>
      <c r="R51" s="80" t="s">
        <v>240</v>
      </c>
      <c r="S51" s="80" t="s">
        <v>581</v>
      </c>
      <c r="T51" s="82" t="str">
        <f>HYPERLINK("http://www.youtube.com/channel/UCUGy2u7dX3z-0TxexjH6Y7Q")</f>
        <v>http://www.youtube.com/channel/UCUGy2u7dX3z-0TxexjH6Y7Q</v>
      </c>
      <c r="U51" s="80"/>
      <c r="V51" s="80" t="s">
        <v>769</v>
      </c>
      <c r="W51" s="82" t="str">
        <f>HYPERLINK("https://www.youtube.com/watch?v=oVhk6C3hzvk")</f>
        <v>https://www.youtube.com/watch?v=oVhk6C3hzvk</v>
      </c>
      <c r="X51" s="80" t="s">
        <v>794</v>
      </c>
      <c r="Y51" s="80">
        <v>1</v>
      </c>
      <c r="Z51" s="84">
        <v>44003.15828703704</v>
      </c>
      <c r="AA51" s="84">
        <v>44003.15828703704</v>
      </c>
      <c r="AB51" s="80"/>
      <c r="AC51" s="80"/>
      <c r="AD51" s="80"/>
      <c r="AE51">
        <v>1</v>
      </c>
      <c r="AF51" s="79" t="str">
        <f>REPLACE(INDEX(GroupVertices[Group],MATCH(Edges[[#This Row],[Vertex 1]],GroupVertices[Vertex],0)),1,1,"")</f>
        <v>8</v>
      </c>
      <c r="AG51" s="79" t="str">
        <f>REPLACE(INDEX(GroupVertices[Group],MATCH(Edges[[#This Row],[Vertex 2]],GroupVertices[Vertex],0)),1,1,"")</f>
        <v>8</v>
      </c>
      <c r="AH51" s="48">
        <v>0</v>
      </c>
      <c r="AI51" s="49">
        <v>0</v>
      </c>
      <c r="AJ51" s="48">
        <v>0</v>
      </c>
      <c r="AK51" s="49">
        <v>0</v>
      </c>
      <c r="AL51" s="48">
        <v>0</v>
      </c>
      <c r="AM51" s="49">
        <v>0</v>
      </c>
      <c r="AN51" s="48">
        <v>6</v>
      </c>
      <c r="AO51" s="49">
        <v>100</v>
      </c>
      <c r="AP51" s="48">
        <v>6</v>
      </c>
    </row>
    <row r="52" spans="1:42" ht="15">
      <c r="A52" s="65" t="s">
        <v>238</v>
      </c>
      <c r="B52" s="65" t="s">
        <v>241</v>
      </c>
      <c r="C52" s="66" t="s">
        <v>1901</v>
      </c>
      <c r="D52" s="67">
        <v>3</v>
      </c>
      <c r="E52" s="68"/>
      <c r="F52" s="69">
        <v>50</v>
      </c>
      <c r="G52" s="66"/>
      <c r="H52" s="70"/>
      <c r="I52" s="71"/>
      <c r="J52" s="71"/>
      <c r="K52" s="34" t="s">
        <v>66</v>
      </c>
      <c r="L52" s="78">
        <v>52</v>
      </c>
      <c r="M52" s="78"/>
      <c r="N52" s="73"/>
      <c r="O52" s="80" t="s">
        <v>331</v>
      </c>
      <c r="P52" s="80" t="s">
        <v>333</v>
      </c>
      <c r="Q52" s="80" t="s">
        <v>380</v>
      </c>
      <c r="R52" s="80" t="s">
        <v>238</v>
      </c>
      <c r="S52" s="80" t="s">
        <v>579</v>
      </c>
      <c r="T52" s="82" t="str">
        <f>HYPERLINK("http://www.youtube.com/channel/UCLKL6RjR4FG0_kWNw7mJS1A")</f>
        <v>http://www.youtube.com/channel/UCLKL6RjR4FG0_kWNw7mJS1A</v>
      </c>
      <c r="U52" s="80" t="s">
        <v>690</v>
      </c>
      <c r="V52" s="80" t="s">
        <v>769</v>
      </c>
      <c r="W52" s="82" t="str">
        <f>HYPERLINK("https://www.youtube.com/watch?v=oVhk6C3hzvk")</f>
        <v>https://www.youtube.com/watch?v=oVhk6C3hzvk</v>
      </c>
      <c r="X52" s="80" t="s">
        <v>794</v>
      </c>
      <c r="Y52" s="80">
        <v>0</v>
      </c>
      <c r="Z52" s="84">
        <v>44005.331192129626</v>
      </c>
      <c r="AA52" s="84">
        <v>44005.331192129626</v>
      </c>
      <c r="AB52" s="80"/>
      <c r="AC52" s="80"/>
      <c r="AD52" s="80"/>
      <c r="AE52">
        <v>1</v>
      </c>
      <c r="AF52" s="79" t="str">
        <f>REPLACE(INDEX(GroupVertices[Group],MATCH(Edges[[#This Row],[Vertex 1]],GroupVertices[Vertex],0)),1,1,"")</f>
        <v>8</v>
      </c>
      <c r="AG52" s="79" t="str">
        <f>REPLACE(INDEX(GroupVertices[Group],MATCH(Edges[[#This Row],[Vertex 2]],GroupVertices[Vertex],0)),1,1,"")</f>
        <v>8</v>
      </c>
      <c r="AH52" s="48">
        <v>0</v>
      </c>
      <c r="AI52" s="49">
        <v>0</v>
      </c>
      <c r="AJ52" s="48">
        <v>0</v>
      </c>
      <c r="AK52" s="49">
        <v>0</v>
      </c>
      <c r="AL52" s="48">
        <v>0</v>
      </c>
      <c r="AM52" s="49">
        <v>0</v>
      </c>
      <c r="AN52" s="48">
        <v>20</v>
      </c>
      <c r="AO52" s="49">
        <v>100</v>
      </c>
      <c r="AP52" s="48">
        <v>20</v>
      </c>
    </row>
    <row r="53" spans="1:42" ht="15">
      <c r="A53" s="65" t="s">
        <v>241</v>
      </c>
      <c r="B53" s="65" t="s">
        <v>238</v>
      </c>
      <c r="C53" s="66" t="s">
        <v>1901</v>
      </c>
      <c r="D53" s="67">
        <v>3</v>
      </c>
      <c r="E53" s="68"/>
      <c r="F53" s="69">
        <v>50</v>
      </c>
      <c r="G53" s="66"/>
      <c r="H53" s="70"/>
      <c r="I53" s="71"/>
      <c r="J53" s="71"/>
      <c r="K53" s="34" t="s">
        <v>66</v>
      </c>
      <c r="L53" s="78">
        <v>53</v>
      </c>
      <c r="M53" s="78"/>
      <c r="N53" s="73"/>
      <c r="O53" s="80" t="s">
        <v>332</v>
      </c>
      <c r="P53" s="80" t="s">
        <v>198</v>
      </c>
      <c r="Q53" s="80" t="s">
        <v>381</v>
      </c>
      <c r="R53" s="80" t="s">
        <v>241</v>
      </c>
      <c r="S53" s="80" t="s">
        <v>582</v>
      </c>
      <c r="T53" s="82" t="str">
        <f>HYPERLINK("http://www.youtube.com/channel/UC-rXjJvywcQKgiGeGcZCATA")</f>
        <v>http://www.youtube.com/channel/UC-rXjJvywcQKgiGeGcZCATA</v>
      </c>
      <c r="U53" s="80"/>
      <c r="V53" s="80" t="s">
        <v>769</v>
      </c>
      <c r="W53" s="82" t="str">
        <f>HYPERLINK("https://www.youtube.com/watch?v=oVhk6C3hzvk")</f>
        <v>https://www.youtube.com/watch?v=oVhk6C3hzvk</v>
      </c>
      <c r="X53" s="80" t="s">
        <v>794</v>
      </c>
      <c r="Y53" s="80">
        <v>1</v>
      </c>
      <c r="Z53" s="84">
        <v>44005.32640046296</v>
      </c>
      <c r="AA53" s="84">
        <v>44005.32640046296</v>
      </c>
      <c r="AB53" s="80"/>
      <c r="AC53" s="80"/>
      <c r="AD53" s="80"/>
      <c r="AE53">
        <v>1</v>
      </c>
      <c r="AF53" s="79" t="str">
        <f>REPLACE(INDEX(GroupVertices[Group],MATCH(Edges[[#This Row],[Vertex 1]],GroupVertices[Vertex],0)),1,1,"")</f>
        <v>8</v>
      </c>
      <c r="AG53" s="79" t="str">
        <f>REPLACE(INDEX(GroupVertices[Group],MATCH(Edges[[#This Row],[Vertex 2]],GroupVertices[Vertex],0)),1,1,"")</f>
        <v>8</v>
      </c>
      <c r="AH53" s="48">
        <v>0</v>
      </c>
      <c r="AI53" s="49">
        <v>0</v>
      </c>
      <c r="AJ53" s="48">
        <v>0</v>
      </c>
      <c r="AK53" s="49">
        <v>0</v>
      </c>
      <c r="AL53" s="48">
        <v>0</v>
      </c>
      <c r="AM53" s="49">
        <v>0</v>
      </c>
      <c r="AN53" s="48">
        <v>30</v>
      </c>
      <c r="AO53" s="49">
        <v>100</v>
      </c>
      <c r="AP53" s="48">
        <v>30</v>
      </c>
    </row>
    <row r="54" spans="1:42" ht="15">
      <c r="A54" s="65" t="s">
        <v>214</v>
      </c>
      <c r="B54" s="65" t="s">
        <v>242</v>
      </c>
      <c r="C54" s="66" t="s">
        <v>1901</v>
      </c>
      <c r="D54" s="67">
        <v>3</v>
      </c>
      <c r="E54" s="68"/>
      <c r="F54" s="69">
        <v>50</v>
      </c>
      <c r="G54" s="66"/>
      <c r="H54" s="70"/>
      <c r="I54" s="71"/>
      <c r="J54" s="71"/>
      <c r="K54" s="34" t="s">
        <v>66</v>
      </c>
      <c r="L54" s="78">
        <v>54</v>
      </c>
      <c r="M54" s="78"/>
      <c r="N54" s="73"/>
      <c r="O54" s="80" t="s">
        <v>331</v>
      </c>
      <c r="P54" s="80" t="s">
        <v>333</v>
      </c>
      <c r="Q54" s="80" t="s">
        <v>382</v>
      </c>
      <c r="R54" s="80" t="s">
        <v>214</v>
      </c>
      <c r="S54" s="80" t="s">
        <v>555</v>
      </c>
      <c r="T54" s="82" t="str">
        <f>HYPERLINK("http://www.youtube.com/channel/UCFp1vaKzpfvoGai0vE5VJ0w")</f>
        <v>http://www.youtube.com/channel/UCFp1vaKzpfvoGai0vE5VJ0w</v>
      </c>
      <c r="U54" s="80" t="s">
        <v>691</v>
      </c>
      <c r="V54" s="80" t="s">
        <v>770</v>
      </c>
      <c r="W54" s="82" t="str">
        <f>HYPERLINK("https://www.youtube.com/watch?v=f9gYFWp4Zb4")</f>
        <v>https://www.youtube.com/watch?v=f9gYFWp4Zb4</v>
      </c>
      <c r="X54" s="80" t="s">
        <v>794</v>
      </c>
      <c r="Y54" s="80">
        <v>0</v>
      </c>
      <c r="Z54" s="84">
        <v>44002.97300925926</v>
      </c>
      <c r="AA54" s="84">
        <v>44002.97300925926</v>
      </c>
      <c r="AB54" s="80"/>
      <c r="AC54" s="80"/>
      <c r="AD54" s="80"/>
      <c r="AE54">
        <v>1</v>
      </c>
      <c r="AF54" s="79" t="str">
        <f>REPLACE(INDEX(GroupVertices[Group],MATCH(Edges[[#This Row],[Vertex 1]],GroupVertices[Vertex],0)),1,1,"")</f>
        <v>2</v>
      </c>
      <c r="AG54" s="79" t="str">
        <f>REPLACE(INDEX(GroupVertices[Group],MATCH(Edges[[#This Row],[Vertex 2]],GroupVertices[Vertex],0)),1,1,"")</f>
        <v>2</v>
      </c>
      <c r="AH54" s="48">
        <v>1</v>
      </c>
      <c r="AI54" s="49">
        <v>50</v>
      </c>
      <c r="AJ54" s="48">
        <v>0</v>
      </c>
      <c r="AK54" s="49">
        <v>0</v>
      </c>
      <c r="AL54" s="48">
        <v>0</v>
      </c>
      <c r="AM54" s="49">
        <v>0</v>
      </c>
      <c r="AN54" s="48">
        <v>1</v>
      </c>
      <c r="AO54" s="49">
        <v>50</v>
      </c>
      <c r="AP54" s="48">
        <v>2</v>
      </c>
    </row>
    <row r="55" spans="1:42" ht="15">
      <c r="A55" s="65" t="s">
        <v>242</v>
      </c>
      <c r="B55" s="65" t="s">
        <v>214</v>
      </c>
      <c r="C55" s="66" t="s">
        <v>1901</v>
      </c>
      <c r="D55" s="67">
        <v>3</v>
      </c>
      <c r="E55" s="68"/>
      <c r="F55" s="69">
        <v>50</v>
      </c>
      <c r="G55" s="66"/>
      <c r="H55" s="70"/>
      <c r="I55" s="71"/>
      <c r="J55" s="71"/>
      <c r="K55" s="34" t="s">
        <v>66</v>
      </c>
      <c r="L55" s="78">
        <v>55</v>
      </c>
      <c r="M55" s="78"/>
      <c r="N55" s="73"/>
      <c r="O55" s="80" t="s">
        <v>332</v>
      </c>
      <c r="P55" s="80" t="s">
        <v>198</v>
      </c>
      <c r="Q55" s="80" t="s">
        <v>383</v>
      </c>
      <c r="R55" s="80" t="s">
        <v>242</v>
      </c>
      <c r="S55" s="80" t="s">
        <v>583</v>
      </c>
      <c r="T55" s="82" t="str">
        <f>HYPERLINK("http://www.youtube.com/channel/UCmTk8A8oJsDRZk15-Zs0rng")</f>
        <v>http://www.youtube.com/channel/UCmTk8A8oJsDRZk15-Zs0rng</v>
      </c>
      <c r="U55" s="80"/>
      <c r="V55" s="80" t="s">
        <v>770</v>
      </c>
      <c r="W55" s="82" t="str">
        <f>HYPERLINK("https://www.youtube.com/watch?v=f9gYFWp4Zb4")</f>
        <v>https://www.youtube.com/watch?v=f9gYFWp4Zb4</v>
      </c>
      <c r="X55" s="80" t="s">
        <v>794</v>
      </c>
      <c r="Y55" s="80">
        <v>1</v>
      </c>
      <c r="Z55" s="84">
        <v>44002.770266203705</v>
      </c>
      <c r="AA55" s="84">
        <v>44002.770266203705</v>
      </c>
      <c r="AB55" s="80" t="s">
        <v>799</v>
      </c>
      <c r="AC55" s="80" t="s">
        <v>812</v>
      </c>
      <c r="AD55" s="80"/>
      <c r="AE55">
        <v>1</v>
      </c>
      <c r="AF55" s="79" t="str">
        <f>REPLACE(INDEX(GroupVertices[Group],MATCH(Edges[[#This Row],[Vertex 1]],GroupVertices[Vertex],0)),1,1,"")</f>
        <v>2</v>
      </c>
      <c r="AG55" s="79" t="str">
        <f>REPLACE(INDEX(GroupVertices[Group],MATCH(Edges[[#This Row],[Vertex 2]],GroupVertices[Vertex],0)),1,1,"")</f>
        <v>2</v>
      </c>
      <c r="AH55" s="48">
        <v>0</v>
      </c>
      <c r="AI55" s="49">
        <v>0</v>
      </c>
      <c r="AJ55" s="48">
        <v>0</v>
      </c>
      <c r="AK55" s="49">
        <v>0</v>
      </c>
      <c r="AL55" s="48">
        <v>0</v>
      </c>
      <c r="AM55" s="49">
        <v>0</v>
      </c>
      <c r="AN55" s="48">
        <v>11</v>
      </c>
      <c r="AO55" s="49">
        <v>100</v>
      </c>
      <c r="AP55" s="48">
        <v>11</v>
      </c>
    </row>
    <row r="56" spans="1:42" ht="15">
      <c r="A56" s="65" t="s">
        <v>214</v>
      </c>
      <c r="B56" s="65" t="s">
        <v>243</v>
      </c>
      <c r="C56" s="66" t="s">
        <v>1901</v>
      </c>
      <c r="D56" s="67">
        <v>3</v>
      </c>
      <c r="E56" s="68"/>
      <c r="F56" s="69">
        <v>50</v>
      </c>
      <c r="G56" s="66"/>
      <c r="H56" s="70"/>
      <c r="I56" s="71"/>
      <c r="J56" s="71"/>
      <c r="K56" s="34" t="s">
        <v>66</v>
      </c>
      <c r="L56" s="78">
        <v>56</v>
      </c>
      <c r="M56" s="78"/>
      <c r="N56" s="73"/>
      <c r="O56" s="80" t="s">
        <v>331</v>
      </c>
      <c r="P56" s="80" t="s">
        <v>333</v>
      </c>
      <c r="Q56" s="80" t="s">
        <v>384</v>
      </c>
      <c r="R56" s="80" t="s">
        <v>214</v>
      </c>
      <c r="S56" s="80" t="s">
        <v>555</v>
      </c>
      <c r="T56" s="82" t="str">
        <f>HYPERLINK("http://www.youtube.com/channel/UCFp1vaKzpfvoGai0vE5VJ0w")</f>
        <v>http://www.youtube.com/channel/UCFp1vaKzpfvoGai0vE5VJ0w</v>
      </c>
      <c r="U56" s="80" t="s">
        <v>692</v>
      </c>
      <c r="V56" s="80" t="s">
        <v>770</v>
      </c>
      <c r="W56" s="82" t="str">
        <f>HYPERLINK("https://www.youtube.com/watch?v=f9gYFWp4Zb4")</f>
        <v>https://www.youtube.com/watch?v=f9gYFWp4Zb4</v>
      </c>
      <c r="X56" s="80" t="s">
        <v>794</v>
      </c>
      <c r="Y56" s="80">
        <v>1</v>
      </c>
      <c r="Z56" s="84">
        <v>44003.02143518518</v>
      </c>
      <c r="AA56" s="84">
        <v>44003.02143518518</v>
      </c>
      <c r="AB56" s="80" t="s">
        <v>800</v>
      </c>
      <c r="AC56" s="80" t="s">
        <v>813</v>
      </c>
      <c r="AD56" s="80"/>
      <c r="AE56">
        <v>1</v>
      </c>
      <c r="AF56" s="79" t="str">
        <f>REPLACE(INDEX(GroupVertices[Group],MATCH(Edges[[#This Row],[Vertex 1]],GroupVertices[Vertex],0)),1,1,"")</f>
        <v>2</v>
      </c>
      <c r="AG56" s="79" t="str">
        <f>REPLACE(INDEX(GroupVertices[Group],MATCH(Edges[[#This Row],[Vertex 2]],GroupVertices[Vertex],0)),1,1,"")</f>
        <v>2</v>
      </c>
      <c r="AH56" s="48">
        <v>1</v>
      </c>
      <c r="AI56" s="49">
        <v>3.7037037037037037</v>
      </c>
      <c r="AJ56" s="48">
        <v>0</v>
      </c>
      <c r="AK56" s="49">
        <v>0</v>
      </c>
      <c r="AL56" s="48">
        <v>0</v>
      </c>
      <c r="AM56" s="49">
        <v>0</v>
      </c>
      <c r="AN56" s="48">
        <v>26</v>
      </c>
      <c r="AO56" s="49">
        <v>96.29629629629629</v>
      </c>
      <c r="AP56" s="48">
        <v>27</v>
      </c>
    </row>
    <row r="57" spans="1:42" ht="15">
      <c r="A57" s="65" t="s">
        <v>243</v>
      </c>
      <c r="B57" s="65" t="s">
        <v>214</v>
      </c>
      <c r="C57" s="66" t="s">
        <v>1901</v>
      </c>
      <c r="D57" s="67">
        <v>3</v>
      </c>
      <c r="E57" s="68"/>
      <c r="F57" s="69">
        <v>50</v>
      </c>
      <c r="G57" s="66"/>
      <c r="H57" s="70"/>
      <c r="I57" s="71"/>
      <c r="J57" s="71"/>
      <c r="K57" s="34" t="s">
        <v>66</v>
      </c>
      <c r="L57" s="78">
        <v>57</v>
      </c>
      <c r="M57" s="78"/>
      <c r="N57" s="73"/>
      <c r="O57" s="80" t="s">
        <v>332</v>
      </c>
      <c r="P57" s="80" t="s">
        <v>198</v>
      </c>
      <c r="Q57" s="80" t="s">
        <v>385</v>
      </c>
      <c r="R57" s="80" t="s">
        <v>243</v>
      </c>
      <c r="S57" s="80" t="s">
        <v>584</v>
      </c>
      <c r="T57" s="82" t="str">
        <f>HYPERLINK("http://www.youtube.com/channel/UC6bRQV45_B5wpO2bnDjDyow")</f>
        <v>http://www.youtube.com/channel/UC6bRQV45_B5wpO2bnDjDyow</v>
      </c>
      <c r="U57" s="80"/>
      <c r="V57" s="80" t="s">
        <v>770</v>
      </c>
      <c r="W57" s="82" t="str">
        <f>HYPERLINK("https://www.youtube.com/watch?v=f9gYFWp4Zb4")</f>
        <v>https://www.youtube.com/watch?v=f9gYFWp4Zb4</v>
      </c>
      <c r="X57" s="80" t="s">
        <v>794</v>
      </c>
      <c r="Y57" s="80">
        <v>0</v>
      </c>
      <c r="Z57" s="84">
        <v>44002.97642361111</v>
      </c>
      <c r="AA57" s="84">
        <v>44002.97642361111</v>
      </c>
      <c r="AB57" s="80"/>
      <c r="AC57" s="80"/>
      <c r="AD57" s="80"/>
      <c r="AE57">
        <v>1</v>
      </c>
      <c r="AF57" s="79" t="str">
        <f>REPLACE(INDEX(GroupVertices[Group],MATCH(Edges[[#This Row],[Vertex 1]],GroupVertices[Vertex],0)),1,1,"")</f>
        <v>2</v>
      </c>
      <c r="AG57" s="79" t="str">
        <f>REPLACE(INDEX(GroupVertices[Group],MATCH(Edges[[#This Row],[Vertex 2]],GroupVertices[Vertex],0)),1,1,"")</f>
        <v>2</v>
      </c>
      <c r="AH57" s="48">
        <v>0</v>
      </c>
      <c r="AI57" s="49">
        <v>0</v>
      </c>
      <c r="AJ57" s="48">
        <v>1</v>
      </c>
      <c r="AK57" s="49">
        <v>2.127659574468085</v>
      </c>
      <c r="AL57" s="48">
        <v>0</v>
      </c>
      <c r="AM57" s="49">
        <v>0</v>
      </c>
      <c r="AN57" s="48">
        <v>46</v>
      </c>
      <c r="AO57" s="49">
        <v>97.87234042553192</v>
      </c>
      <c r="AP57" s="48">
        <v>47</v>
      </c>
    </row>
    <row r="58" spans="1:42" ht="15">
      <c r="A58" s="65" t="s">
        <v>243</v>
      </c>
      <c r="B58" s="65" t="s">
        <v>243</v>
      </c>
      <c r="C58" s="66" t="s">
        <v>1901</v>
      </c>
      <c r="D58" s="67">
        <v>3</v>
      </c>
      <c r="E58" s="68"/>
      <c r="F58" s="69">
        <v>50</v>
      </c>
      <c r="G58" s="66"/>
      <c r="H58" s="70"/>
      <c r="I58" s="71"/>
      <c r="J58" s="71"/>
      <c r="K58" s="34" t="s">
        <v>65</v>
      </c>
      <c r="L58" s="78">
        <v>58</v>
      </c>
      <c r="M58" s="78"/>
      <c r="N58" s="73"/>
      <c r="O58" s="80" t="s">
        <v>331</v>
      </c>
      <c r="P58" s="80" t="s">
        <v>333</v>
      </c>
      <c r="Q58" s="80" t="s">
        <v>386</v>
      </c>
      <c r="R58" s="80" t="s">
        <v>243</v>
      </c>
      <c r="S58" s="80" t="s">
        <v>584</v>
      </c>
      <c r="T58" s="82" t="str">
        <f>HYPERLINK("http://www.youtube.com/channel/UC6bRQV45_B5wpO2bnDjDyow")</f>
        <v>http://www.youtube.com/channel/UC6bRQV45_B5wpO2bnDjDyow</v>
      </c>
      <c r="U58" s="80" t="s">
        <v>692</v>
      </c>
      <c r="V58" s="80" t="s">
        <v>770</v>
      </c>
      <c r="W58" s="82" t="str">
        <f>HYPERLINK("https://www.youtube.com/watch?v=f9gYFWp4Zb4")</f>
        <v>https://www.youtube.com/watch?v=f9gYFWp4Zb4</v>
      </c>
      <c r="X58" s="80" t="s">
        <v>794</v>
      </c>
      <c r="Y58" s="80">
        <v>0</v>
      </c>
      <c r="Z58" s="84">
        <v>44003.0909837963</v>
      </c>
      <c r="AA58" s="84">
        <v>44003.0909837963</v>
      </c>
      <c r="AB58" s="80"/>
      <c r="AC58" s="80"/>
      <c r="AD58" s="80"/>
      <c r="AE58">
        <v>1</v>
      </c>
      <c r="AF58" s="79" t="str">
        <f>REPLACE(INDEX(GroupVertices[Group],MATCH(Edges[[#This Row],[Vertex 1]],GroupVertices[Vertex],0)),1,1,"")</f>
        <v>2</v>
      </c>
      <c r="AG58" s="79" t="str">
        <f>REPLACE(INDEX(GroupVertices[Group],MATCH(Edges[[#This Row],[Vertex 2]],GroupVertices[Vertex],0)),1,1,"")</f>
        <v>2</v>
      </c>
      <c r="AH58" s="48">
        <v>0</v>
      </c>
      <c r="AI58" s="49">
        <v>0</v>
      </c>
      <c r="AJ58" s="48">
        <v>0</v>
      </c>
      <c r="AK58" s="49">
        <v>0</v>
      </c>
      <c r="AL58" s="48">
        <v>0</v>
      </c>
      <c r="AM58" s="49">
        <v>0</v>
      </c>
      <c r="AN58" s="48">
        <v>10</v>
      </c>
      <c r="AO58" s="49">
        <v>100</v>
      </c>
      <c r="AP58" s="48">
        <v>10</v>
      </c>
    </row>
    <row r="59" spans="1:42" ht="15">
      <c r="A59" s="65" t="s">
        <v>244</v>
      </c>
      <c r="B59" s="65" t="s">
        <v>245</v>
      </c>
      <c r="C59" s="66" t="s">
        <v>1901</v>
      </c>
      <c r="D59" s="67">
        <v>3</v>
      </c>
      <c r="E59" s="68"/>
      <c r="F59" s="69">
        <v>50</v>
      </c>
      <c r="G59" s="66"/>
      <c r="H59" s="70"/>
      <c r="I59" s="71"/>
      <c r="J59" s="71"/>
      <c r="K59" s="34" t="s">
        <v>66</v>
      </c>
      <c r="L59" s="78">
        <v>59</v>
      </c>
      <c r="M59" s="78"/>
      <c r="N59" s="73"/>
      <c r="O59" s="80" t="s">
        <v>331</v>
      </c>
      <c r="P59" s="80" t="s">
        <v>333</v>
      </c>
      <c r="Q59" s="80" t="s">
        <v>387</v>
      </c>
      <c r="R59" s="80" t="s">
        <v>244</v>
      </c>
      <c r="S59" s="80" t="s">
        <v>585</v>
      </c>
      <c r="T59" s="82" t="str">
        <f>HYPERLINK("http://www.youtube.com/channel/UCOZRKgwJMnfnipCEy9CxCjg")</f>
        <v>http://www.youtube.com/channel/UCOZRKgwJMnfnipCEy9CxCjg</v>
      </c>
      <c r="U59" s="80" t="s">
        <v>693</v>
      </c>
      <c r="V59" s="80" t="s">
        <v>771</v>
      </c>
      <c r="W59" s="82" t="str">
        <f>HYPERLINK("https://www.youtube.com/watch?v=eUiSVGoMnPA")</f>
        <v>https://www.youtube.com/watch?v=eUiSVGoMnPA</v>
      </c>
      <c r="X59" s="80" t="s">
        <v>794</v>
      </c>
      <c r="Y59" s="80">
        <v>0</v>
      </c>
      <c r="Z59" s="84">
        <v>44002.86052083333</v>
      </c>
      <c r="AA59" s="84">
        <v>44002.86052083333</v>
      </c>
      <c r="AB59" s="80"/>
      <c r="AC59" s="80"/>
      <c r="AD59" s="80"/>
      <c r="AE59">
        <v>1</v>
      </c>
      <c r="AF59" s="79" t="str">
        <f>REPLACE(INDEX(GroupVertices[Group],MATCH(Edges[[#This Row],[Vertex 1]],GroupVertices[Vertex],0)),1,1,"")</f>
        <v>15</v>
      </c>
      <c r="AG59" s="79" t="str">
        <f>REPLACE(INDEX(GroupVertices[Group],MATCH(Edges[[#This Row],[Vertex 2]],GroupVertices[Vertex],0)),1,1,"")</f>
        <v>15</v>
      </c>
      <c r="AH59" s="48">
        <v>1</v>
      </c>
      <c r="AI59" s="49">
        <v>33.333333333333336</v>
      </c>
      <c r="AJ59" s="48">
        <v>0</v>
      </c>
      <c r="AK59" s="49">
        <v>0</v>
      </c>
      <c r="AL59" s="48">
        <v>0</v>
      </c>
      <c r="AM59" s="49">
        <v>0</v>
      </c>
      <c r="AN59" s="48">
        <v>2</v>
      </c>
      <c r="AO59" s="49">
        <v>66.66666666666667</v>
      </c>
      <c r="AP59" s="48">
        <v>3</v>
      </c>
    </row>
    <row r="60" spans="1:42" ht="15">
      <c r="A60" s="65" t="s">
        <v>245</v>
      </c>
      <c r="B60" s="65" t="s">
        <v>244</v>
      </c>
      <c r="C60" s="66" t="s">
        <v>1901</v>
      </c>
      <c r="D60" s="67">
        <v>3</v>
      </c>
      <c r="E60" s="68"/>
      <c r="F60" s="69">
        <v>50</v>
      </c>
      <c r="G60" s="66"/>
      <c r="H60" s="70"/>
      <c r="I60" s="71"/>
      <c r="J60" s="71"/>
      <c r="K60" s="34" t="s">
        <v>66</v>
      </c>
      <c r="L60" s="78">
        <v>60</v>
      </c>
      <c r="M60" s="78"/>
      <c r="N60" s="73"/>
      <c r="O60" s="80" t="s">
        <v>332</v>
      </c>
      <c r="P60" s="80" t="s">
        <v>198</v>
      </c>
      <c r="Q60" s="80" t="s">
        <v>388</v>
      </c>
      <c r="R60" s="80" t="s">
        <v>245</v>
      </c>
      <c r="S60" s="80" t="s">
        <v>586</v>
      </c>
      <c r="T60" s="82" t="str">
        <f>HYPERLINK("http://www.youtube.com/channel/UCefzkIWdkuRt3d5LpN315rw")</f>
        <v>http://www.youtube.com/channel/UCefzkIWdkuRt3d5LpN315rw</v>
      </c>
      <c r="U60" s="80"/>
      <c r="V60" s="80" t="s">
        <v>771</v>
      </c>
      <c r="W60" s="82" t="str">
        <f>HYPERLINK("https://www.youtube.com/watch?v=eUiSVGoMnPA")</f>
        <v>https://www.youtube.com/watch?v=eUiSVGoMnPA</v>
      </c>
      <c r="X60" s="80" t="s">
        <v>794</v>
      </c>
      <c r="Y60" s="80">
        <v>1</v>
      </c>
      <c r="Z60" s="84">
        <v>44002.844247685185</v>
      </c>
      <c r="AA60" s="84">
        <v>44002.844247685185</v>
      </c>
      <c r="AB60" s="80"/>
      <c r="AC60" s="80"/>
      <c r="AD60" s="80"/>
      <c r="AE60">
        <v>1</v>
      </c>
      <c r="AF60" s="79" t="str">
        <f>REPLACE(INDEX(GroupVertices[Group],MATCH(Edges[[#This Row],[Vertex 1]],GroupVertices[Vertex],0)),1,1,"")</f>
        <v>15</v>
      </c>
      <c r="AG60" s="79" t="str">
        <f>REPLACE(INDEX(GroupVertices[Group],MATCH(Edges[[#This Row],[Vertex 2]],GroupVertices[Vertex],0)),1,1,"")</f>
        <v>15</v>
      </c>
      <c r="AH60" s="48">
        <v>1</v>
      </c>
      <c r="AI60" s="49">
        <v>8.333333333333334</v>
      </c>
      <c r="AJ60" s="48">
        <v>0</v>
      </c>
      <c r="AK60" s="49">
        <v>0</v>
      </c>
      <c r="AL60" s="48">
        <v>0</v>
      </c>
      <c r="AM60" s="49">
        <v>0</v>
      </c>
      <c r="AN60" s="48">
        <v>11</v>
      </c>
      <c r="AO60" s="49">
        <v>91.66666666666667</v>
      </c>
      <c r="AP60" s="48">
        <v>12</v>
      </c>
    </row>
    <row r="61" spans="1:42" ht="15">
      <c r="A61" s="65" t="s">
        <v>244</v>
      </c>
      <c r="B61" s="65" t="s">
        <v>246</v>
      </c>
      <c r="C61" s="66" t="s">
        <v>1901</v>
      </c>
      <c r="D61" s="67">
        <v>3</v>
      </c>
      <c r="E61" s="68"/>
      <c r="F61" s="69">
        <v>50</v>
      </c>
      <c r="G61" s="66"/>
      <c r="H61" s="70"/>
      <c r="I61" s="71"/>
      <c r="J61" s="71"/>
      <c r="K61" s="34" t="s">
        <v>66</v>
      </c>
      <c r="L61" s="78">
        <v>61</v>
      </c>
      <c r="M61" s="78"/>
      <c r="N61" s="73"/>
      <c r="O61" s="80" t="s">
        <v>331</v>
      </c>
      <c r="P61" s="80" t="s">
        <v>333</v>
      </c>
      <c r="Q61" s="80" t="s">
        <v>389</v>
      </c>
      <c r="R61" s="80" t="s">
        <v>244</v>
      </c>
      <c r="S61" s="80" t="s">
        <v>585</v>
      </c>
      <c r="T61" s="82" t="str">
        <f>HYPERLINK("http://www.youtube.com/channel/UCOZRKgwJMnfnipCEy9CxCjg")</f>
        <v>http://www.youtube.com/channel/UCOZRKgwJMnfnipCEy9CxCjg</v>
      </c>
      <c r="U61" s="80" t="s">
        <v>694</v>
      </c>
      <c r="V61" s="80" t="s">
        <v>771</v>
      </c>
      <c r="W61" s="82" t="str">
        <f>HYPERLINK("https://www.youtube.com/watch?v=eUiSVGoMnPA")</f>
        <v>https://www.youtube.com/watch?v=eUiSVGoMnPA</v>
      </c>
      <c r="X61" s="80" t="s">
        <v>794</v>
      </c>
      <c r="Y61" s="80">
        <v>1</v>
      </c>
      <c r="Z61" s="84">
        <v>44004.740949074076</v>
      </c>
      <c r="AA61" s="84">
        <v>44004.740949074076</v>
      </c>
      <c r="AB61" s="80"/>
      <c r="AC61" s="80"/>
      <c r="AD61" s="80"/>
      <c r="AE61">
        <v>1</v>
      </c>
      <c r="AF61" s="79" t="str">
        <f>REPLACE(INDEX(GroupVertices[Group],MATCH(Edges[[#This Row],[Vertex 1]],GroupVertices[Vertex],0)),1,1,"")</f>
        <v>15</v>
      </c>
      <c r="AG61" s="79" t="str">
        <f>REPLACE(INDEX(GroupVertices[Group],MATCH(Edges[[#This Row],[Vertex 2]],GroupVertices[Vertex],0)),1,1,"")</f>
        <v>15</v>
      </c>
      <c r="AH61" s="48">
        <v>2</v>
      </c>
      <c r="AI61" s="49">
        <v>22.22222222222222</v>
      </c>
      <c r="AJ61" s="48">
        <v>0</v>
      </c>
      <c r="AK61" s="49">
        <v>0</v>
      </c>
      <c r="AL61" s="48">
        <v>0</v>
      </c>
      <c r="AM61" s="49">
        <v>0</v>
      </c>
      <c r="AN61" s="48">
        <v>7</v>
      </c>
      <c r="AO61" s="49">
        <v>77.77777777777777</v>
      </c>
      <c r="AP61" s="48">
        <v>9</v>
      </c>
    </row>
    <row r="62" spans="1:42" ht="15">
      <c r="A62" s="65" t="s">
        <v>246</v>
      </c>
      <c r="B62" s="65" t="s">
        <v>244</v>
      </c>
      <c r="C62" s="66" t="s">
        <v>1901</v>
      </c>
      <c r="D62" s="67">
        <v>3</v>
      </c>
      <c r="E62" s="68"/>
      <c r="F62" s="69">
        <v>50</v>
      </c>
      <c r="G62" s="66"/>
      <c r="H62" s="70"/>
      <c r="I62" s="71"/>
      <c r="J62" s="71"/>
      <c r="K62" s="34" t="s">
        <v>66</v>
      </c>
      <c r="L62" s="78">
        <v>62</v>
      </c>
      <c r="M62" s="78"/>
      <c r="N62" s="73"/>
      <c r="O62" s="80" t="s">
        <v>332</v>
      </c>
      <c r="P62" s="80" t="s">
        <v>198</v>
      </c>
      <c r="Q62" s="80" t="s">
        <v>390</v>
      </c>
      <c r="R62" s="80" t="s">
        <v>246</v>
      </c>
      <c r="S62" s="80" t="s">
        <v>587</v>
      </c>
      <c r="T62" s="82" t="str">
        <f>HYPERLINK("http://www.youtube.com/channel/UCKp092ExKFKNPf0rFaWOS8Q")</f>
        <v>http://www.youtube.com/channel/UCKp092ExKFKNPf0rFaWOS8Q</v>
      </c>
      <c r="U62" s="80"/>
      <c r="V62" s="80" t="s">
        <v>771</v>
      </c>
      <c r="W62" s="82" t="str">
        <f>HYPERLINK("https://www.youtube.com/watch?v=eUiSVGoMnPA")</f>
        <v>https://www.youtube.com/watch?v=eUiSVGoMnPA</v>
      </c>
      <c r="X62" s="80" t="s">
        <v>794</v>
      </c>
      <c r="Y62" s="80">
        <v>1</v>
      </c>
      <c r="Z62" s="84">
        <v>44004.2153587963</v>
      </c>
      <c r="AA62" s="84">
        <v>44004.2153587963</v>
      </c>
      <c r="AB62" s="80"/>
      <c r="AC62" s="80"/>
      <c r="AD62" s="80"/>
      <c r="AE62">
        <v>1</v>
      </c>
      <c r="AF62" s="79" t="str">
        <f>REPLACE(INDEX(GroupVertices[Group],MATCH(Edges[[#This Row],[Vertex 1]],GroupVertices[Vertex],0)),1,1,"")</f>
        <v>15</v>
      </c>
      <c r="AG62" s="79" t="str">
        <f>REPLACE(INDEX(GroupVertices[Group],MATCH(Edges[[#This Row],[Vertex 2]],GroupVertices[Vertex],0)),1,1,"")</f>
        <v>15</v>
      </c>
      <c r="AH62" s="48">
        <v>2</v>
      </c>
      <c r="AI62" s="49">
        <v>28.571428571428573</v>
      </c>
      <c r="AJ62" s="48">
        <v>0</v>
      </c>
      <c r="AK62" s="49">
        <v>0</v>
      </c>
      <c r="AL62" s="48">
        <v>0</v>
      </c>
      <c r="AM62" s="49">
        <v>0</v>
      </c>
      <c r="AN62" s="48">
        <v>5</v>
      </c>
      <c r="AO62" s="49">
        <v>71.42857142857143</v>
      </c>
      <c r="AP62" s="48">
        <v>7</v>
      </c>
    </row>
    <row r="63" spans="1:42" ht="15">
      <c r="A63" s="65" t="s">
        <v>244</v>
      </c>
      <c r="B63" s="65" t="s">
        <v>247</v>
      </c>
      <c r="C63" s="66" t="s">
        <v>1901</v>
      </c>
      <c r="D63" s="67">
        <v>3</v>
      </c>
      <c r="E63" s="68"/>
      <c r="F63" s="69">
        <v>50</v>
      </c>
      <c r="G63" s="66"/>
      <c r="H63" s="70"/>
      <c r="I63" s="71"/>
      <c r="J63" s="71"/>
      <c r="K63" s="34" t="s">
        <v>66</v>
      </c>
      <c r="L63" s="78">
        <v>63</v>
      </c>
      <c r="M63" s="78"/>
      <c r="N63" s="73"/>
      <c r="O63" s="80" t="s">
        <v>331</v>
      </c>
      <c r="P63" s="80" t="s">
        <v>333</v>
      </c>
      <c r="Q63" s="80" t="s">
        <v>391</v>
      </c>
      <c r="R63" s="80" t="s">
        <v>244</v>
      </c>
      <c r="S63" s="80" t="s">
        <v>585</v>
      </c>
      <c r="T63" s="82" t="str">
        <f>HYPERLINK("http://www.youtube.com/channel/UCOZRKgwJMnfnipCEy9CxCjg")</f>
        <v>http://www.youtube.com/channel/UCOZRKgwJMnfnipCEy9CxCjg</v>
      </c>
      <c r="U63" s="80" t="s">
        <v>695</v>
      </c>
      <c r="V63" s="80" t="s">
        <v>771</v>
      </c>
      <c r="W63" s="82" t="str">
        <f>HYPERLINK("https://www.youtube.com/watch?v=eUiSVGoMnPA")</f>
        <v>https://www.youtube.com/watch?v=eUiSVGoMnPA</v>
      </c>
      <c r="X63" s="80" t="s">
        <v>794</v>
      </c>
      <c r="Y63" s="80">
        <v>0</v>
      </c>
      <c r="Z63" s="84">
        <v>44005.590520833335</v>
      </c>
      <c r="AA63" s="84">
        <v>44005.590520833335</v>
      </c>
      <c r="AB63" s="80"/>
      <c r="AC63" s="80"/>
      <c r="AD63" s="80"/>
      <c r="AE63">
        <v>1</v>
      </c>
      <c r="AF63" s="79" t="str">
        <f>REPLACE(INDEX(GroupVertices[Group],MATCH(Edges[[#This Row],[Vertex 1]],GroupVertices[Vertex],0)),1,1,"")</f>
        <v>15</v>
      </c>
      <c r="AG63" s="79" t="str">
        <f>REPLACE(INDEX(GroupVertices[Group],MATCH(Edges[[#This Row],[Vertex 2]],GroupVertices[Vertex],0)),1,1,"")</f>
        <v>15</v>
      </c>
      <c r="AH63" s="48">
        <v>2</v>
      </c>
      <c r="AI63" s="49">
        <v>6.0606060606060606</v>
      </c>
      <c r="AJ63" s="48">
        <v>0</v>
      </c>
      <c r="AK63" s="49">
        <v>0</v>
      </c>
      <c r="AL63" s="48">
        <v>0</v>
      </c>
      <c r="AM63" s="49">
        <v>0</v>
      </c>
      <c r="AN63" s="48">
        <v>31</v>
      </c>
      <c r="AO63" s="49">
        <v>93.93939393939394</v>
      </c>
      <c r="AP63" s="48">
        <v>33</v>
      </c>
    </row>
    <row r="64" spans="1:42" ht="15">
      <c r="A64" s="65" t="s">
        <v>247</v>
      </c>
      <c r="B64" s="65" t="s">
        <v>244</v>
      </c>
      <c r="C64" s="66" t="s">
        <v>1901</v>
      </c>
      <c r="D64" s="67">
        <v>3</v>
      </c>
      <c r="E64" s="68"/>
      <c r="F64" s="69">
        <v>50</v>
      </c>
      <c r="G64" s="66"/>
      <c r="H64" s="70"/>
      <c r="I64" s="71"/>
      <c r="J64" s="71"/>
      <c r="K64" s="34" t="s">
        <v>66</v>
      </c>
      <c r="L64" s="78">
        <v>64</v>
      </c>
      <c r="M64" s="78"/>
      <c r="N64" s="73"/>
      <c r="O64" s="80" t="s">
        <v>332</v>
      </c>
      <c r="P64" s="80" t="s">
        <v>198</v>
      </c>
      <c r="Q64" s="80" t="s">
        <v>392</v>
      </c>
      <c r="R64" s="80" t="s">
        <v>247</v>
      </c>
      <c r="S64" s="80" t="s">
        <v>588</v>
      </c>
      <c r="T64" s="82" t="str">
        <f>HYPERLINK("http://www.youtube.com/channel/UCB4WHxT7ICmN6NBDBHlhysA")</f>
        <v>http://www.youtube.com/channel/UCB4WHxT7ICmN6NBDBHlhysA</v>
      </c>
      <c r="U64" s="80"/>
      <c r="V64" s="80" t="s">
        <v>771</v>
      </c>
      <c r="W64" s="82" t="str">
        <f>HYPERLINK("https://www.youtube.com/watch?v=eUiSVGoMnPA")</f>
        <v>https://www.youtube.com/watch?v=eUiSVGoMnPA</v>
      </c>
      <c r="X64" s="80" t="s">
        <v>794</v>
      </c>
      <c r="Y64" s="80">
        <v>1</v>
      </c>
      <c r="Z64" s="84">
        <v>44005.20269675926</v>
      </c>
      <c r="AA64" s="84">
        <v>44005.20269675926</v>
      </c>
      <c r="AB64" s="80"/>
      <c r="AC64" s="80"/>
      <c r="AD64" s="80"/>
      <c r="AE64">
        <v>1</v>
      </c>
      <c r="AF64" s="79" t="str">
        <f>REPLACE(INDEX(GroupVertices[Group],MATCH(Edges[[#This Row],[Vertex 1]],GroupVertices[Vertex],0)),1,1,"")</f>
        <v>15</v>
      </c>
      <c r="AG64" s="79" t="str">
        <f>REPLACE(INDEX(GroupVertices[Group],MATCH(Edges[[#This Row],[Vertex 2]],GroupVertices[Vertex],0)),1,1,"")</f>
        <v>15</v>
      </c>
      <c r="AH64" s="48">
        <v>4</v>
      </c>
      <c r="AI64" s="49">
        <v>9.30232558139535</v>
      </c>
      <c r="AJ64" s="48">
        <v>0</v>
      </c>
      <c r="AK64" s="49">
        <v>0</v>
      </c>
      <c r="AL64" s="48">
        <v>0</v>
      </c>
      <c r="AM64" s="49">
        <v>0</v>
      </c>
      <c r="AN64" s="48">
        <v>39</v>
      </c>
      <c r="AO64" s="49">
        <v>90.69767441860465</v>
      </c>
      <c r="AP64" s="48">
        <v>43</v>
      </c>
    </row>
    <row r="65" spans="1:42" ht="15">
      <c r="A65" s="65" t="s">
        <v>248</v>
      </c>
      <c r="B65" s="65" t="s">
        <v>249</v>
      </c>
      <c r="C65" s="66" t="s">
        <v>1901</v>
      </c>
      <c r="D65" s="67">
        <v>3</v>
      </c>
      <c r="E65" s="68"/>
      <c r="F65" s="69">
        <v>50</v>
      </c>
      <c r="G65" s="66"/>
      <c r="H65" s="70"/>
      <c r="I65" s="71"/>
      <c r="J65" s="71"/>
      <c r="K65" s="34" t="s">
        <v>65</v>
      </c>
      <c r="L65" s="78">
        <v>65</v>
      </c>
      <c r="M65" s="78"/>
      <c r="N65" s="73"/>
      <c r="O65" s="80" t="s">
        <v>331</v>
      </c>
      <c r="P65" s="80" t="s">
        <v>333</v>
      </c>
      <c r="Q65" s="80" t="s">
        <v>393</v>
      </c>
      <c r="R65" s="80" t="s">
        <v>248</v>
      </c>
      <c r="S65" s="80" t="s">
        <v>589</v>
      </c>
      <c r="T65" s="82" t="str">
        <f>HYPERLINK("http://www.youtube.com/channel/UC0kpOb4XER93vxjw7DysYsg")</f>
        <v>http://www.youtube.com/channel/UC0kpOb4XER93vxjw7DysYsg</v>
      </c>
      <c r="U65" s="80" t="s">
        <v>696</v>
      </c>
      <c r="V65" s="80" t="s">
        <v>772</v>
      </c>
      <c r="W65" s="82" t="str">
        <f>HYPERLINK("https://www.youtube.com/watch?v=t8XEwOyKk00")</f>
        <v>https://www.youtube.com/watch?v=t8XEwOyKk00</v>
      </c>
      <c r="X65" s="80" t="s">
        <v>794</v>
      </c>
      <c r="Y65" s="80">
        <v>0</v>
      </c>
      <c r="Z65" s="84">
        <v>44003.75041666667</v>
      </c>
      <c r="AA65" s="84">
        <v>44003.75041666667</v>
      </c>
      <c r="AB65" s="80"/>
      <c r="AC65" s="80"/>
      <c r="AD65" s="80"/>
      <c r="AE65">
        <v>1</v>
      </c>
      <c r="AF65" s="79" t="str">
        <f>REPLACE(INDEX(GroupVertices[Group],MATCH(Edges[[#This Row],[Vertex 1]],GroupVertices[Vertex],0)),1,1,"")</f>
        <v>12</v>
      </c>
      <c r="AG65" s="79" t="str">
        <f>REPLACE(INDEX(GroupVertices[Group],MATCH(Edges[[#This Row],[Vertex 2]],GroupVertices[Vertex],0)),1,1,"")</f>
        <v>12</v>
      </c>
      <c r="AH65" s="48">
        <v>0</v>
      </c>
      <c r="AI65" s="49">
        <v>0</v>
      </c>
      <c r="AJ65" s="48">
        <v>0</v>
      </c>
      <c r="AK65" s="49">
        <v>0</v>
      </c>
      <c r="AL65" s="48">
        <v>0</v>
      </c>
      <c r="AM65" s="49">
        <v>0</v>
      </c>
      <c r="AN65" s="48">
        <v>12</v>
      </c>
      <c r="AO65" s="49">
        <v>100</v>
      </c>
      <c r="AP65" s="48">
        <v>12</v>
      </c>
    </row>
    <row r="66" spans="1:42" ht="15">
      <c r="A66" s="65" t="s">
        <v>249</v>
      </c>
      <c r="B66" s="65" t="s">
        <v>329</v>
      </c>
      <c r="C66" s="66" t="s">
        <v>1901</v>
      </c>
      <c r="D66" s="67">
        <v>3</v>
      </c>
      <c r="E66" s="68"/>
      <c r="F66" s="69">
        <v>50</v>
      </c>
      <c r="G66" s="66"/>
      <c r="H66" s="70"/>
      <c r="I66" s="71"/>
      <c r="J66" s="71"/>
      <c r="K66" s="34" t="s">
        <v>65</v>
      </c>
      <c r="L66" s="78">
        <v>66</v>
      </c>
      <c r="M66" s="78"/>
      <c r="N66" s="73"/>
      <c r="O66" s="80" t="s">
        <v>332</v>
      </c>
      <c r="P66" s="80" t="s">
        <v>198</v>
      </c>
      <c r="Q66" s="80" t="s">
        <v>394</v>
      </c>
      <c r="R66" s="80" t="s">
        <v>249</v>
      </c>
      <c r="S66" s="80" t="s">
        <v>590</v>
      </c>
      <c r="T66" s="82" t="str">
        <f>HYPERLINK("http://www.youtube.com/channel/UCJT-Fnl8tDkFWLESDSDZjng")</f>
        <v>http://www.youtube.com/channel/UCJT-Fnl8tDkFWLESDSDZjng</v>
      </c>
      <c r="U66" s="80"/>
      <c r="V66" s="80" t="s">
        <v>772</v>
      </c>
      <c r="W66" s="82" t="str">
        <f>HYPERLINK("https://www.youtube.com/watch?v=t8XEwOyKk00")</f>
        <v>https://www.youtube.com/watch?v=t8XEwOyKk00</v>
      </c>
      <c r="X66" s="80" t="s">
        <v>794</v>
      </c>
      <c r="Y66" s="80">
        <v>0</v>
      </c>
      <c r="Z66" s="84">
        <v>44003.71326388889</v>
      </c>
      <c r="AA66" s="84">
        <v>44003.71326388889</v>
      </c>
      <c r="AB66" s="80"/>
      <c r="AC66" s="80"/>
      <c r="AD66" s="80"/>
      <c r="AE66">
        <v>1</v>
      </c>
      <c r="AF66" s="79" t="str">
        <f>REPLACE(INDEX(GroupVertices[Group],MATCH(Edges[[#This Row],[Vertex 1]],GroupVertices[Vertex],0)),1,1,"")</f>
        <v>12</v>
      </c>
      <c r="AG66" s="79" t="str">
        <f>REPLACE(INDEX(GroupVertices[Group],MATCH(Edges[[#This Row],[Vertex 2]],GroupVertices[Vertex],0)),1,1,"")</f>
        <v>12</v>
      </c>
      <c r="AH66" s="48">
        <v>0</v>
      </c>
      <c r="AI66" s="49">
        <v>0</v>
      </c>
      <c r="AJ66" s="48">
        <v>0</v>
      </c>
      <c r="AK66" s="49">
        <v>0</v>
      </c>
      <c r="AL66" s="48">
        <v>0</v>
      </c>
      <c r="AM66" s="49">
        <v>0</v>
      </c>
      <c r="AN66" s="48">
        <v>16</v>
      </c>
      <c r="AO66" s="49">
        <v>100</v>
      </c>
      <c r="AP66" s="48">
        <v>16</v>
      </c>
    </row>
    <row r="67" spans="1:42" ht="15">
      <c r="A67" s="65" t="s">
        <v>250</v>
      </c>
      <c r="B67" s="65" t="s">
        <v>251</v>
      </c>
      <c r="C67" s="66" t="s">
        <v>1901</v>
      </c>
      <c r="D67" s="67">
        <v>3</v>
      </c>
      <c r="E67" s="68"/>
      <c r="F67" s="69">
        <v>50</v>
      </c>
      <c r="G67" s="66"/>
      <c r="H67" s="70"/>
      <c r="I67" s="71"/>
      <c r="J67" s="71"/>
      <c r="K67" s="34" t="s">
        <v>65</v>
      </c>
      <c r="L67" s="78">
        <v>67</v>
      </c>
      <c r="M67" s="78"/>
      <c r="N67" s="73"/>
      <c r="O67" s="80" t="s">
        <v>331</v>
      </c>
      <c r="P67" s="80" t="s">
        <v>333</v>
      </c>
      <c r="Q67" s="80" t="s">
        <v>395</v>
      </c>
      <c r="R67" s="80" t="s">
        <v>250</v>
      </c>
      <c r="S67" s="80" t="s">
        <v>591</v>
      </c>
      <c r="T67" s="82" t="str">
        <f>HYPERLINK("http://www.youtube.com/channel/UC4090jrwobUxtTmgxFuKxEg")</f>
        <v>http://www.youtube.com/channel/UC4090jrwobUxtTmgxFuKxEg</v>
      </c>
      <c r="U67" s="80" t="s">
        <v>697</v>
      </c>
      <c r="V67" s="80" t="s">
        <v>772</v>
      </c>
      <c r="W67" s="82" t="str">
        <f>HYPERLINK("https://www.youtube.com/watch?v=t8XEwOyKk00")</f>
        <v>https://www.youtube.com/watch?v=t8XEwOyKk00</v>
      </c>
      <c r="X67" s="80" t="s">
        <v>794</v>
      </c>
      <c r="Y67" s="80">
        <v>0</v>
      </c>
      <c r="Z67" s="84">
        <v>44005.029340277775</v>
      </c>
      <c r="AA67" s="84">
        <v>44005.029340277775</v>
      </c>
      <c r="AB67" s="80"/>
      <c r="AC67" s="80"/>
      <c r="AD67" s="80"/>
      <c r="AE67">
        <v>1</v>
      </c>
      <c r="AF67" s="79" t="str">
        <f>REPLACE(INDEX(GroupVertices[Group],MATCH(Edges[[#This Row],[Vertex 1]],GroupVertices[Vertex],0)),1,1,"")</f>
        <v>12</v>
      </c>
      <c r="AG67" s="79" t="str">
        <f>REPLACE(INDEX(GroupVertices[Group],MATCH(Edges[[#This Row],[Vertex 2]],GroupVertices[Vertex],0)),1,1,"")</f>
        <v>12</v>
      </c>
      <c r="AH67" s="48">
        <v>0</v>
      </c>
      <c r="AI67" s="49">
        <v>0</v>
      </c>
      <c r="AJ67" s="48">
        <v>0</v>
      </c>
      <c r="AK67" s="49">
        <v>0</v>
      </c>
      <c r="AL67" s="48">
        <v>0</v>
      </c>
      <c r="AM67" s="49">
        <v>0</v>
      </c>
      <c r="AN67" s="48">
        <v>31</v>
      </c>
      <c r="AO67" s="49">
        <v>100</v>
      </c>
      <c r="AP67" s="48">
        <v>31</v>
      </c>
    </row>
    <row r="68" spans="1:42" ht="15">
      <c r="A68" s="65" t="s">
        <v>251</v>
      </c>
      <c r="B68" s="65" t="s">
        <v>329</v>
      </c>
      <c r="C68" s="66" t="s">
        <v>1901</v>
      </c>
      <c r="D68" s="67">
        <v>3</v>
      </c>
      <c r="E68" s="68"/>
      <c r="F68" s="69">
        <v>50</v>
      </c>
      <c r="G68" s="66"/>
      <c r="H68" s="70"/>
      <c r="I68" s="71"/>
      <c r="J68" s="71"/>
      <c r="K68" s="34" t="s">
        <v>65</v>
      </c>
      <c r="L68" s="78">
        <v>68</v>
      </c>
      <c r="M68" s="78"/>
      <c r="N68" s="73"/>
      <c r="O68" s="80" t="s">
        <v>332</v>
      </c>
      <c r="P68" s="80" t="s">
        <v>198</v>
      </c>
      <c r="Q68" s="80" t="s">
        <v>396</v>
      </c>
      <c r="R68" s="80" t="s">
        <v>251</v>
      </c>
      <c r="S68" s="80" t="s">
        <v>592</v>
      </c>
      <c r="T68" s="82" t="str">
        <f>HYPERLINK("http://www.youtube.com/channel/UCcocBjwKz7xbgMHpMc6I_9Q")</f>
        <v>http://www.youtube.com/channel/UCcocBjwKz7xbgMHpMc6I_9Q</v>
      </c>
      <c r="U68" s="80"/>
      <c r="V68" s="80" t="s">
        <v>772</v>
      </c>
      <c r="W68" s="82" t="str">
        <f>HYPERLINK("https://www.youtube.com/watch?v=t8XEwOyKk00")</f>
        <v>https://www.youtube.com/watch?v=t8XEwOyKk00</v>
      </c>
      <c r="X68" s="80" t="s">
        <v>794</v>
      </c>
      <c r="Y68" s="80">
        <v>1</v>
      </c>
      <c r="Z68" s="84">
        <v>44004.20153935185</v>
      </c>
      <c r="AA68" s="84">
        <v>44004.20153935185</v>
      </c>
      <c r="AB68" s="80"/>
      <c r="AC68" s="80"/>
      <c r="AD68" s="80"/>
      <c r="AE68">
        <v>1</v>
      </c>
      <c r="AF68" s="79" t="str">
        <f>REPLACE(INDEX(GroupVertices[Group],MATCH(Edges[[#This Row],[Vertex 1]],GroupVertices[Vertex],0)),1,1,"")</f>
        <v>12</v>
      </c>
      <c r="AG68" s="79" t="str">
        <f>REPLACE(INDEX(GroupVertices[Group],MATCH(Edges[[#This Row],[Vertex 2]],GroupVertices[Vertex],0)),1,1,"")</f>
        <v>12</v>
      </c>
      <c r="AH68" s="48">
        <v>1</v>
      </c>
      <c r="AI68" s="49">
        <v>1.5384615384615385</v>
      </c>
      <c r="AJ68" s="48">
        <v>0</v>
      </c>
      <c r="AK68" s="49">
        <v>0</v>
      </c>
      <c r="AL68" s="48">
        <v>0</v>
      </c>
      <c r="AM68" s="49">
        <v>0</v>
      </c>
      <c r="AN68" s="48">
        <v>64</v>
      </c>
      <c r="AO68" s="49">
        <v>98.46153846153847</v>
      </c>
      <c r="AP68" s="48">
        <v>65</v>
      </c>
    </row>
    <row r="69" spans="1:42" ht="15">
      <c r="A69" s="65" t="s">
        <v>252</v>
      </c>
      <c r="B69" s="65" t="s">
        <v>253</v>
      </c>
      <c r="C69" s="66" t="s">
        <v>1901</v>
      </c>
      <c r="D69" s="67">
        <v>3</v>
      </c>
      <c r="E69" s="68"/>
      <c r="F69" s="69">
        <v>50</v>
      </c>
      <c r="G69" s="66"/>
      <c r="H69" s="70"/>
      <c r="I69" s="71"/>
      <c r="J69" s="71"/>
      <c r="K69" s="34" t="s">
        <v>66</v>
      </c>
      <c r="L69" s="78">
        <v>69</v>
      </c>
      <c r="M69" s="78"/>
      <c r="N69" s="73"/>
      <c r="O69" s="80" t="s">
        <v>331</v>
      </c>
      <c r="P69" s="80" t="s">
        <v>333</v>
      </c>
      <c r="Q69" s="80" t="s">
        <v>397</v>
      </c>
      <c r="R69" s="80" t="s">
        <v>252</v>
      </c>
      <c r="S69" s="80" t="s">
        <v>593</v>
      </c>
      <c r="T69" s="82" t="str">
        <f>HYPERLINK("http://www.youtube.com/channel/UCH4mvHhRxr_WHPjun9cr5PA")</f>
        <v>http://www.youtube.com/channel/UCH4mvHhRxr_WHPjun9cr5PA</v>
      </c>
      <c r="U69" s="80" t="s">
        <v>698</v>
      </c>
      <c r="V69" s="80" t="s">
        <v>773</v>
      </c>
      <c r="W69" s="82" t="str">
        <f>HYPERLINK("https://www.youtube.com/watch?v=B2MDLI5o7ik")</f>
        <v>https://www.youtube.com/watch?v=B2MDLI5o7ik</v>
      </c>
      <c r="X69" s="80" t="s">
        <v>794</v>
      </c>
      <c r="Y69" s="80">
        <v>1</v>
      </c>
      <c r="Z69" s="84">
        <v>44003.99953703704</v>
      </c>
      <c r="AA69" s="84">
        <v>44003.99953703704</v>
      </c>
      <c r="AB69" s="80" t="s">
        <v>801</v>
      </c>
      <c r="AC69" s="80" t="s">
        <v>814</v>
      </c>
      <c r="AD69" s="80"/>
      <c r="AE69">
        <v>1</v>
      </c>
      <c r="AF69" s="79" t="str">
        <f>REPLACE(INDEX(GroupVertices[Group],MATCH(Edges[[#This Row],[Vertex 1]],GroupVertices[Vertex],0)),1,1,"")</f>
        <v>9</v>
      </c>
      <c r="AG69" s="79" t="str">
        <f>REPLACE(INDEX(GroupVertices[Group],MATCH(Edges[[#This Row],[Vertex 2]],GroupVertices[Vertex],0)),1,1,"")</f>
        <v>9</v>
      </c>
      <c r="AH69" s="48">
        <v>1</v>
      </c>
      <c r="AI69" s="49">
        <v>3.5714285714285716</v>
      </c>
      <c r="AJ69" s="48">
        <v>0</v>
      </c>
      <c r="AK69" s="49">
        <v>0</v>
      </c>
      <c r="AL69" s="48">
        <v>0</v>
      </c>
      <c r="AM69" s="49">
        <v>0</v>
      </c>
      <c r="AN69" s="48">
        <v>27</v>
      </c>
      <c r="AO69" s="49">
        <v>96.42857142857143</v>
      </c>
      <c r="AP69" s="48">
        <v>28</v>
      </c>
    </row>
    <row r="70" spans="1:42" ht="15">
      <c r="A70" s="65" t="s">
        <v>253</v>
      </c>
      <c r="B70" s="65" t="s">
        <v>253</v>
      </c>
      <c r="C70" s="66" t="s">
        <v>1901</v>
      </c>
      <c r="D70" s="67">
        <v>3</v>
      </c>
      <c r="E70" s="68"/>
      <c r="F70" s="69">
        <v>50</v>
      </c>
      <c r="G70" s="66"/>
      <c r="H70" s="70"/>
      <c r="I70" s="71"/>
      <c r="J70" s="71"/>
      <c r="K70" s="34" t="s">
        <v>65</v>
      </c>
      <c r="L70" s="78">
        <v>70</v>
      </c>
      <c r="M70" s="78"/>
      <c r="N70" s="73"/>
      <c r="O70" s="80" t="s">
        <v>331</v>
      </c>
      <c r="P70" s="80" t="s">
        <v>333</v>
      </c>
      <c r="Q70" s="80" t="s">
        <v>398</v>
      </c>
      <c r="R70" s="80" t="s">
        <v>253</v>
      </c>
      <c r="S70" s="80" t="s">
        <v>594</v>
      </c>
      <c r="T70" s="82" t="str">
        <f>HYPERLINK("http://www.youtube.com/channel/UCjijs1unp8JQ06H8Jrc7Kdg")</f>
        <v>http://www.youtube.com/channel/UCjijs1unp8JQ06H8Jrc7Kdg</v>
      </c>
      <c r="U70" s="80" t="s">
        <v>698</v>
      </c>
      <c r="V70" s="80" t="s">
        <v>773</v>
      </c>
      <c r="W70" s="82" t="str">
        <f>HYPERLINK("https://www.youtube.com/watch?v=B2MDLI5o7ik")</f>
        <v>https://www.youtube.com/watch?v=B2MDLI5o7ik</v>
      </c>
      <c r="X70" s="80" t="s">
        <v>794</v>
      </c>
      <c r="Y70" s="80">
        <v>1</v>
      </c>
      <c r="Z70" s="84">
        <v>44004.15493055555</v>
      </c>
      <c r="AA70" s="84">
        <v>44004.15493055555</v>
      </c>
      <c r="AB70" s="80"/>
      <c r="AC70" s="80"/>
      <c r="AD70" s="80"/>
      <c r="AE70">
        <v>1</v>
      </c>
      <c r="AF70" s="79" t="str">
        <f>REPLACE(INDEX(GroupVertices[Group],MATCH(Edges[[#This Row],[Vertex 1]],GroupVertices[Vertex],0)),1,1,"")</f>
        <v>9</v>
      </c>
      <c r="AG70" s="79" t="str">
        <f>REPLACE(INDEX(GroupVertices[Group],MATCH(Edges[[#This Row],[Vertex 2]],GroupVertices[Vertex],0)),1,1,"")</f>
        <v>9</v>
      </c>
      <c r="AH70" s="48">
        <v>1</v>
      </c>
      <c r="AI70" s="49">
        <v>25</v>
      </c>
      <c r="AJ70" s="48">
        <v>0</v>
      </c>
      <c r="AK70" s="49">
        <v>0</v>
      </c>
      <c r="AL70" s="48">
        <v>0</v>
      </c>
      <c r="AM70" s="49">
        <v>0</v>
      </c>
      <c r="AN70" s="48">
        <v>3</v>
      </c>
      <c r="AO70" s="49">
        <v>75</v>
      </c>
      <c r="AP70" s="48">
        <v>4</v>
      </c>
    </row>
    <row r="71" spans="1:42" ht="15">
      <c r="A71" s="65" t="s">
        <v>253</v>
      </c>
      <c r="B71" s="65" t="s">
        <v>252</v>
      </c>
      <c r="C71" s="66" t="s">
        <v>1901</v>
      </c>
      <c r="D71" s="67">
        <v>3</v>
      </c>
      <c r="E71" s="68"/>
      <c r="F71" s="69">
        <v>50</v>
      </c>
      <c r="G71" s="66"/>
      <c r="H71" s="70"/>
      <c r="I71" s="71"/>
      <c r="J71" s="71"/>
      <c r="K71" s="34" t="s">
        <v>66</v>
      </c>
      <c r="L71" s="78">
        <v>71</v>
      </c>
      <c r="M71" s="78"/>
      <c r="N71" s="73"/>
      <c r="O71" s="80" t="s">
        <v>332</v>
      </c>
      <c r="P71" s="80" t="s">
        <v>198</v>
      </c>
      <c r="Q71" s="80" t="s">
        <v>399</v>
      </c>
      <c r="R71" s="80" t="s">
        <v>253</v>
      </c>
      <c r="S71" s="80" t="s">
        <v>594</v>
      </c>
      <c r="T71" s="82" t="str">
        <f>HYPERLINK("http://www.youtube.com/channel/UCjijs1unp8JQ06H8Jrc7Kdg")</f>
        <v>http://www.youtube.com/channel/UCjijs1unp8JQ06H8Jrc7Kdg</v>
      </c>
      <c r="U71" s="80"/>
      <c r="V71" s="80" t="s">
        <v>773</v>
      </c>
      <c r="W71" s="82" t="str">
        <f>HYPERLINK("https://www.youtube.com/watch?v=B2MDLI5o7ik")</f>
        <v>https://www.youtube.com/watch?v=B2MDLI5o7ik</v>
      </c>
      <c r="X71" s="80" t="s">
        <v>794</v>
      </c>
      <c r="Y71" s="80">
        <v>2</v>
      </c>
      <c r="Z71" s="84">
        <v>44003.903078703705</v>
      </c>
      <c r="AA71" s="84">
        <v>44003.903078703705</v>
      </c>
      <c r="AB71" s="80"/>
      <c r="AC71" s="80"/>
      <c r="AD71" s="80"/>
      <c r="AE71">
        <v>1</v>
      </c>
      <c r="AF71" s="79" t="str">
        <f>REPLACE(INDEX(GroupVertices[Group],MATCH(Edges[[#This Row],[Vertex 1]],GroupVertices[Vertex],0)),1,1,"")</f>
        <v>9</v>
      </c>
      <c r="AG71" s="79" t="str">
        <f>REPLACE(INDEX(GroupVertices[Group],MATCH(Edges[[#This Row],[Vertex 2]],GroupVertices[Vertex],0)),1,1,"")</f>
        <v>9</v>
      </c>
      <c r="AH71" s="48">
        <v>0</v>
      </c>
      <c r="AI71" s="49">
        <v>0</v>
      </c>
      <c r="AJ71" s="48">
        <v>0</v>
      </c>
      <c r="AK71" s="49">
        <v>0</v>
      </c>
      <c r="AL71" s="48">
        <v>0</v>
      </c>
      <c r="AM71" s="49">
        <v>0</v>
      </c>
      <c r="AN71" s="48">
        <v>24</v>
      </c>
      <c r="AO71" s="49">
        <v>100</v>
      </c>
      <c r="AP71" s="48">
        <v>24</v>
      </c>
    </row>
    <row r="72" spans="1:42" ht="15">
      <c r="A72" s="65" t="s">
        <v>252</v>
      </c>
      <c r="B72" s="65" t="s">
        <v>254</v>
      </c>
      <c r="C72" s="66" t="s">
        <v>1901</v>
      </c>
      <c r="D72" s="67">
        <v>3</v>
      </c>
      <c r="E72" s="68"/>
      <c r="F72" s="69">
        <v>50</v>
      </c>
      <c r="G72" s="66"/>
      <c r="H72" s="70"/>
      <c r="I72" s="71"/>
      <c r="J72" s="71"/>
      <c r="K72" s="34" t="s">
        <v>66</v>
      </c>
      <c r="L72" s="78">
        <v>72</v>
      </c>
      <c r="M72" s="78"/>
      <c r="N72" s="73"/>
      <c r="O72" s="80" t="s">
        <v>331</v>
      </c>
      <c r="P72" s="80" t="s">
        <v>333</v>
      </c>
      <c r="Q72" s="80" t="s">
        <v>400</v>
      </c>
      <c r="R72" s="80" t="s">
        <v>252</v>
      </c>
      <c r="S72" s="80" t="s">
        <v>593</v>
      </c>
      <c r="T72" s="82" t="str">
        <f>HYPERLINK("http://www.youtube.com/channel/UCH4mvHhRxr_WHPjun9cr5PA")</f>
        <v>http://www.youtube.com/channel/UCH4mvHhRxr_WHPjun9cr5PA</v>
      </c>
      <c r="U72" s="80" t="s">
        <v>699</v>
      </c>
      <c r="V72" s="80" t="s">
        <v>773</v>
      </c>
      <c r="W72" s="82" t="str">
        <f>HYPERLINK("https://www.youtube.com/watch?v=B2MDLI5o7ik")</f>
        <v>https://www.youtube.com/watch?v=B2MDLI5o7ik</v>
      </c>
      <c r="X72" s="80" t="s">
        <v>794</v>
      </c>
      <c r="Y72" s="80">
        <v>0</v>
      </c>
      <c r="Z72" s="84">
        <v>44004.01583333333</v>
      </c>
      <c r="AA72" s="84">
        <v>44004.01583333333</v>
      </c>
      <c r="AB72" s="80"/>
      <c r="AC72" s="80"/>
      <c r="AD72" s="80"/>
      <c r="AE72">
        <v>1</v>
      </c>
      <c r="AF72" s="79" t="str">
        <f>REPLACE(INDEX(GroupVertices[Group],MATCH(Edges[[#This Row],[Vertex 1]],GroupVertices[Vertex],0)),1,1,"")</f>
        <v>9</v>
      </c>
      <c r="AG72" s="79" t="str">
        <f>REPLACE(INDEX(GroupVertices[Group],MATCH(Edges[[#This Row],[Vertex 2]],GroupVertices[Vertex],0)),1,1,"")</f>
        <v>9</v>
      </c>
      <c r="AH72" s="48">
        <v>0</v>
      </c>
      <c r="AI72" s="49">
        <v>0</v>
      </c>
      <c r="AJ72" s="48">
        <v>0</v>
      </c>
      <c r="AK72" s="49">
        <v>0</v>
      </c>
      <c r="AL72" s="48">
        <v>0</v>
      </c>
      <c r="AM72" s="49">
        <v>0</v>
      </c>
      <c r="AN72" s="48">
        <v>5</v>
      </c>
      <c r="AO72" s="49">
        <v>100</v>
      </c>
      <c r="AP72" s="48">
        <v>5</v>
      </c>
    </row>
    <row r="73" spans="1:42" ht="15">
      <c r="A73" s="65" t="s">
        <v>254</v>
      </c>
      <c r="B73" s="65" t="s">
        <v>252</v>
      </c>
      <c r="C73" s="66" t="s">
        <v>1901</v>
      </c>
      <c r="D73" s="67">
        <v>3</v>
      </c>
      <c r="E73" s="68"/>
      <c r="F73" s="69">
        <v>50</v>
      </c>
      <c r="G73" s="66"/>
      <c r="H73" s="70"/>
      <c r="I73" s="71"/>
      <c r="J73" s="71"/>
      <c r="K73" s="34" t="s">
        <v>66</v>
      </c>
      <c r="L73" s="78">
        <v>73</v>
      </c>
      <c r="M73" s="78"/>
      <c r="N73" s="73"/>
      <c r="O73" s="80" t="s">
        <v>332</v>
      </c>
      <c r="P73" s="80" t="s">
        <v>198</v>
      </c>
      <c r="Q73" s="80" t="s">
        <v>401</v>
      </c>
      <c r="R73" s="80" t="s">
        <v>254</v>
      </c>
      <c r="S73" s="80" t="s">
        <v>595</v>
      </c>
      <c r="T73" s="82" t="str">
        <f>HYPERLINK("http://www.youtube.com/channel/UCh50QUhw9b4NQmOSWVc3iWg")</f>
        <v>http://www.youtube.com/channel/UCh50QUhw9b4NQmOSWVc3iWg</v>
      </c>
      <c r="U73" s="80"/>
      <c r="V73" s="80" t="s">
        <v>773</v>
      </c>
      <c r="W73" s="82" t="str">
        <f>HYPERLINK("https://www.youtube.com/watch?v=B2MDLI5o7ik")</f>
        <v>https://www.youtube.com/watch?v=B2MDLI5o7ik</v>
      </c>
      <c r="X73" s="80" t="s">
        <v>794</v>
      </c>
      <c r="Y73" s="80">
        <v>1</v>
      </c>
      <c r="Z73" s="84">
        <v>44004.007893518516</v>
      </c>
      <c r="AA73" s="84">
        <v>44004.007893518516</v>
      </c>
      <c r="AB73" s="80"/>
      <c r="AC73" s="80"/>
      <c r="AD73" s="80"/>
      <c r="AE73">
        <v>1</v>
      </c>
      <c r="AF73" s="79" t="str">
        <f>REPLACE(INDEX(GroupVertices[Group],MATCH(Edges[[#This Row],[Vertex 1]],GroupVertices[Vertex],0)),1,1,"")</f>
        <v>9</v>
      </c>
      <c r="AG73" s="79" t="str">
        <f>REPLACE(INDEX(GroupVertices[Group],MATCH(Edges[[#This Row],[Vertex 2]],GroupVertices[Vertex],0)),1,1,"")</f>
        <v>9</v>
      </c>
      <c r="AH73" s="48">
        <v>0</v>
      </c>
      <c r="AI73" s="49">
        <v>0</v>
      </c>
      <c r="AJ73" s="48">
        <v>0</v>
      </c>
      <c r="AK73" s="49">
        <v>0</v>
      </c>
      <c r="AL73" s="48">
        <v>0</v>
      </c>
      <c r="AM73" s="49">
        <v>0</v>
      </c>
      <c r="AN73" s="48">
        <v>3</v>
      </c>
      <c r="AO73" s="49">
        <v>100</v>
      </c>
      <c r="AP73" s="48">
        <v>3</v>
      </c>
    </row>
    <row r="74" spans="1:42" ht="15">
      <c r="A74" s="65" t="s">
        <v>252</v>
      </c>
      <c r="B74" s="65" t="s">
        <v>255</v>
      </c>
      <c r="C74" s="66" t="s">
        <v>1901</v>
      </c>
      <c r="D74" s="67">
        <v>3</v>
      </c>
      <c r="E74" s="68"/>
      <c r="F74" s="69">
        <v>50</v>
      </c>
      <c r="G74" s="66"/>
      <c r="H74" s="70"/>
      <c r="I74" s="71"/>
      <c r="J74" s="71"/>
      <c r="K74" s="34" t="s">
        <v>66</v>
      </c>
      <c r="L74" s="78">
        <v>74</v>
      </c>
      <c r="M74" s="78"/>
      <c r="N74" s="73"/>
      <c r="O74" s="80" t="s">
        <v>331</v>
      </c>
      <c r="P74" s="80" t="s">
        <v>333</v>
      </c>
      <c r="Q74" s="80" t="s">
        <v>402</v>
      </c>
      <c r="R74" s="80" t="s">
        <v>252</v>
      </c>
      <c r="S74" s="80" t="s">
        <v>593</v>
      </c>
      <c r="T74" s="82" t="str">
        <f>HYPERLINK("http://www.youtube.com/channel/UCH4mvHhRxr_WHPjun9cr5PA")</f>
        <v>http://www.youtube.com/channel/UCH4mvHhRxr_WHPjun9cr5PA</v>
      </c>
      <c r="U74" s="80" t="s">
        <v>700</v>
      </c>
      <c r="V74" s="80" t="s">
        <v>773</v>
      </c>
      <c r="W74" s="82" t="str">
        <f>HYPERLINK("https://www.youtube.com/watch?v=B2MDLI5o7ik")</f>
        <v>https://www.youtube.com/watch?v=B2MDLI5o7ik</v>
      </c>
      <c r="X74" s="80" t="s">
        <v>794</v>
      </c>
      <c r="Y74" s="80">
        <v>0</v>
      </c>
      <c r="Z74" s="84">
        <v>44004.80799768519</v>
      </c>
      <c r="AA74" s="84">
        <v>44004.80799768519</v>
      </c>
      <c r="AB74" s="80"/>
      <c r="AC74" s="80"/>
      <c r="AD74" s="80"/>
      <c r="AE74">
        <v>1</v>
      </c>
      <c r="AF74" s="79" t="str">
        <f>REPLACE(INDEX(GroupVertices[Group],MATCH(Edges[[#This Row],[Vertex 1]],GroupVertices[Vertex],0)),1,1,"")</f>
        <v>9</v>
      </c>
      <c r="AG74" s="79" t="str">
        <f>REPLACE(INDEX(GroupVertices[Group],MATCH(Edges[[#This Row],[Vertex 2]],GroupVertices[Vertex],0)),1,1,"")</f>
        <v>9</v>
      </c>
      <c r="AH74" s="48">
        <v>0</v>
      </c>
      <c r="AI74" s="49">
        <v>0</v>
      </c>
      <c r="AJ74" s="48">
        <v>0</v>
      </c>
      <c r="AK74" s="49">
        <v>0</v>
      </c>
      <c r="AL74" s="48">
        <v>0</v>
      </c>
      <c r="AM74" s="49">
        <v>0</v>
      </c>
      <c r="AN74" s="48">
        <v>4</v>
      </c>
      <c r="AO74" s="49">
        <v>100</v>
      </c>
      <c r="AP74" s="48">
        <v>4</v>
      </c>
    </row>
    <row r="75" spans="1:42" ht="15">
      <c r="A75" s="65" t="s">
        <v>255</v>
      </c>
      <c r="B75" s="65" t="s">
        <v>252</v>
      </c>
      <c r="C75" s="66" t="s">
        <v>1901</v>
      </c>
      <c r="D75" s="67">
        <v>3</v>
      </c>
      <c r="E75" s="68"/>
      <c r="F75" s="69">
        <v>50</v>
      </c>
      <c r="G75" s="66"/>
      <c r="H75" s="70"/>
      <c r="I75" s="71"/>
      <c r="J75" s="71"/>
      <c r="K75" s="34" t="s">
        <v>66</v>
      </c>
      <c r="L75" s="78">
        <v>75</v>
      </c>
      <c r="M75" s="78"/>
      <c r="N75" s="73"/>
      <c r="O75" s="80" t="s">
        <v>332</v>
      </c>
      <c r="P75" s="80" t="s">
        <v>198</v>
      </c>
      <c r="Q75" s="80" t="s">
        <v>403</v>
      </c>
      <c r="R75" s="80" t="s">
        <v>255</v>
      </c>
      <c r="S75" s="80" t="s">
        <v>596</v>
      </c>
      <c r="T75" s="82" t="str">
        <f>HYPERLINK("http://www.youtube.com/channel/UCwgBbIyCmAHxGC2_lL2JllQ")</f>
        <v>http://www.youtube.com/channel/UCwgBbIyCmAHxGC2_lL2JllQ</v>
      </c>
      <c r="U75" s="80"/>
      <c r="V75" s="80" t="s">
        <v>773</v>
      </c>
      <c r="W75" s="82" t="str">
        <f>HYPERLINK("https://www.youtube.com/watch?v=B2MDLI5o7ik")</f>
        <v>https://www.youtube.com/watch?v=B2MDLI5o7ik</v>
      </c>
      <c r="X75" s="80" t="s">
        <v>794</v>
      </c>
      <c r="Y75" s="80">
        <v>1</v>
      </c>
      <c r="Z75" s="84">
        <v>44004.475486111114</v>
      </c>
      <c r="AA75" s="84">
        <v>44004.475486111114</v>
      </c>
      <c r="AB75" s="80"/>
      <c r="AC75" s="80"/>
      <c r="AD75" s="80"/>
      <c r="AE75">
        <v>1</v>
      </c>
      <c r="AF75" s="79" t="str">
        <f>REPLACE(INDEX(GroupVertices[Group],MATCH(Edges[[#This Row],[Vertex 1]],GroupVertices[Vertex],0)),1,1,"")</f>
        <v>9</v>
      </c>
      <c r="AG75" s="79" t="str">
        <f>REPLACE(INDEX(GroupVertices[Group],MATCH(Edges[[#This Row],[Vertex 2]],GroupVertices[Vertex],0)),1,1,"")</f>
        <v>9</v>
      </c>
      <c r="AH75" s="48">
        <v>1</v>
      </c>
      <c r="AI75" s="49">
        <v>33.333333333333336</v>
      </c>
      <c r="AJ75" s="48">
        <v>0</v>
      </c>
      <c r="AK75" s="49">
        <v>0</v>
      </c>
      <c r="AL75" s="48">
        <v>0</v>
      </c>
      <c r="AM75" s="49">
        <v>0</v>
      </c>
      <c r="AN75" s="48">
        <v>2</v>
      </c>
      <c r="AO75" s="49">
        <v>66.66666666666667</v>
      </c>
      <c r="AP75" s="48">
        <v>3</v>
      </c>
    </row>
    <row r="76" spans="1:42" ht="15">
      <c r="A76" s="65" t="s">
        <v>252</v>
      </c>
      <c r="B76" s="65" t="s">
        <v>256</v>
      </c>
      <c r="C76" s="66" t="s">
        <v>1900</v>
      </c>
      <c r="D76" s="67">
        <v>10</v>
      </c>
      <c r="E76" s="68"/>
      <c r="F76" s="69">
        <v>20</v>
      </c>
      <c r="G76" s="66"/>
      <c r="H76" s="70"/>
      <c r="I76" s="71"/>
      <c r="J76" s="71"/>
      <c r="K76" s="34" t="s">
        <v>66</v>
      </c>
      <c r="L76" s="78">
        <v>76</v>
      </c>
      <c r="M76" s="78"/>
      <c r="N76" s="73"/>
      <c r="O76" s="80" t="s">
        <v>331</v>
      </c>
      <c r="P76" s="80" t="s">
        <v>333</v>
      </c>
      <c r="Q76" s="80" t="s">
        <v>404</v>
      </c>
      <c r="R76" s="80" t="s">
        <v>252</v>
      </c>
      <c r="S76" s="80" t="s">
        <v>593</v>
      </c>
      <c r="T76" s="82" t="str">
        <f>HYPERLINK("http://www.youtube.com/channel/UCH4mvHhRxr_WHPjun9cr5PA")</f>
        <v>http://www.youtube.com/channel/UCH4mvHhRxr_WHPjun9cr5PA</v>
      </c>
      <c r="U76" s="80" t="s">
        <v>701</v>
      </c>
      <c r="V76" s="80" t="s">
        <v>773</v>
      </c>
      <c r="W76" s="82" t="str">
        <f>HYPERLINK("https://www.youtube.com/watch?v=B2MDLI5o7ik")</f>
        <v>https://www.youtube.com/watch?v=B2MDLI5o7ik</v>
      </c>
      <c r="X76" s="80" t="s">
        <v>794</v>
      </c>
      <c r="Y76" s="80">
        <v>1</v>
      </c>
      <c r="Z76" s="84">
        <v>44004.995254629626</v>
      </c>
      <c r="AA76" s="84">
        <v>44004.995254629626</v>
      </c>
      <c r="AB76" s="80"/>
      <c r="AC76" s="80"/>
      <c r="AD76" s="80"/>
      <c r="AE76">
        <v>2</v>
      </c>
      <c r="AF76" s="79" t="str">
        <f>REPLACE(INDEX(GroupVertices[Group],MATCH(Edges[[#This Row],[Vertex 1]],GroupVertices[Vertex],0)),1,1,"")</f>
        <v>9</v>
      </c>
      <c r="AG76" s="79" t="str">
        <f>REPLACE(INDEX(GroupVertices[Group],MATCH(Edges[[#This Row],[Vertex 2]],GroupVertices[Vertex],0)),1,1,"")</f>
        <v>9</v>
      </c>
      <c r="AH76" s="48">
        <v>0</v>
      </c>
      <c r="AI76" s="49">
        <v>0</v>
      </c>
      <c r="AJ76" s="48">
        <v>0</v>
      </c>
      <c r="AK76" s="49">
        <v>0</v>
      </c>
      <c r="AL76" s="48">
        <v>0</v>
      </c>
      <c r="AM76" s="49">
        <v>0</v>
      </c>
      <c r="AN76" s="48">
        <v>5</v>
      </c>
      <c r="AO76" s="49">
        <v>100</v>
      </c>
      <c r="AP76" s="48">
        <v>5</v>
      </c>
    </row>
    <row r="77" spans="1:42" ht="15">
      <c r="A77" s="65" t="s">
        <v>252</v>
      </c>
      <c r="B77" s="65" t="s">
        <v>256</v>
      </c>
      <c r="C77" s="66" t="s">
        <v>1900</v>
      </c>
      <c r="D77" s="67">
        <v>10</v>
      </c>
      <c r="E77" s="68"/>
      <c r="F77" s="69">
        <v>20</v>
      </c>
      <c r="G77" s="66"/>
      <c r="H77" s="70"/>
      <c r="I77" s="71"/>
      <c r="J77" s="71"/>
      <c r="K77" s="34" t="s">
        <v>66</v>
      </c>
      <c r="L77" s="78">
        <v>77</v>
      </c>
      <c r="M77" s="78"/>
      <c r="N77" s="73"/>
      <c r="O77" s="80" t="s">
        <v>331</v>
      </c>
      <c r="P77" s="80" t="s">
        <v>333</v>
      </c>
      <c r="Q77" s="80" t="s">
        <v>405</v>
      </c>
      <c r="R77" s="80" t="s">
        <v>252</v>
      </c>
      <c r="S77" s="80" t="s">
        <v>593</v>
      </c>
      <c r="T77" s="82" t="str">
        <f>HYPERLINK("http://www.youtube.com/channel/UCH4mvHhRxr_WHPjun9cr5PA")</f>
        <v>http://www.youtube.com/channel/UCH4mvHhRxr_WHPjun9cr5PA</v>
      </c>
      <c r="U77" s="80" t="s">
        <v>701</v>
      </c>
      <c r="V77" s="80" t="s">
        <v>773</v>
      </c>
      <c r="W77" s="82" t="str">
        <f>HYPERLINK("https://www.youtube.com/watch?v=B2MDLI5o7ik")</f>
        <v>https://www.youtube.com/watch?v=B2MDLI5o7ik</v>
      </c>
      <c r="X77" s="80" t="s">
        <v>794</v>
      </c>
      <c r="Y77" s="80">
        <v>0</v>
      </c>
      <c r="Z77" s="84">
        <v>44005.083969907406</v>
      </c>
      <c r="AA77" s="84">
        <v>44005.083969907406</v>
      </c>
      <c r="AB77" s="80" t="s">
        <v>802</v>
      </c>
      <c r="AC77" s="80" t="s">
        <v>815</v>
      </c>
      <c r="AD77" s="80"/>
      <c r="AE77">
        <v>2</v>
      </c>
      <c r="AF77" s="79" t="str">
        <f>REPLACE(INDEX(GroupVertices[Group],MATCH(Edges[[#This Row],[Vertex 1]],GroupVertices[Vertex],0)),1,1,"")</f>
        <v>9</v>
      </c>
      <c r="AG77" s="79" t="str">
        <f>REPLACE(INDEX(GroupVertices[Group],MATCH(Edges[[#This Row],[Vertex 2]],GroupVertices[Vertex],0)),1,1,"")</f>
        <v>9</v>
      </c>
      <c r="AH77" s="48">
        <v>0</v>
      </c>
      <c r="AI77" s="49">
        <v>0</v>
      </c>
      <c r="AJ77" s="48">
        <v>0</v>
      </c>
      <c r="AK77" s="49">
        <v>0</v>
      </c>
      <c r="AL77" s="48">
        <v>0</v>
      </c>
      <c r="AM77" s="49">
        <v>0</v>
      </c>
      <c r="AN77" s="48">
        <v>15</v>
      </c>
      <c r="AO77" s="49">
        <v>100</v>
      </c>
      <c r="AP77" s="48">
        <v>15</v>
      </c>
    </row>
    <row r="78" spans="1:42" ht="15">
      <c r="A78" s="65" t="s">
        <v>256</v>
      </c>
      <c r="B78" s="65" t="s">
        <v>252</v>
      </c>
      <c r="C78" s="66" t="s">
        <v>1901</v>
      </c>
      <c r="D78" s="67">
        <v>3</v>
      </c>
      <c r="E78" s="68"/>
      <c r="F78" s="69">
        <v>50</v>
      </c>
      <c r="G78" s="66"/>
      <c r="H78" s="70"/>
      <c r="I78" s="71"/>
      <c r="J78" s="71"/>
      <c r="K78" s="34" t="s">
        <v>66</v>
      </c>
      <c r="L78" s="78">
        <v>78</v>
      </c>
      <c r="M78" s="78"/>
      <c r="N78" s="73"/>
      <c r="O78" s="80" t="s">
        <v>332</v>
      </c>
      <c r="P78" s="80" t="s">
        <v>198</v>
      </c>
      <c r="Q78" s="80" t="s">
        <v>406</v>
      </c>
      <c r="R78" s="80" t="s">
        <v>256</v>
      </c>
      <c r="S78" s="80" t="s">
        <v>597</v>
      </c>
      <c r="T78" s="82" t="str">
        <f>HYPERLINK("http://www.youtube.com/channel/UCPp5XlOY6HOF7BrCbioJqwQ")</f>
        <v>http://www.youtube.com/channel/UCPp5XlOY6HOF7BrCbioJqwQ</v>
      </c>
      <c r="U78" s="80"/>
      <c r="V78" s="80" t="s">
        <v>773</v>
      </c>
      <c r="W78" s="82" t="str">
        <f>HYPERLINK("https://www.youtube.com/watch?v=B2MDLI5o7ik")</f>
        <v>https://www.youtube.com/watch?v=B2MDLI5o7ik</v>
      </c>
      <c r="X78" s="80" t="s">
        <v>794</v>
      </c>
      <c r="Y78" s="80">
        <v>1</v>
      </c>
      <c r="Z78" s="84">
        <v>44004.99215277778</v>
      </c>
      <c r="AA78" s="84">
        <v>44004.99215277778</v>
      </c>
      <c r="AB78" s="80"/>
      <c r="AC78" s="80"/>
      <c r="AD78" s="80"/>
      <c r="AE78">
        <v>1</v>
      </c>
      <c r="AF78" s="79" t="str">
        <f>REPLACE(INDEX(GroupVertices[Group],MATCH(Edges[[#This Row],[Vertex 1]],GroupVertices[Vertex],0)),1,1,"")</f>
        <v>9</v>
      </c>
      <c r="AG78" s="79" t="str">
        <f>REPLACE(INDEX(GroupVertices[Group],MATCH(Edges[[#This Row],[Vertex 2]],GroupVertices[Vertex],0)),1,1,"")</f>
        <v>9</v>
      </c>
      <c r="AH78" s="48">
        <v>0</v>
      </c>
      <c r="AI78" s="49">
        <v>0</v>
      </c>
      <c r="AJ78" s="48">
        <v>0</v>
      </c>
      <c r="AK78" s="49">
        <v>0</v>
      </c>
      <c r="AL78" s="48">
        <v>0</v>
      </c>
      <c r="AM78" s="49">
        <v>0</v>
      </c>
      <c r="AN78" s="48">
        <v>55</v>
      </c>
      <c r="AO78" s="49">
        <v>100</v>
      </c>
      <c r="AP78" s="48">
        <v>55</v>
      </c>
    </row>
    <row r="79" spans="1:42" ht="15">
      <c r="A79" s="65" t="s">
        <v>252</v>
      </c>
      <c r="B79" s="65" t="s">
        <v>257</v>
      </c>
      <c r="C79" s="66" t="s">
        <v>1901</v>
      </c>
      <c r="D79" s="67">
        <v>3</v>
      </c>
      <c r="E79" s="68"/>
      <c r="F79" s="69">
        <v>50</v>
      </c>
      <c r="G79" s="66"/>
      <c r="H79" s="70"/>
      <c r="I79" s="71"/>
      <c r="J79" s="71"/>
      <c r="K79" s="34" t="s">
        <v>66</v>
      </c>
      <c r="L79" s="78">
        <v>79</v>
      </c>
      <c r="M79" s="78"/>
      <c r="N79" s="73"/>
      <c r="O79" s="80" t="s">
        <v>331</v>
      </c>
      <c r="P79" s="80" t="s">
        <v>333</v>
      </c>
      <c r="Q79" s="80" t="s">
        <v>407</v>
      </c>
      <c r="R79" s="80" t="s">
        <v>252</v>
      </c>
      <c r="S79" s="80" t="s">
        <v>593</v>
      </c>
      <c r="T79" s="82" t="str">
        <f>HYPERLINK("http://www.youtube.com/channel/UCH4mvHhRxr_WHPjun9cr5PA")</f>
        <v>http://www.youtube.com/channel/UCH4mvHhRxr_WHPjun9cr5PA</v>
      </c>
      <c r="U79" s="80" t="s">
        <v>702</v>
      </c>
      <c r="V79" s="80" t="s">
        <v>773</v>
      </c>
      <c r="W79" s="82" t="str">
        <f>HYPERLINK("https://www.youtube.com/watch?v=B2MDLI5o7ik")</f>
        <v>https://www.youtube.com/watch?v=B2MDLI5o7ik</v>
      </c>
      <c r="X79" s="80" t="s">
        <v>794</v>
      </c>
      <c r="Y79" s="80">
        <v>1</v>
      </c>
      <c r="Z79" s="84">
        <v>44006.21037037037</v>
      </c>
      <c r="AA79" s="84">
        <v>44006.21037037037</v>
      </c>
      <c r="AB79" s="80"/>
      <c r="AC79" s="80"/>
      <c r="AD79" s="80"/>
      <c r="AE79">
        <v>1</v>
      </c>
      <c r="AF79" s="79" t="str">
        <f>REPLACE(INDEX(GroupVertices[Group],MATCH(Edges[[#This Row],[Vertex 1]],GroupVertices[Vertex],0)),1,1,"")</f>
        <v>9</v>
      </c>
      <c r="AG79" s="79" t="str">
        <f>REPLACE(INDEX(GroupVertices[Group],MATCH(Edges[[#This Row],[Vertex 2]],GroupVertices[Vertex],0)),1,1,"")</f>
        <v>9</v>
      </c>
      <c r="AH79" s="48">
        <v>0</v>
      </c>
      <c r="AI79" s="49">
        <v>0</v>
      </c>
      <c r="AJ79" s="48">
        <v>0</v>
      </c>
      <c r="AK79" s="49">
        <v>0</v>
      </c>
      <c r="AL79" s="48">
        <v>0</v>
      </c>
      <c r="AM79" s="49">
        <v>0</v>
      </c>
      <c r="AN79" s="48">
        <v>5</v>
      </c>
      <c r="AO79" s="49">
        <v>100</v>
      </c>
      <c r="AP79" s="48">
        <v>5</v>
      </c>
    </row>
    <row r="80" spans="1:42" ht="15">
      <c r="A80" s="65" t="s">
        <v>257</v>
      </c>
      <c r="B80" s="65" t="s">
        <v>252</v>
      </c>
      <c r="C80" s="66" t="s">
        <v>1901</v>
      </c>
      <c r="D80" s="67">
        <v>3</v>
      </c>
      <c r="E80" s="68"/>
      <c r="F80" s="69">
        <v>50</v>
      </c>
      <c r="G80" s="66"/>
      <c r="H80" s="70"/>
      <c r="I80" s="71"/>
      <c r="J80" s="71"/>
      <c r="K80" s="34" t="s">
        <v>66</v>
      </c>
      <c r="L80" s="78">
        <v>80</v>
      </c>
      <c r="M80" s="78"/>
      <c r="N80" s="73"/>
      <c r="O80" s="80" t="s">
        <v>332</v>
      </c>
      <c r="P80" s="80" t="s">
        <v>198</v>
      </c>
      <c r="Q80" s="80" t="s">
        <v>408</v>
      </c>
      <c r="R80" s="80" t="s">
        <v>257</v>
      </c>
      <c r="S80" s="80" t="s">
        <v>598</v>
      </c>
      <c r="T80" s="82" t="str">
        <f>HYPERLINK("http://www.youtube.com/channel/UClrOuAyFwHHVtW1iox3VHrQ")</f>
        <v>http://www.youtube.com/channel/UClrOuAyFwHHVtW1iox3VHrQ</v>
      </c>
      <c r="U80" s="80"/>
      <c r="V80" s="80" t="s">
        <v>773</v>
      </c>
      <c r="W80" s="82" t="str">
        <f>HYPERLINK("https://www.youtube.com/watch?v=B2MDLI5o7ik")</f>
        <v>https://www.youtube.com/watch?v=B2MDLI5o7ik</v>
      </c>
      <c r="X80" s="80" t="s">
        <v>794</v>
      </c>
      <c r="Y80" s="80">
        <v>1</v>
      </c>
      <c r="Z80" s="84">
        <v>44005.25164351852</v>
      </c>
      <c r="AA80" s="84">
        <v>44005.25164351852</v>
      </c>
      <c r="AB80" s="80"/>
      <c r="AC80" s="80"/>
      <c r="AD80" s="80"/>
      <c r="AE80">
        <v>1</v>
      </c>
      <c r="AF80" s="79" t="str">
        <f>REPLACE(INDEX(GroupVertices[Group],MATCH(Edges[[#This Row],[Vertex 1]],GroupVertices[Vertex],0)),1,1,"")</f>
        <v>9</v>
      </c>
      <c r="AG80" s="79" t="str">
        <f>REPLACE(INDEX(GroupVertices[Group],MATCH(Edges[[#This Row],[Vertex 2]],GroupVertices[Vertex],0)),1,1,"")</f>
        <v>9</v>
      </c>
      <c r="AH80" s="48">
        <v>0</v>
      </c>
      <c r="AI80" s="49">
        <v>0</v>
      </c>
      <c r="AJ80" s="48">
        <v>0</v>
      </c>
      <c r="AK80" s="49">
        <v>0</v>
      </c>
      <c r="AL80" s="48">
        <v>0</v>
      </c>
      <c r="AM80" s="49">
        <v>0</v>
      </c>
      <c r="AN80" s="48">
        <v>38</v>
      </c>
      <c r="AO80" s="49">
        <v>100</v>
      </c>
      <c r="AP80" s="48">
        <v>38</v>
      </c>
    </row>
    <row r="81" spans="1:42" ht="15">
      <c r="A81" s="65" t="s">
        <v>258</v>
      </c>
      <c r="B81" s="65" t="s">
        <v>259</v>
      </c>
      <c r="C81" s="66" t="s">
        <v>1901</v>
      </c>
      <c r="D81" s="67">
        <v>3</v>
      </c>
      <c r="E81" s="68"/>
      <c r="F81" s="69">
        <v>50</v>
      </c>
      <c r="G81" s="66"/>
      <c r="H81" s="70"/>
      <c r="I81" s="71"/>
      <c r="J81" s="71"/>
      <c r="K81" s="34" t="s">
        <v>66</v>
      </c>
      <c r="L81" s="78">
        <v>81</v>
      </c>
      <c r="M81" s="78"/>
      <c r="N81" s="73"/>
      <c r="O81" s="80" t="s">
        <v>331</v>
      </c>
      <c r="P81" s="80" t="s">
        <v>333</v>
      </c>
      <c r="Q81" s="80" t="s">
        <v>409</v>
      </c>
      <c r="R81" s="80" t="s">
        <v>258</v>
      </c>
      <c r="S81" s="80" t="s">
        <v>599</v>
      </c>
      <c r="T81" s="82" t="str">
        <f>HYPERLINK("http://www.youtube.com/channel/UCZA_5vGtSpZu86VBDdSnSag")</f>
        <v>http://www.youtube.com/channel/UCZA_5vGtSpZu86VBDdSnSag</v>
      </c>
      <c r="U81" s="80" t="s">
        <v>703</v>
      </c>
      <c r="V81" s="80" t="s">
        <v>774</v>
      </c>
      <c r="W81" s="82" t="str">
        <f>HYPERLINK("https://www.youtube.com/watch?v=wfE9xUI5qxA")</f>
        <v>https://www.youtube.com/watch?v=wfE9xUI5qxA</v>
      </c>
      <c r="X81" s="80" t="s">
        <v>794</v>
      </c>
      <c r="Y81" s="80">
        <v>0</v>
      </c>
      <c r="Z81" s="84">
        <v>44003.78114583333</v>
      </c>
      <c r="AA81" s="84">
        <v>44003.78114583333</v>
      </c>
      <c r="AB81" s="80"/>
      <c r="AC81" s="80"/>
      <c r="AD81" s="80"/>
      <c r="AE81">
        <v>1</v>
      </c>
      <c r="AF81" s="79" t="str">
        <f>REPLACE(INDEX(GroupVertices[Group],MATCH(Edges[[#This Row],[Vertex 1]],GroupVertices[Vertex],0)),1,1,"")</f>
        <v>6</v>
      </c>
      <c r="AG81" s="79" t="str">
        <f>REPLACE(INDEX(GroupVertices[Group],MATCH(Edges[[#This Row],[Vertex 2]],GroupVertices[Vertex],0)),1,1,"")</f>
        <v>6</v>
      </c>
      <c r="AH81" s="48">
        <v>0</v>
      </c>
      <c r="AI81" s="49">
        <v>0</v>
      </c>
      <c r="AJ81" s="48">
        <v>0</v>
      </c>
      <c r="AK81" s="49">
        <v>0</v>
      </c>
      <c r="AL81" s="48">
        <v>0</v>
      </c>
      <c r="AM81" s="49">
        <v>0</v>
      </c>
      <c r="AN81" s="48">
        <v>5</v>
      </c>
      <c r="AO81" s="49">
        <v>100</v>
      </c>
      <c r="AP81" s="48">
        <v>5</v>
      </c>
    </row>
    <row r="82" spans="1:42" ht="15">
      <c r="A82" s="65" t="s">
        <v>259</v>
      </c>
      <c r="B82" s="65" t="s">
        <v>258</v>
      </c>
      <c r="C82" s="66" t="s">
        <v>1901</v>
      </c>
      <c r="D82" s="67">
        <v>3</v>
      </c>
      <c r="E82" s="68"/>
      <c r="F82" s="69">
        <v>50</v>
      </c>
      <c r="G82" s="66"/>
      <c r="H82" s="70"/>
      <c r="I82" s="71"/>
      <c r="J82" s="71"/>
      <c r="K82" s="34" t="s">
        <v>66</v>
      </c>
      <c r="L82" s="78">
        <v>82</v>
      </c>
      <c r="M82" s="78"/>
      <c r="N82" s="73"/>
      <c r="O82" s="80" t="s">
        <v>332</v>
      </c>
      <c r="P82" s="80" t="s">
        <v>198</v>
      </c>
      <c r="Q82" s="80" t="s">
        <v>410</v>
      </c>
      <c r="R82" s="80" t="s">
        <v>259</v>
      </c>
      <c r="S82" s="80" t="s">
        <v>600</v>
      </c>
      <c r="T82" s="82" t="str">
        <f>HYPERLINK("http://www.youtube.com/channel/UCXdBdFeLezLwbzJcB_ENyfA")</f>
        <v>http://www.youtube.com/channel/UCXdBdFeLezLwbzJcB_ENyfA</v>
      </c>
      <c r="U82" s="80"/>
      <c r="V82" s="80" t="s">
        <v>774</v>
      </c>
      <c r="W82" s="82" t="str">
        <f>HYPERLINK("https://www.youtube.com/watch?v=wfE9xUI5qxA")</f>
        <v>https://www.youtube.com/watch?v=wfE9xUI5qxA</v>
      </c>
      <c r="X82" s="80" t="s">
        <v>794</v>
      </c>
      <c r="Y82" s="80">
        <v>1</v>
      </c>
      <c r="Z82" s="84">
        <v>44003.77611111111</v>
      </c>
      <c r="AA82" s="84">
        <v>44003.77611111111</v>
      </c>
      <c r="AB82" s="80"/>
      <c r="AC82" s="80"/>
      <c r="AD82" s="80"/>
      <c r="AE82">
        <v>1</v>
      </c>
      <c r="AF82" s="79" t="str">
        <f>REPLACE(INDEX(GroupVertices[Group],MATCH(Edges[[#This Row],[Vertex 1]],GroupVertices[Vertex],0)),1,1,"")</f>
        <v>6</v>
      </c>
      <c r="AG82" s="79" t="str">
        <f>REPLACE(INDEX(GroupVertices[Group],MATCH(Edges[[#This Row],[Vertex 2]],GroupVertices[Vertex],0)),1,1,"")</f>
        <v>6</v>
      </c>
      <c r="AH82" s="48">
        <v>2</v>
      </c>
      <c r="AI82" s="49">
        <v>25</v>
      </c>
      <c r="AJ82" s="48">
        <v>0</v>
      </c>
      <c r="AK82" s="49">
        <v>0</v>
      </c>
      <c r="AL82" s="48">
        <v>0</v>
      </c>
      <c r="AM82" s="49">
        <v>0</v>
      </c>
      <c r="AN82" s="48">
        <v>6</v>
      </c>
      <c r="AO82" s="49">
        <v>75</v>
      </c>
      <c r="AP82" s="48">
        <v>8</v>
      </c>
    </row>
    <row r="83" spans="1:42" ht="15">
      <c r="A83" s="65" t="s">
        <v>258</v>
      </c>
      <c r="B83" s="65" t="s">
        <v>260</v>
      </c>
      <c r="C83" s="66" t="s">
        <v>1901</v>
      </c>
      <c r="D83" s="67">
        <v>3</v>
      </c>
      <c r="E83" s="68"/>
      <c r="F83" s="69">
        <v>50</v>
      </c>
      <c r="G83" s="66"/>
      <c r="H83" s="70"/>
      <c r="I83" s="71"/>
      <c r="J83" s="71"/>
      <c r="K83" s="34" t="s">
        <v>66</v>
      </c>
      <c r="L83" s="78">
        <v>83</v>
      </c>
      <c r="M83" s="78"/>
      <c r="N83" s="73"/>
      <c r="O83" s="80" t="s">
        <v>331</v>
      </c>
      <c r="P83" s="80" t="s">
        <v>333</v>
      </c>
      <c r="Q83" s="80" t="s">
        <v>411</v>
      </c>
      <c r="R83" s="80" t="s">
        <v>258</v>
      </c>
      <c r="S83" s="80" t="s">
        <v>599</v>
      </c>
      <c r="T83" s="82" t="str">
        <f>HYPERLINK("http://www.youtube.com/channel/UCZA_5vGtSpZu86VBDdSnSag")</f>
        <v>http://www.youtube.com/channel/UCZA_5vGtSpZu86VBDdSnSag</v>
      </c>
      <c r="U83" s="80" t="s">
        <v>704</v>
      </c>
      <c r="V83" s="80" t="s">
        <v>774</v>
      </c>
      <c r="W83" s="82" t="str">
        <f>HYPERLINK("https://www.youtube.com/watch?v=wfE9xUI5qxA")</f>
        <v>https://www.youtube.com/watch?v=wfE9xUI5qxA</v>
      </c>
      <c r="X83" s="80" t="s">
        <v>794</v>
      </c>
      <c r="Y83" s="80">
        <v>1</v>
      </c>
      <c r="Z83" s="84">
        <v>44003.811527777776</v>
      </c>
      <c r="AA83" s="84">
        <v>44003.811527777776</v>
      </c>
      <c r="AB83" s="80"/>
      <c r="AC83" s="80"/>
      <c r="AD83" s="80"/>
      <c r="AE83">
        <v>1</v>
      </c>
      <c r="AF83" s="79" t="str">
        <f>REPLACE(INDEX(GroupVertices[Group],MATCH(Edges[[#This Row],[Vertex 1]],GroupVertices[Vertex],0)),1,1,"")</f>
        <v>6</v>
      </c>
      <c r="AG83" s="79" t="str">
        <f>REPLACE(INDEX(GroupVertices[Group],MATCH(Edges[[#This Row],[Vertex 2]],GroupVertices[Vertex],0)),1,1,"")</f>
        <v>6</v>
      </c>
      <c r="AH83" s="48">
        <v>0</v>
      </c>
      <c r="AI83" s="49">
        <v>0</v>
      </c>
      <c r="AJ83" s="48">
        <v>0</v>
      </c>
      <c r="AK83" s="49">
        <v>0</v>
      </c>
      <c r="AL83" s="48">
        <v>0</v>
      </c>
      <c r="AM83" s="49">
        <v>0</v>
      </c>
      <c r="AN83" s="48">
        <v>15</v>
      </c>
      <c r="AO83" s="49">
        <v>100</v>
      </c>
      <c r="AP83" s="48">
        <v>15</v>
      </c>
    </row>
    <row r="84" spans="1:42" ht="15">
      <c r="A84" s="65" t="s">
        <v>260</v>
      </c>
      <c r="B84" s="65" t="s">
        <v>258</v>
      </c>
      <c r="C84" s="66" t="s">
        <v>1901</v>
      </c>
      <c r="D84" s="67">
        <v>3</v>
      </c>
      <c r="E84" s="68"/>
      <c r="F84" s="69">
        <v>50</v>
      </c>
      <c r="G84" s="66"/>
      <c r="H84" s="70"/>
      <c r="I84" s="71"/>
      <c r="J84" s="71"/>
      <c r="K84" s="34" t="s">
        <v>66</v>
      </c>
      <c r="L84" s="78">
        <v>84</v>
      </c>
      <c r="M84" s="78"/>
      <c r="N84" s="73"/>
      <c r="O84" s="80" t="s">
        <v>332</v>
      </c>
      <c r="P84" s="80" t="s">
        <v>198</v>
      </c>
      <c r="Q84" s="80" t="s">
        <v>412</v>
      </c>
      <c r="R84" s="80" t="s">
        <v>260</v>
      </c>
      <c r="S84" s="80" t="s">
        <v>601</v>
      </c>
      <c r="T84" s="82" t="str">
        <f>HYPERLINK("http://www.youtube.com/channel/UCMk_lrZ_7KjsatCwaRmpw2Q")</f>
        <v>http://www.youtube.com/channel/UCMk_lrZ_7KjsatCwaRmpw2Q</v>
      </c>
      <c r="U84" s="80"/>
      <c r="V84" s="80" t="s">
        <v>774</v>
      </c>
      <c r="W84" s="82" t="str">
        <f>HYPERLINK("https://www.youtube.com/watch?v=wfE9xUI5qxA")</f>
        <v>https://www.youtube.com/watch?v=wfE9xUI5qxA</v>
      </c>
      <c r="X84" s="80" t="s">
        <v>794</v>
      </c>
      <c r="Y84" s="80">
        <v>1</v>
      </c>
      <c r="Z84" s="84">
        <v>44003.808842592596</v>
      </c>
      <c r="AA84" s="84">
        <v>44003.808842592596</v>
      </c>
      <c r="AB84" s="80" t="s">
        <v>803</v>
      </c>
      <c r="AC84" s="80" t="s">
        <v>816</v>
      </c>
      <c r="AD84" s="80"/>
      <c r="AE84">
        <v>1</v>
      </c>
      <c r="AF84" s="79" t="str">
        <f>REPLACE(INDEX(GroupVertices[Group],MATCH(Edges[[#This Row],[Vertex 1]],GroupVertices[Vertex],0)),1,1,"")</f>
        <v>6</v>
      </c>
      <c r="AG84" s="79" t="str">
        <f>REPLACE(INDEX(GroupVertices[Group],MATCH(Edges[[#This Row],[Vertex 2]],GroupVertices[Vertex],0)),1,1,"")</f>
        <v>6</v>
      </c>
      <c r="AH84" s="48">
        <v>0</v>
      </c>
      <c r="AI84" s="49">
        <v>0</v>
      </c>
      <c r="AJ84" s="48">
        <v>0</v>
      </c>
      <c r="AK84" s="49">
        <v>0</v>
      </c>
      <c r="AL84" s="48">
        <v>0</v>
      </c>
      <c r="AM84" s="49">
        <v>0</v>
      </c>
      <c r="AN84" s="48">
        <v>18</v>
      </c>
      <c r="AO84" s="49">
        <v>100</v>
      </c>
      <c r="AP84" s="48">
        <v>18</v>
      </c>
    </row>
    <row r="85" spans="1:42" ht="15">
      <c r="A85" s="65" t="s">
        <v>258</v>
      </c>
      <c r="B85" s="65" t="s">
        <v>261</v>
      </c>
      <c r="C85" s="66" t="s">
        <v>1901</v>
      </c>
      <c r="D85" s="67">
        <v>3</v>
      </c>
      <c r="E85" s="68"/>
      <c r="F85" s="69">
        <v>50</v>
      </c>
      <c r="G85" s="66"/>
      <c r="H85" s="70"/>
      <c r="I85" s="71"/>
      <c r="J85" s="71"/>
      <c r="K85" s="34" t="s">
        <v>66</v>
      </c>
      <c r="L85" s="78">
        <v>85</v>
      </c>
      <c r="M85" s="78"/>
      <c r="N85" s="73"/>
      <c r="O85" s="80" t="s">
        <v>331</v>
      </c>
      <c r="P85" s="80" t="s">
        <v>333</v>
      </c>
      <c r="Q85" s="80" t="s">
        <v>413</v>
      </c>
      <c r="R85" s="80" t="s">
        <v>258</v>
      </c>
      <c r="S85" s="80" t="s">
        <v>599</v>
      </c>
      <c r="T85" s="82" t="str">
        <f>HYPERLINK("http://www.youtube.com/channel/UCZA_5vGtSpZu86VBDdSnSag")</f>
        <v>http://www.youtube.com/channel/UCZA_5vGtSpZu86VBDdSnSag</v>
      </c>
      <c r="U85" s="80" t="s">
        <v>705</v>
      </c>
      <c r="V85" s="80" t="s">
        <v>774</v>
      </c>
      <c r="W85" s="82" t="str">
        <f>HYPERLINK("https://www.youtube.com/watch?v=wfE9xUI5qxA")</f>
        <v>https://www.youtube.com/watch?v=wfE9xUI5qxA</v>
      </c>
      <c r="X85" s="80" t="s">
        <v>794</v>
      </c>
      <c r="Y85" s="80">
        <v>0</v>
      </c>
      <c r="Z85" s="84">
        <v>44004.12207175926</v>
      </c>
      <c r="AA85" s="84">
        <v>44004.12207175926</v>
      </c>
      <c r="AB85" s="80"/>
      <c r="AC85" s="80"/>
      <c r="AD85" s="80"/>
      <c r="AE85">
        <v>1</v>
      </c>
      <c r="AF85" s="79" t="str">
        <f>REPLACE(INDEX(GroupVertices[Group],MATCH(Edges[[#This Row],[Vertex 1]],GroupVertices[Vertex],0)),1,1,"")</f>
        <v>6</v>
      </c>
      <c r="AG85" s="79" t="str">
        <f>REPLACE(INDEX(GroupVertices[Group],MATCH(Edges[[#This Row],[Vertex 2]],GroupVertices[Vertex],0)),1,1,"")</f>
        <v>6</v>
      </c>
      <c r="AH85" s="48">
        <v>0</v>
      </c>
      <c r="AI85" s="49">
        <v>0</v>
      </c>
      <c r="AJ85" s="48">
        <v>0</v>
      </c>
      <c r="AK85" s="49">
        <v>0</v>
      </c>
      <c r="AL85" s="48">
        <v>0</v>
      </c>
      <c r="AM85" s="49">
        <v>0</v>
      </c>
      <c r="AN85" s="48">
        <v>2</v>
      </c>
      <c r="AO85" s="49">
        <v>100</v>
      </c>
      <c r="AP85" s="48">
        <v>2</v>
      </c>
    </row>
    <row r="86" spans="1:42" ht="15">
      <c r="A86" s="65" t="s">
        <v>261</v>
      </c>
      <c r="B86" s="65" t="s">
        <v>258</v>
      </c>
      <c r="C86" s="66" t="s">
        <v>1901</v>
      </c>
      <c r="D86" s="67">
        <v>3</v>
      </c>
      <c r="E86" s="68"/>
      <c r="F86" s="69">
        <v>50</v>
      </c>
      <c r="G86" s="66"/>
      <c r="H86" s="70"/>
      <c r="I86" s="71"/>
      <c r="J86" s="71"/>
      <c r="K86" s="34" t="s">
        <v>66</v>
      </c>
      <c r="L86" s="78">
        <v>86</v>
      </c>
      <c r="M86" s="78"/>
      <c r="N86" s="73"/>
      <c r="O86" s="80" t="s">
        <v>332</v>
      </c>
      <c r="P86" s="80" t="s">
        <v>198</v>
      </c>
      <c r="Q86" s="80" t="s">
        <v>414</v>
      </c>
      <c r="R86" s="80" t="s">
        <v>261</v>
      </c>
      <c r="S86" s="80" t="s">
        <v>602</v>
      </c>
      <c r="T86" s="82" t="str">
        <f>HYPERLINK("http://www.youtube.com/channel/UCf0vXIsyUPrbz5txA2TDMJA")</f>
        <v>http://www.youtube.com/channel/UCf0vXIsyUPrbz5txA2TDMJA</v>
      </c>
      <c r="U86" s="80"/>
      <c r="V86" s="80" t="s">
        <v>774</v>
      </c>
      <c r="W86" s="82" t="str">
        <f>HYPERLINK("https://www.youtube.com/watch?v=wfE9xUI5qxA")</f>
        <v>https://www.youtube.com/watch?v=wfE9xUI5qxA</v>
      </c>
      <c r="X86" s="80" t="s">
        <v>794</v>
      </c>
      <c r="Y86" s="80">
        <v>1</v>
      </c>
      <c r="Z86" s="84">
        <v>44003.86136574074</v>
      </c>
      <c r="AA86" s="84">
        <v>44003.86136574074</v>
      </c>
      <c r="AB86" s="80"/>
      <c r="AC86" s="80"/>
      <c r="AD86" s="80"/>
      <c r="AE86">
        <v>1</v>
      </c>
      <c r="AF86" s="79" t="str">
        <f>REPLACE(INDEX(GroupVertices[Group],MATCH(Edges[[#This Row],[Vertex 1]],GroupVertices[Vertex],0)),1,1,"")</f>
        <v>6</v>
      </c>
      <c r="AG86" s="79" t="str">
        <f>REPLACE(INDEX(GroupVertices[Group],MATCH(Edges[[#This Row],[Vertex 2]],GroupVertices[Vertex],0)),1,1,"")</f>
        <v>6</v>
      </c>
      <c r="AH86" s="48">
        <v>1</v>
      </c>
      <c r="AI86" s="49">
        <v>50</v>
      </c>
      <c r="AJ86" s="48">
        <v>0</v>
      </c>
      <c r="AK86" s="49">
        <v>0</v>
      </c>
      <c r="AL86" s="48">
        <v>0</v>
      </c>
      <c r="AM86" s="49">
        <v>0</v>
      </c>
      <c r="AN86" s="48">
        <v>1</v>
      </c>
      <c r="AO86" s="49">
        <v>50</v>
      </c>
      <c r="AP86" s="48">
        <v>2</v>
      </c>
    </row>
    <row r="87" spans="1:42" ht="15">
      <c r="A87" s="65" t="s">
        <v>258</v>
      </c>
      <c r="B87" s="65" t="s">
        <v>262</v>
      </c>
      <c r="C87" s="66" t="s">
        <v>1900</v>
      </c>
      <c r="D87" s="67">
        <v>10</v>
      </c>
      <c r="E87" s="68"/>
      <c r="F87" s="69">
        <v>20</v>
      </c>
      <c r="G87" s="66"/>
      <c r="H87" s="70"/>
      <c r="I87" s="71"/>
      <c r="J87" s="71"/>
      <c r="K87" s="34" t="s">
        <v>66</v>
      </c>
      <c r="L87" s="78">
        <v>87</v>
      </c>
      <c r="M87" s="78"/>
      <c r="N87" s="73"/>
      <c r="O87" s="80" t="s">
        <v>331</v>
      </c>
      <c r="P87" s="80" t="s">
        <v>333</v>
      </c>
      <c r="Q87" s="80" t="s">
        <v>415</v>
      </c>
      <c r="R87" s="80" t="s">
        <v>258</v>
      </c>
      <c r="S87" s="80" t="s">
        <v>599</v>
      </c>
      <c r="T87" s="82" t="str">
        <f>HYPERLINK("http://www.youtube.com/channel/UCZA_5vGtSpZu86VBDdSnSag")</f>
        <v>http://www.youtube.com/channel/UCZA_5vGtSpZu86VBDdSnSag</v>
      </c>
      <c r="U87" s="80" t="s">
        <v>706</v>
      </c>
      <c r="V87" s="80" t="s">
        <v>774</v>
      </c>
      <c r="W87" s="82" t="str">
        <f>HYPERLINK("https://www.youtube.com/watch?v=wfE9xUI5qxA")</f>
        <v>https://www.youtube.com/watch?v=wfE9xUI5qxA</v>
      </c>
      <c r="X87" s="80" t="s">
        <v>794</v>
      </c>
      <c r="Y87" s="80">
        <v>1</v>
      </c>
      <c r="Z87" s="84">
        <v>44004.57165509259</v>
      </c>
      <c r="AA87" s="84">
        <v>44004.57165509259</v>
      </c>
      <c r="AB87" s="80"/>
      <c r="AC87" s="80"/>
      <c r="AD87" s="80"/>
      <c r="AE87">
        <v>2</v>
      </c>
      <c r="AF87" s="79" t="str">
        <f>REPLACE(INDEX(GroupVertices[Group],MATCH(Edges[[#This Row],[Vertex 1]],GroupVertices[Vertex],0)),1,1,"")</f>
        <v>6</v>
      </c>
      <c r="AG87" s="79" t="str">
        <f>REPLACE(INDEX(GroupVertices[Group],MATCH(Edges[[#This Row],[Vertex 2]],GroupVertices[Vertex],0)),1,1,"")</f>
        <v>6</v>
      </c>
      <c r="AH87" s="48">
        <v>0</v>
      </c>
      <c r="AI87" s="49">
        <v>0</v>
      </c>
      <c r="AJ87" s="48">
        <v>0</v>
      </c>
      <c r="AK87" s="49">
        <v>0</v>
      </c>
      <c r="AL87" s="48">
        <v>0</v>
      </c>
      <c r="AM87" s="49">
        <v>0</v>
      </c>
      <c r="AN87" s="48">
        <v>8</v>
      </c>
      <c r="AO87" s="49">
        <v>100</v>
      </c>
      <c r="AP87" s="48">
        <v>8</v>
      </c>
    </row>
    <row r="88" spans="1:42" ht="15">
      <c r="A88" s="65" t="s">
        <v>262</v>
      </c>
      <c r="B88" s="65" t="s">
        <v>262</v>
      </c>
      <c r="C88" s="66" t="s">
        <v>1900</v>
      </c>
      <c r="D88" s="67">
        <v>10</v>
      </c>
      <c r="E88" s="68"/>
      <c r="F88" s="69">
        <v>20</v>
      </c>
      <c r="G88" s="66"/>
      <c r="H88" s="70"/>
      <c r="I88" s="71"/>
      <c r="J88" s="71"/>
      <c r="K88" s="34" t="s">
        <v>65</v>
      </c>
      <c r="L88" s="78">
        <v>88</v>
      </c>
      <c r="M88" s="78"/>
      <c r="N88" s="73"/>
      <c r="O88" s="80" t="s">
        <v>331</v>
      </c>
      <c r="P88" s="80" t="s">
        <v>333</v>
      </c>
      <c r="Q88" s="80" t="s">
        <v>416</v>
      </c>
      <c r="R88" s="80" t="s">
        <v>262</v>
      </c>
      <c r="S88" s="80" t="s">
        <v>603</v>
      </c>
      <c r="T88" s="82" t="str">
        <f>HYPERLINK("http://www.youtube.com/channel/UCEolawFx1vQ1LG_7Z5oiy0g")</f>
        <v>http://www.youtube.com/channel/UCEolawFx1vQ1LG_7Z5oiy0g</v>
      </c>
      <c r="U88" s="80" t="s">
        <v>706</v>
      </c>
      <c r="V88" s="80" t="s">
        <v>774</v>
      </c>
      <c r="W88" s="82" t="str">
        <f>HYPERLINK("https://www.youtube.com/watch?v=wfE9xUI5qxA")</f>
        <v>https://www.youtube.com/watch?v=wfE9xUI5qxA</v>
      </c>
      <c r="X88" s="80" t="s">
        <v>794</v>
      </c>
      <c r="Y88" s="80">
        <v>1</v>
      </c>
      <c r="Z88" s="84">
        <v>44004.5981712963</v>
      </c>
      <c r="AA88" s="84">
        <v>44004.5981712963</v>
      </c>
      <c r="AB88" s="80"/>
      <c r="AC88" s="80"/>
      <c r="AD88" s="80"/>
      <c r="AE88">
        <v>2</v>
      </c>
      <c r="AF88" s="79" t="str">
        <f>REPLACE(INDEX(GroupVertices[Group],MATCH(Edges[[#This Row],[Vertex 1]],GroupVertices[Vertex],0)),1,1,"")</f>
        <v>6</v>
      </c>
      <c r="AG88" s="79" t="str">
        <f>REPLACE(INDEX(GroupVertices[Group],MATCH(Edges[[#This Row],[Vertex 2]],GroupVertices[Vertex],0)),1,1,"")</f>
        <v>6</v>
      </c>
      <c r="AH88" s="48">
        <v>1</v>
      </c>
      <c r="AI88" s="49">
        <v>25</v>
      </c>
      <c r="AJ88" s="48">
        <v>0</v>
      </c>
      <c r="AK88" s="49">
        <v>0</v>
      </c>
      <c r="AL88" s="48">
        <v>0</v>
      </c>
      <c r="AM88" s="49">
        <v>0</v>
      </c>
      <c r="AN88" s="48">
        <v>3</v>
      </c>
      <c r="AO88" s="49">
        <v>75</v>
      </c>
      <c r="AP88" s="48">
        <v>4</v>
      </c>
    </row>
    <row r="89" spans="1:42" ht="15">
      <c r="A89" s="65" t="s">
        <v>258</v>
      </c>
      <c r="B89" s="65" t="s">
        <v>262</v>
      </c>
      <c r="C89" s="66" t="s">
        <v>1900</v>
      </c>
      <c r="D89" s="67">
        <v>10</v>
      </c>
      <c r="E89" s="68"/>
      <c r="F89" s="69">
        <v>20</v>
      </c>
      <c r="G89" s="66"/>
      <c r="H89" s="70"/>
      <c r="I89" s="71"/>
      <c r="J89" s="71"/>
      <c r="K89" s="34" t="s">
        <v>66</v>
      </c>
      <c r="L89" s="78">
        <v>89</v>
      </c>
      <c r="M89" s="78"/>
      <c r="N89" s="73"/>
      <c r="O89" s="80" t="s">
        <v>331</v>
      </c>
      <c r="P89" s="80" t="s">
        <v>333</v>
      </c>
      <c r="Q89" s="80" t="s">
        <v>417</v>
      </c>
      <c r="R89" s="80" t="s">
        <v>258</v>
      </c>
      <c r="S89" s="80" t="s">
        <v>599</v>
      </c>
      <c r="T89" s="82" t="str">
        <f>HYPERLINK("http://www.youtube.com/channel/UCZA_5vGtSpZu86VBDdSnSag")</f>
        <v>http://www.youtube.com/channel/UCZA_5vGtSpZu86VBDdSnSag</v>
      </c>
      <c r="U89" s="80" t="s">
        <v>706</v>
      </c>
      <c r="V89" s="80" t="s">
        <v>774</v>
      </c>
      <c r="W89" s="82" t="str">
        <f>HYPERLINK("https://www.youtube.com/watch?v=wfE9xUI5qxA")</f>
        <v>https://www.youtube.com/watch?v=wfE9xUI5qxA</v>
      </c>
      <c r="X89" s="80" t="s">
        <v>794</v>
      </c>
      <c r="Y89" s="80">
        <v>1</v>
      </c>
      <c r="Z89" s="84">
        <v>44004.628333333334</v>
      </c>
      <c r="AA89" s="84">
        <v>44004.628333333334</v>
      </c>
      <c r="AB89" s="80"/>
      <c r="AC89" s="80"/>
      <c r="AD89" s="80"/>
      <c r="AE89">
        <v>2</v>
      </c>
      <c r="AF89" s="79" t="str">
        <f>REPLACE(INDEX(GroupVertices[Group],MATCH(Edges[[#This Row],[Vertex 1]],GroupVertices[Vertex],0)),1,1,"")</f>
        <v>6</v>
      </c>
      <c r="AG89" s="79" t="str">
        <f>REPLACE(INDEX(GroupVertices[Group],MATCH(Edges[[#This Row],[Vertex 2]],GroupVertices[Vertex],0)),1,1,"")</f>
        <v>6</v>
      </c>
      <c r="AH89" s="48">
        <v>1</v>
      </c>
      <c r="AI89" s="49">
        <v>14.285714285714286</v>
      </c>
      <c r="AJ89" s="48">
        <v>0</v>
      </c>
      <c r="AK89" s="49">
        <v>0</v>
      </c>
      <c r="AL89" s="48">
        <v>0</v>
      </c>
      <c r="AM89" s="49">
        <v>0</v>
      </c>
      <c r="AN89" s="48">
        <v>6</v>
      </c>
      <c r="AO89" s="49">
        <v>85.71428571428571</v>
      </c>
      <c r="AP89" s="48">
        <v>7</v>
      </c>
    </row>
    <row r="90" spans="1:42" ht="15">
      <c r="A90" s="65" t="s">
        <v>262</v>
      </c>
      <c r="B90" s="65" t="s">
        <v>262</v>
      </c>
      <c r="C90" s="66" t="s">
        <v>1900</v>
      </c>
      <c r="D90" s="67">
        <v>10</v>
      </c>
      <c r="E90" s="68"/>
      <c r="F90" s="69">
        <v>20</v>
      </c>
      <c r="G90" s="66"/>
      <c r="H90" s="70"/>
      <c r="I90" s="71"/>
      <c r="J90" s="71"/>
      <c r="K90" s="34" t="s">
        <v>65</v>
      </c>
      <c r="L90" s="78">
        <v>90</v>
      </c>
      <c r="M90" s="78"/>
      <c r="N90" s="73"/>
      <c r="O90" s="80" t="s">
        <v>331</v>
      </c>
      <c r="P90" s="80" t="s">
        <v>333</v>
      </c>
      <c r="Q90" s="80" t="s">
        <v>418</v>
      </c>
      <c r="R90" s="80" t="s">
        <v>262</v>
      </c>
      <c r="S90" s="80" t="s">
        <v>603</v>
      </c>
      <c r="T90" s="82" t="str">
        <f>HYPERLINK("http://www.youtube.com/channel/UCEolawFx1vQ1LG_7Z5oiy0g")</f>
        <v>http://www.youtube.com/channel/UCEolawFx1vQ1LG_7Z5oiy0g</v>
      </c>
      <c r="U90" s="80" t="s">
        <v>706</v>
      </c>
      <c r="V90" s="80" t="s">
        <v>774</v>
      </c>
      <c r="W90" s="82" t="str">
        <f>HYPERLINK("https://www.youtube.com/watch?v=wfE9xUI5qxA")</f>
        <v>https://www.youtube.com/watch?v=wfE9xUI5qxA</v>
      </c>
      <c r="X90" s="80" t="s">
        <v>794</v>
      </c>
      <c r="Y90" s="80">
        <v>0</v>
      </c>
      <c r="Z90" s="84">
        <v>44004.6415625</v>
      </c>
      <c r="AA90" s="84">
        <v>44004.6415625</v>
      </c>
      <c r="AB90" s="80"/>
      <c r="AC90" s="80"/>
      <c r="AD90" s="80"/>
      <c r="AE90">
        <v>2</v>
      </c>
      <c r="AF90" s="79" t="str">
        <f>REPLACE(INDEX(GroupVertices[Group],MATCH(Edges[[#This Row],[Vertex 1]],GroupVertices[Vertex],0)),1,1,"")</f>
        <v>6</v>
      </c>
      <c r="AG90" s="79" t="str">
        <f>REPLACE(INDEX(GroupVertices[Group],MATCH(Edges[[#This Row],[Vertex 2]],GroupVertices[Vertex],0)),1,1,"")</f>
        <v>6</v>
      </c>
      <c r="AH90" s="48">
        <v>0</v>
      </c>
      <c r="AI90" s="49">
        <v>0</v>
      </c>
      <c r="AJ90" s="48">
        <v>0</v>
      </c>
      <c r="AK90" s="49">
        <v>0</v>
      </c>
      <c r="AL90" s="48">
        <v>0</v>
      </c>
      <c r="AM90" s="49">
        <v>0</v>
      </c>
      <c r="AN90" s="48">
        <v>3</v>
      </c>
      <c r="AO90" s="49">
        <v>100</v>
      </c>
      <c r="AP90" s="48">
        <v>3</v>
      </c>
    </row>
    <row r="91" spans="1:42" ht="15">
      <c r="A91" s="65" t="s">
        <v>262</v>
      </c>
      <c r="B91" s="65" t="s">
        <v>258</v>
      </c>
      <c r="C91" s="66" t="s">
        <v>1901</v>
      </c>
      <c r="D91" s="67">
        <v>3</v>
      </c>
      <c r="E91" s="68"/>
      <c r="F91" s="69">
        <v>50</v>
      </c>
      <c r="G91" s="66"/>
      <c r="H91" s="70"/>
      <c r="I91" s="71"/>
      <c r="J91" s="71"/>
      <c r="K91" s="34" t="s">
        <v>66</v>
      </c>
      <c r="L91" s="78">
        <v>91</v>
      </c>
      <c r="M91" s="78"/>
      <c r="N91" s="73"/>
      <c r="O91" s="80" t="s">
        <v>332</v>
      </c>
      <c r="P91" s="80" t="s">
        <v>198</v>
      </c>
      <c r="Q91" s="80" t="s">
        <v>419</v>
      </c>
      <c r="R91" s="80" t="s">
        <v>262</v>
      </c>
      <c r="S91" s="80" t="s">
        <v>603</v>
      </c>
      <c r="T91" s="82" t="str">
        <f>HYPERLINK("http://www.youtube.com/channel/UCEolawFx1vQ1LG_7Z5oiy0g")</f>
        <v>http://www.youtube.com/channel/UCEolawFx1vQ1LG_7Z5oiy0g</v>
      </c>
      <c r="U91" s="80"/>
      <c r="V91" s="80" t="s">
        <v>774</v>
      </c>
      <c r="W91" s="82" t="str">
        <f>HYPERLINK("https://www.youtube.com/watch?v=wfE9xUI5qxA")</f>
        <v>https://www.youtube.com/watch?v=wfE9xUI5qxA</v>
      </c>
      <c r="X91" s="80" t="s">
        <v>794</v>
      </c>
      <c r="Y91" s="80">
        <v>1</v>
      </c>
      <c r="Z91" s="84">
        <v>44004.48403935185</v>
      </c>
      <c r="AA91" s="84">
        <v>44004.48403935185</v>
      </c>
      <c r="AB91" s="80" t="s">
        <v>803</v>
      </c>
      <c r="AC91" s="80" t="s">
        <v>816</v>
      </c>
      <c r="AD91" s="80"/>
      <c r="AE91">
        <v>1</v>
      </c>
      <c r="AF91" s="79" t="str">
        <f>REPLACE(INDEX(GroupVertices[Group],MATCH(Edges[[#This Row],[Vertex 1]],GroupVertices[Vertex],0)),1,1,"")</f>
        <v>6</v>
      </c>
      <c r="AG91" s="79" t="str">
        <f>REPLACE(INDEX(GroupVertices[Group],MATCH(Edges[[#This Row],[Vertex 2]],GroupVertices[Vertex],0)),1,1,"")</f>
        <v>6</v>
      </c>
      <c r="AH91" s="48">
        <v>0</v>
      </c>
      <c r="AI91" s="49">
        <v>0</v>
      </c>
      <c r="AJ91" s="48">
        <v>0</v>
      </c>
      <c r="AK91" s="49">
        <v>0</v>
      </c>
      <c r="AL91" s="48">
        <v>0</v>
      </c>
      <c r="AM91" s="49">
        <v>0</v>
      </c>
      <c r="AN91" s="48">
        <v>15</v>
      </c>
      <c r="AO91" s="49">
        <v>100</v>
      </c>
      <c r="AP91" s="48">
        <v>15</v>
      </c>
    </row>
    <row r="92" spans="1:42" ht="15">
      <c r="A92" s="65" t="s">
        <v>258</v>
      </c>
      <c r="B92" s="65" t="s">
        <v>263</v>
      </c>
      <c r="C92" s="66" t="s">
        <v>1901</v>
      </c>
      <c r="D92" s="67">
        <v>3</v>
      </c>
      <c r="E92" s="68"/>
      <c r="F92" s="69">
        <v>50</v>
      </c>
      <c r="G92" s="66"/>
      <c r="H92" s="70"/>
      <c r="I92" s="71"/>
      <c r="J92" s="71"/>
      <c r="K92" s="34" t="s">
        <v>66</v>
      </c>
      <c r="L92" s="78">
        <v>92</v>
      </c>
      <c r="M92" s="78"/>
      <c r="N92" s="73"/>
      <c r="O92" s="80" t="s">
        <v>331</v>
      </c>
      <c r="P92" s="80" t="s">
        <v>333</v>
      </c>
      <c r="Q92" s="80" t="s">
        <v>420</v>
      </c>
      <c r="R92" s="80" t="s">
        <v>258</v>
      </c>
      <c r="S92" s="80" t="s">
        <v>599</v>
      </c>
      <c r="T92" s="82" t="str">
        <f>HYPERLINK("http://www.youtube.com/channel/UCZA_5vGtSpZu86VBDdSnSag")</f>
        <v>http://www.youtube.com/channel/UCZA_5vGtSpZu86VBDdSnSag</v>
      </c>
      <c r="U92" s="80" t="s">
        <v>707</v>
      </c>
      <c r="V92" s="80" t="s">
        <v>774</v>
      </c>
      <c r="W92" s="82" t="str">
        <f>HYPERLINK("https://www.youtube.com/watch?v=wfE9xUI5qxA")</f>
        <v>https://www.youtube.com/watch?v=wfE9xUI5qxA</v>
      </c>
      <c r="X92" s="80" t="s">
        <v>794</v>
      </c>
      <c r="Y92" s="80">
        <v>0</v>
      </c>
      <c r="Z92" s="84">
        <v>44004.75071759259</v>
      </c>
      <c r="AA92" s="84">
        <v>44004.75071759259</v>
      </c>
      <c r="AB92" s="80"/>
      <c r="AC92" s="80"/>
      <c r="AD92" s="80"/>
      <c r="AE92">
        <v>1</v>
      </c>
      <c r="AF92" s="79" t="str">
        <f>REPLACE(INDEX(GroupVertices[Group],MATCH(Edges[[#This Row],[Vertex 1]],GroupVertices[Vertex],0)),1,1,"")</f>
        <v>6</v>
      </c>
      <c r="AG92" s="79" t="str">
        <f>REPLACE(INDEX(GroupVertices[Group],MATCH(Edges[[#This Row],[Vertex 2]],GroupVertices[Vertex],0)),1,1,"")</f>
        <v>6</v>
      </c>
      <c r="AH92" s="48">
        <v>0</v>
      </c>
      <c r="AI92" s="49">
        <v>0</v>
      </c>
      <c r="AJ92" s="48">
        <v>0</v>
      </c>
      <c r="AK92" s="49">
        <v>0</v>
      </c>
      <c r="AL92" s="48">
        <v>0</v>
      </c>
      <c r="AM92" s="49">
        <v>0</v>
      </c>
      <c r="AN92" s="48">
        <v>2</v>
      </c>
      <c r="AO92" s="49">
        <v>100</v>
      </c>
      <c r="AP92" s="48">
        <v>2</v>
      </c>
    </row>
    <row r="93" spans="1:42" ht="15">
      <c r="A93" s="65" t="s">
        <v>263</v>
      </c>
      <c r="B93" s="65" t="s">
        <v>258</v>
      </c>
      <c r="C93" s="66" t="s">
        <v>1901</v>
      </c>
      <c r="D93" s="67">
        <v>3</v>
      </c>
      <c r="E93" s="68"/>
      <c r="F93" s="69">
        <v>50</v>
      </c>
      <c r="G93" s="66"/>
      <c r="H93" s="70"/>
      <c r="I93" s="71"/>
      <c r="J93" s="71"/>
      <c r="K93" s="34" t="s">
        <v>66</v>
      </c>
      <c r="L93" s="78">
        <v>93</v>
      </c>
      <c r="M93" s="78"/>
      <c r="N93" s="73"/>
      <c r="O93" s="80" t="s">
        <v>332</v>
      </c>
      <c r="P93" s="80" t="s">
        <v>198</v>
      </c>
      <c r="Q93" s="80" t="s">
        <v>421</v>
      </c>
      <c r="R93" s="80" t="s">
        <v>263</v>
      </c>
      <c r="S93" s="80" t="s">
        <v>604</v>
      </c>
      <c r="T93" s="82" t="str">
        <f>HYPERLINK("http://www.youtube.com/channel/UCT5IkG04XlnTVZq_ZwPH8tA")</f>
        <v>http://www.youtube.com/channel/UCT5IkG04XlnTVZq_ZwPH8tA</v>
      </c>
      <c r="U93" s="80"/>
      <c r="V93" s="80" t="s">
        <v>774</v>
      </c>
      <c r="W93" s="82" t="str">
        <f>HYPERLINK("https://www.youtube.com/watch?v=wfE9xUI5qxA")</f>
        <v>https://www.youtube.com/watch?v=wfE9xUI5qxA</v>
      </c>
      <c r="X93" s="80" t="s">
        <v>794</v>
      </c>
      <c r="Y93" s="80">
        <v>1</v>
      </c>
      <c r="Z93" s="84">
        <v>44004.74269675926</v>
      </c>
      <c r="AA93" s="84">
        <v>44004.74269675926</v>
      </c>
      <c r="AB93" s="80"/>
      <c r="AC93" s="80"/>
      <c r="AD93" s="80"/>
      <c r="AE93">
        <v>1</v>
      </c>
      <c r="AF93" s="79" t="str">
        <f>REPLACE(INDEX(GroupVertices[Group],MATCH(Edges[[#This Row],[Vertex 1]],GroupVertices[Vertex],0)),1,1,"")</f>
        <v>6</v>
      </c>
      <c r="AG93" s="79" t="str">
        <f>REPLACE(INDEX(GroupVertices[Group],MATCH(Edges[[#This Row],[Vertex 2]],GroupVertices[Vertex],0)),1,1,"")</f>
        <v>6</v>
      </c>
      <c r="AH93" s="48">
        <v>1</v>
      </c>
      <c r="AI93" s="49">
        <v>50</v>
      </c>
      <c r="AJ93" s="48">
        <v>0</v>
      </c>
      <c r="AK93" s="49">
        <v>0</v>
      </c>
      <c r="AL93" s="48">
        <v>0</v>
      </c>
      <c r="AM93" s="49">
        <v>0</v>
      </c>
      <c r="AN93" s="48">
        <v>1</v>
      </c>
      <c r="AO93" s="49">
        <v>50</v>
      </c>
      <c r="AP93" s="48">
        <v>2</v>
      </c>
    </row>
    <row r="94" spans="1:42" ht="15">
      <c r="A94" s="65" t="s">
        <v>258</v>
      </c>
      <c r="B94" s="65" t="s">
        <v>264</v>
      </c>
      <c r="C94" s="66" t="s">
        <v>1900</v>
      </c>
      <c r="D94" s="67">
        <v>10</v>
      </c>
      <c r="E94" s="68"/>
      <c r="F94" s="69">
        <v>20</v>
      </c>
      <c r="G94" s="66"/>
      <c r="H94" s="70"/>
      <c r="I94" s="71"/>
      <c r="J94" s="71"/>
      <c r="K94" s="34" t="s">
        <v>66</v>
      </c>
      <c r="L94" s="78">
        <v>94</v>
      </c>
      <c r="M94" s="78"/>
      <c r="N94" s="73"/>
      <c r="O94" s="80" t="s">
        <v>331</v>
      </c>
      <c r="P94" s="80" t="s">
        <v>333</v>
      </c>
      <c r="Q94" s="80" t="s">
        <v>422</v>
      </c>
      <c r="R94" s="80" t="s">
        <v>258</v>
      </c>
      <c r="S94" s="80" t="s">
        <v>599</v>
      </c>
      <c r="T94" s="82" t="str">
        <f>HYPERLINK("http://www.youtube.com/channel/UCZA_5vGtSpZu86VBDdSnSag")</f>
        <v>http://www.youtube.com/channel/UCZA_5vGtSpZu86VBDdSnSag</v>
      </c>
      <c r="U94" s="80" t="s">
        <v>708</v>
      </c>
      <c r="V94" s="80" t="s">
        <v>774</v>
      </c>
      <c r="W94" s="82" t="str">
        <f>HYPERLINK("https://www.youtube.com/watch?v=wfE9xUI5qxA")</f>
        <v>https://www.youtube.com/watch?v=wfE9xUI5qxA</v>
      </c>
      <c r="X94" s="80" t="s">
        <v>794</v>
      </c>
      <c r="Y94" s="80">
        <v>0</v>
      </c>
      <c r="Z94" s="84">
        <v>44004.779178240744</v>
      </c>
      <c r="AA94" s="84">
        <v>44004.779178240744</v>
      </c>
      <c r="AB94" s="80"/>
      <c r="AC94" s="80"/>
      <c r="AD94" s="80"/>
      <c r="AE94">
        <v>2</v>
      </c>
      <c r="AF94" s="79" t="str">
        <f>REPLACE(INDEX(GroupVertices[Group],MATCH(Edges[[#This Row],[Vertex 1]],GroupVertices[Vertex],0)),1,1,"")</f>
        <v>6</v>
      </c>
      <c r="AG94" s="79" t="str">
        <f>REPLACE(INDEX(GroupVertices[Group],MATCH(Edges[[#This Row],[Vertex 2]],GroupVertices[Vertex],0)),1,1,"")</f>
        <v>6</v>
      </c>
      <c r="AH94" s="48">
        <v>0</v>
      </c>
      <c r="AI94" s="49">
        <v>0</v>
      </c>
      <c r="AJ94" s="48">
        <v>0</v>
      </c>
      <c r="AK94" s="49">
        <v>0</v>
      </c>
      <c r="AL94" s="48">
        <v>0</v>
      </c>
      <c r="AM94" s="49">
        <v>0</v>
      </c>
      <c r="AN94" s="48">
        <v>9</v>
      </c>
      <c r="AO94" s="49">
        <v>100</v>
      </c>
      <c r="AP94" s="48">
        <v>9</v>
      </c>
    </row>
    <row r="95" spans="1:42" ht="15">
      <c r="A95" s="65" t="s">
        <v>264</v>
      </c>
      <c r="B95" s="65" t="s">
        <v>264</v>
      </c>
      <c r="C95" s="66" t="s">
        <v>1901</v>
      </c>
      <c r="D95" s="67">
        <v>3</v>
      </c>
      <c r="E95" s="68"/>
      <c r="F95" s="69">
        <v>50</v>
      </c>
      <c r="G95" s="66"/>
      <c r="H95" s="70"/>
      <c r="I95" s="71"/>
      <c r="J95" s="71"/>
      <c r="K95" s="34" t="s">
        <v>65</v>
      </c>
      <c r="L95" s="78">
        <v>95</v>
      </c>
      <c r="M95" s="78"/>
      <c r="N95" s="73"/>
      <c r="O95" s="80" t="s">
        <v>331</v>
      </c>
      <c r="P95" s="80" t="s">
        <v>333</v>
      </c>
      <c r="Q95" s="80" t="s">
        <v>423</v>
      </c>
      <c r="R95" s="80" t="s">
        <v>264</v>
      </c>
      <c r="S95" s="80" t="s">
        <v>605</v>
      </c>
      <c r="T95" s="82" t="str">
        <f>HYPERLINK("http://www.youtube.com/channel/UC4HGCBftQMCR0012IxQVPfw")</f>
        <v>http://www.youtube.com/channel/UC4HGCBftQMCR0012IxQVPfw</v>
      </c>
      <c r="U95" s="80" t="s">
        <v>708</v>
      </c>
      <c r="V95" s="80" t="s">
        <v>774</v>
      </c>
      <c r="W95" s="82" t="str">
        <f>HYPERLINK("https://www.youtube.com/watch?v=wfE9xUI5qxA")</f>
        <v>https://www.youtube.com/watch?v=wfE9xUI5qxA</v>
      </c>
      <c r="X95" s="80" t="s">
        <v>794</v>
      </c>
      <c r="Y95" s="80">
        <v>1</v>
      </c>
      <c r="Z95" s="84">
        <v>44004.781481481485</v>
      </c>
      <c r="AA95" s="84">
        <v>44004.781481481485</v>
      </c>
      <c r="AB95" s="80" t="s">
        <v>804</v>
      </c>
      <c r="AC95" s="80" t="s">
        <v>817</v>
      </c>
      <c r="AD95" s="80"/>
      <c r="AE95">
        <v>1</v>
      </c>
      <c r="AF95" s="79" t="str">
        <f>REPLACE(INDEX(GroupVertices[Group],MATCH(Edges[[#This Row],[Vertex 1]],GroupVertices[Vertex],0)),1,1,"")</f>
        <v>6</v>
      </c>
      <c r="AG95" s="79" t="str">
        <f>REPLACE(INDEX(GroupVertices[Group],MATCH(Edges[[#This Row],[Vertex 2]],GroupVertices[Vertex],0)),1,1,"")</f>
        <v>6</v>
      </c>
      <c r="AH95" s="48">
        <v>0</v>
      </c>
      <c r="AI95" s="49">
        <v>0</v>
      </c>
      <c r="AJ95" s="48">
        <v>0</v>
      </c>
      <c r="AK95" s="49">
        <v>0</v>
      </c>
      <c r="AL95" s="48">
        <v>0</v>
      </c>
      <c r="AM95" s="49">
        <v>0</v>
      </c>
      <c r="AN95" s="48">
        <v>15</v>
      </c>
      <c r="AO95" s="49">
        <v>100</v>
      </c>
      <c r="AP95" s="48">
        <v>15</v>
      </c>
    </row>
    <row r="96" spans="1:42" ht="15">
      <c r="A96" s="65" t="s">
        <v>258</v>
      </c>
      <c r="B96" s="65" t="s">
        <v>264</v>
      </c>
      <c r="C96" s="66" t="s">
        <v>1900</v>
      </c>
      <c r="D96" s="67">
        <v>10</v>
      </c>
      <c r="E96" s="68"/>
      <c r="F96" s="69">
        <v>20</v>
      </c>
      <c r="G96" s="66"/>
      <c r="H96" s="70"/>
      <c r="I96" s="71"/>
      <c r="J96" s="71"/>
      <c r="K96" s="34" t="s">
        <v>66</v>
      </c>
      <c r="L96" s="78">
        <v>96</v>
      </c>
      <c r="M96" s="78"/>
      <c r="N96" s="73"/>
      <c r="O96" s="80" t="s">
        <v>331</v>
      </c>
      <c r="P96" s="80" t="s">
        <v>333</v>
      </c>
      <c r="Q96" s="80" t="s">
        <v>424</v>
      </c>
      <c r="R96" s="80" t="s">
        <v>258</v>
      </c>
      <c r="S96" s="80" t="s">
        <v>599</v>
      </c>
      <c r="T96" s="82" t="str">
        <f>HYPERLINK("http://www.youtube.com/channel/UCZA_5vGtSpZu86VBDdSnSag")</f>
        <v>http://www.youtube.com/channel/UCZA_5vGtSpZu86VBDdSnSag</v>
      </c>
      <c r="U96" s="80" t="s">
        <v>708</v>
      </c>
      <c r="V96" s="80" t="s">
        <v>774</v>
      </c>
      <c r="W96" s="82" t="str">
        <f>HYPERLINK("https://www.youtube.com/watch?v=wfE9xUI5qxA")</f>
        <v>https://www.youtube.com/watch?v=wfE9xUI5qxA</v>
      </c>
      <c r="X96" s="80" t="s">
        <v>794</v>
      </c>
      <c r="Y96" s="80">
        <v>0</v>
      </c>
      <c r="Z96" s="84">
        <v>44004.78394675926</v>
      </c>
      <c r="AA96" s="84">
        <v>44004.78394675926</v>
      </c>
      <c r="AB96" s="80"/>
      <c r="AC96" s="80"/>
      <c r="AD96" s="80"/>
      <c r="AE96">
        <v>2</v>
      </c>
      <c r="AF96" s="79" t="str">
        <f>REPLACE(INDEX(GroupVertices[Group],MATCH(Edges[[#This Row],[Vertex 1]],GroupVertices[Vertex],0)),1,1,"")</f>
        <v>6</v>
      </c>
      <c r="AG96" s="79" t="str">
        <f>REPLACE(INDEX(GroupVertices[Group],MATCH(Edges[[#This Row],[Vertex 2]],GroupVertices[Vertex],0)),1,1,"")</f>
        <v>6</v>
      </c>
      <c r="AH96" s="48">
        <v>0</v>
      </c>
      <c r="AI96" s="49">
        <v>0</v>
      </c>
      <c r="AJ96" s="48">
        <v>0</v>
      </c>
      <c r="AK96" s="49">
        <v>0</v>
      </c>
      <c r="AL96" s="48">
        <v>0</v>
      </c>
      <c r="AM96" s="49">
        <v>0</v>
      </c>
      <c r="AN96" s="48">
        <v>6</v>
      </c>
      <c r="AO96" s="49">
        <v>100</v>
      </c>
      <c r="AP96" s="48">
        <v>6</v>
      </c>
    </row>
    <row r="97" spans="1:42" ht="15">
      <c r="A97" s="65" t="s">
        <v>264</v>
      </c>
      <c r="B97" s="65" t="s">
        <v>258</v>
      </c>
      <c r="C97" s="66" t="s">
        <v>1901</v>
      </c>
      <c r="D97" s="67">
        <v>3</v>
      </c>
      <c r="E97" s="68"/>
      <c r="F97" s="69">
        <v>50</v>
      </c>
      <c r="G97" s="66"/>
      <c r="H97" s="70"/>
      <c r="I97" s="71"/>
      <c r="J97" s="71"/>
      <c r="K97" s="34" t="s">
        <v>66</v>
      </c>
      <c r="L97" s="78">
        <v>97</v>
      </c>
      <c r="M97" s="78"/>
      <c r="N97" s="73"/>
      <c r="O97" s="80" t="s">
        <v>332</v>
      </c>
      <c r="P97" s="80" t="s">
        <v>198</v>
      </c>
      <c r="Q97" s="80" t="s">
        <v>425</v>
      </c>
      <c r="R97" s="80" t="s">
        <v>264</v>
      </c>
      <c r="S97" s="80" t="s">
        <v>605</v>
      </c>
      <c r="T97" s="82" t="str">
        <f>HYPERLINK("http://www.youtube.com/channel/UC4HGCBftQMCR0012IxQVPfw")</f>
        <v>http://www.youtube.com/channel/UC4HGCBftQMCR0012IxQVPfw</v>
      </c>
      <c r="U97" s="80"/>
      <c r="V97" s="80" t="s">
        <v>774</v>
      </c>
      <c r="W97" s="82" t="str">
        <f>HYPERLINK("https://www.youtube.com/watch?v=wfE9xUI5qxA")</f>
        <v>https://www.youtube.com/watch?v=wfE9xUI5qxA</v>
      </c>
      <c r="X97" s="80" t="s">
        <v>794</v>
      </c>
      <c r="Y97" s="80">
        <v>1</v>
      </c>
      <c r="Z97" s="84">
        <v>44004.77679398148</v>
      </c>
      <c r="AA97" s="84">
        <v>44004.77679398148</v>
      </c>
      <c r="AB97" s="80"/>
      <c r="AC97" s="80"/>
      <c r="AD97" s="80"/>
      <c r="AE97">
        <v>1</v>
      </c>
      <c r="AF97" s="79" t="str">
        <f>REPLACE(INDEX(GroupVertices[Group],MATCH(Edges[[#This Row],[Vertex 1]],GroupVertices[Vertex],0)),1,1,"")</f>
        <v>6</v>
      </c>
      <c r="AG97" s="79" t="str">
        <f>REPLACE(INDEX(GroupVertices[Group],MATCH(Edges[[#This Row],[Vertex 2]],GroupVertices[Vertex],0)),1,1,"")</f>
        <v>6</v>
      </c>
      <c r="AH97" s="48">
        <v>0</v>
      </c>
      <c r="AI97" s="49">
        <v>0</v>
      </c>
      <c r="AJ97" s="48">
        <v>0</v>
      </c>
      <c r="AK97" s="49">
        <v>0</v>
      </c>
      <c r="AL97" s="48">
        <v>0</v>
      </c>
      <c r="AM97" s="49">
        <v>0</v>
      </c>
      <c r="AN97" s="48">
        <v>7</v>
      </c>
      <c r="AO97" s="49">
        <v>100</v>
      </c>
      <c r="AP97" s="48">
        <v>7</v>
      </c>
    </row>
    <row r="98" spans="1:42" ht="15">
      <c r="A98" s="65" t="s">
        <v>258</v>
      </c>
      <c r="B98" s="65" t="s">
        <v>265</v>
      </c>
      <c r="C98" s="66" t="s">
        <v>1901</v>
      </c>
      <c r="D98" s="67">
        <v>3</v>
      </c>
      <c r="E98" s="68"/>
      <c r="F98" s="69">
        <v>50</v>
      </c>
      <c r="G98" s="66"/>
      <c r="H98" s="70"/>
      <c r="I98" s="71"/>
      <c r="J98" s="71"/>
      <c r="K98" s="34" t="s">
        <v>66</v>
      </c>
      <c r="L98" s="78">
        <v>98</v>
      </c>
      <c r="M98" s="78"/>
      <c r="N98" s="73"/>
      <c r="O98" s="80" t="s">
        <v>331</v>
      </c>
      <c r="P98" s="80" t="s">
        <v>333</v>
      </c>
      <c r="Q98" s="80" t="s">
        <v>426</v>
      </c>
      <c r="R98" s="80" t="s">
        <v>258</v>
      </c>
      <c r="S98" s="80" t="s">
        <v>599</v>
      </c>
      <c r="T98" s="82" t="str">
        <f>HYPERLINK("http://www.youtube.com/channel/UCZA_5vGtSpZu86VBDdSnSag")</f>
        <v>http://www.youtube.com/channel/UCZA_5vGtSpZu86VBDdSnSag</v>
      </c>
      <c r="U98" s="80" t="s">
        <v>709</v>
      </c>
      <c r="V98" s="80" t="s">
        <v>774</v>
      </c>
      <c r="W98" s="82" t="str">
        <f>HYPERLINK("https://www.youtube.com/watch?v=wfE9xUI5qxA")</f>
        <v>https://www.youtube.com/watch?v=wfE9xUI5qxA</v>
      </c>
      <c r="X98" s="80" t="s">
        <v>794</v>
      </c>
      <c r="Y98" s="80">
        <v>0</v>
      </c>
      <c r="Z98" s="84">
        <v>44005.11615740741</v>
      </c>
      <c r="AA98" s="84">
        <v>44005.11615740741</v>
      </c>
      <c r="AB98" s="80" t="s">
        <v>805</v>
      </c>
      <c r="AC98" s="80" t="s">
        <v>818</v>
      </c>
      <c r="AD98" s="80"/>
      <c r="AE98">
        <v>1</v>
      </c>
      <c r="AF98" s="79" t="str">
        <f>REPLACE(INDEX(GroupVertices[Group],MATCH(Edges[[#This Row],[Vertex 1]],GroupVertices[Vertex],0)),1,1,"")</f>
        <v>6</v>
      </c>
      <c r="AG98" s="79" t="str">
        <f>REPLACE(INDEX(GroupVertices[Group],MATCH(Edges[[#This Row],[Vertex 2]],GroupVertices[Vertex],0)),1,1,"")</f>
        <v>6</v>
      </c>
      <c r="AH98" s="48">
        <v>0</v>
      </c>
      <c r="AI98" s="49">
        <v>0</v>
      </c>
      <c r="AJ98" s="48">
        <v>0</v>
      </c>
      <c r="AK98" s="49">
        <v>0</v>
      </c>
      <c r="AL98" s="48">
        <v>0</v>
      </c>
      <c r="AM98" s="49">
        <v>0</v>
      </c>
      <c r="AN98" s="48">
        <v>43</v>
      </c>
      <c r="AO98" s="49">
        <v>100</v>
      </c>
      <c r="AP98" s="48">
        <v>43</v>
      </c>
    </row>
    <row r="99" spans="1:42" ht="15">
      <c r="A99" s="65" t="s">
        <v>265</v>
      </c>
      <c r="B99" s="65" t="s">
        <v>258</v>
      </c>
      <c r="C99" s="66" t="s">
        <v>1901</v>
      </c>
      <c r="D99" s="67">
        <v>3</v>
      </c>
      <c r="E99" s="68"/>
      <c r="F99" s="69">
        <v>50</v>
      </c>
      <c r="G99" s="66"/>
      <c r="H99" s="70"/>
      <c r="I99" s="71"/>
      <c r="J99" s="71"/>
      <c r="K99" s="34" t="s">
        <v>66</v>
      </c>
      <c r="L99" s="78">
        <v>99</v>
      </c>
      <c r="M99" s="78"/>
      <c r="N99" s="73"/>
      <c r="O99" s="80" t="s">
        <v>332</v>
      </c>
      <c r="P99" s="80" t="s">
        <v>198</v>
      </c>
      <c r="Q99" s="80" t="s">
        <v>427</v>
      </c>
      <c r="R99" s="80" t="s">
        <v>265</v>
      </c>
      <c r="S99" s="80" t="s">
        <v>606</v>
      </c>
      <c r="T99" s="82" t="str">
        <f>HYPERLINK("http://www.youtube.com/channel/UCxsNIXVl1DNY0HFcjOchY5g")</f>
        <v>http://www.youtube.com/channel/UCxsNIXVl1DNY0HFcjOchY5g</v>
      </c>
      <c r="U99" s="80"/>
      <c r="V99" s="80" t="s">
        <v>774</v>
      </c>
      <c r="W99" s="82" t="str">
        <f>HYPERLINK("https://www.youtube.com/watch?v=wfE9xUI5qxA")</f>
        <v>https://www.youtube.com/watch?v=wfE9xUI5qxA</v>
      </c>
      <c r="X99" s="80" t="s">
        <v>794</v>
      </c>
      <c r="Y99" s="80">
        <v>1</v>
      </c>
      <c r="Z99" s="84">
        <v>44004.804768518516</v>
      </c>
      <c r="AA99" s="84">
        <v>44004.804768518516</v>
      </c>
      <c r="AB99" s="80"/>
      <c r="AC99" s="80"/>
      <c r="AD99" s="80"/>
      <c r="AE99">
        <v>1</v>
      </c>
      <c r="AF99" s="79" t="str">
        <f>REPLACE(INDEX(GroupVertices[Group],MATCH(Edges[[#This Row],[Vertex 1]],GroupVertices[Vertex],0)),1,1,"")</f>
        <v>6</v>
      </c>
      <c r="AG99" s="79" t="str">
        <f>REPLACE(INDEX(GroupVertices[Group],MATCH(Edges[[#This Row],[Vertex 2]],GroupVertices[Vertex],0)),1,1,"")</f>
        <v>6</v>
      </c>
      <c r="AH99" s="48">
        <v>0</v>
      </c>
      <c r="AI99" s="49">
        <v>0</v>
      </c>
      <c r="AJ99" s="48">
        <v>0</v>
      </c>
      <c r="AK99" s="49">
        <v>0</v>
      </c>
      <c r="AL99" s="48">
        <v>0</v>
      </c>
      <c r="AM99" s="49">
        <v>0</v>
      </c>
      <c r="AN99" s="48">
        <v>23</v>
      </c>
      <c r="AO99" s="49">
        <v>100</v>
      </c>
      <c r="AP99" s="48">
        <v>23</v>
      </c>
    </row>
    <row r="100" spans="1:42" ht="15">
      <c r="A100" s="65" t="s">
        <v>266</v>
      </c>
      <c r="B100" s="65" t="s">
        <v>267</v>
      </c>
      <c r="C100" s="66" t="s">
        <v>1901</v>
      </c>
      <c r="D100" s="67">
        <v>3</v>
      </c>
      <c r="E100" s="68"/>
      <c r="F100" s="69">
        <v>50</v>
      </c>
      <c r="G100" s="66"/>
      <c r="H100" s="70"/>
      <c r="I100" s="71"/>
      <c r="J100" s="71"/>
      <c r="K100" s="34" t="s">
        <v>66</v>
      </c>
      <c r="L100" s="78">
        <v>100</v>
      </c>
      <c r="M100" s="78"/>
      <c r="N100" s="73"/>
      <c r="O100" s="80" t="s">
        <v>331</v>
      </c>
      <c r="P100" s="80" t="s">
        <v>333</v>
      </c>
      <c r="Q100" s="80" t="s">
        <v>370</v>
      </c>
      <c r="R100" s="80" t="s">
        <v>266</v>
      </c>
      <c r="S100" s="80" t="s">
        <v>607</v>
      </c>
      <c r="T100" s="82" t="str">
        <f>HYPERLINK("http://www.youtube.com/channel/UC5fs7PookxGfDPTo-RU0ReQ")</f>
        <v>http://www.youtube.com/channel/UC5fs7PookxGfDPTo-RU0ReQ</v>
      </c>
      <c r="U100" s="80" t="s">
        <v>710</v>
      </c>
      <c r="V100" s="80" t="s">
        <v>775</v>
      </c>
      <c r="W100" s="82" t="str">
        <f>HYPERLINK("https://www.youtube.com/watch?v=67NAObstdUs")</f>
        <v>https://www.youtube.com/watch?v=67NAObstdUs</v>
      </c>
      <c r="X100" s="80" t="s">
        <v>794</v>
      </c>
      <c r="Y100" s="80">
        <v>0</v>
      </c>
      <c r="Z100" s="84">
        <v>44004.32666666667</v>
      </c>
      <c r="AA100" s="84">
        <v>44004.32666666667</v>
      </c>
      <c r="AB100" s="80"/>
      <c r="AC100" s="80"/>
      <c r="AD100" s="80"/>
      <c r="AE100">
        <v>1</v>
      </c>
      <c r="AF100" s="79" t="str">
        <f>REPLACE(INDEX(GroupVertices[Group],MATCH(Edges[[#This Row],[Vertex 1]],GroupVertices[Vertex],0)),1,1,"")</f>
        <v>3</v>
      </c>
      <c r="AG100" s="79" t="str">
        <f>REPLACE(INDEX(GroupVertices[Group],MATCH(Edges[[#This Row],[Vertex 2]],GroupVertices[Vertex],0)),1,1,"")</f>
        <v>3</v>
      </c>
      <c r="AH100" s="48">
        <v>0</v>
      </c>
      <c r="AI100" s="49">
        <v>0</v>
      </c>
      <c r="AJ100" s="48">
        <v>0</v>
      </c>
      <c r="AK100" s="49">
        <v>0</v>
      </c>
      <c r="AL100" s="48">
        <v>0</v>
      </c>
      <c r="AM100" s="49">
        <v>0</v>
      </c>
      <c r="AN100" s="48">
        <v>1</v>
      </c>
      <c r="AO100" s="49">
        <v>100</v>
      </c>
      <c r="AP100" s="48">
        <v>1</v>
      </c>
    </row>
    <row r="101" spans="1:42" ht="15">
      <c r="A101" s="65" t="s">
        <v>267</v>
      </c>
      <c r="B101" s="65" t="s">
        <v>266</v>
      </c>
      <c r="C101" s="66" t="s">
        <v>1901</v>
      </c>
      <c r="D101" s="67">
        <v>3</v>
      </c>
      <c r="E101" s="68"/>
      <c r="F101" s="69">
        <v>50</v>
      </c>
      <c r="G101" s="66"/>
      <c r="H101" s="70"/>
      <c r="I101" s="71"/>
      <c r="J101" s="71"/>
      <c r="K101" s="34" t="s">
        <v>66</v>
      </c>
      <c r="L101" s="78">
        <v>101</v>
      </c>
      <c r="M101" s="78"/>
      <c r="N101" s="73"/>
      <c r="O101" s="80" t="s">
        <v>332</v>
      </c>
      <c r="P101" s="80" t="s">
        <v>198</v>
      </c>
      <c r="Q101" s="80" t="s">
        <v>428</v>
      </c>
      <c r="R101" s="80" t="s">
        <v>267</v>
      </c>
      <c r="S101" s="80" t="s">
        <v>608</v>
      </c>
      <c r="T101" s="82" t="str">
        <f>HYPERLINK("http://www.youtube.com/channel/UC1n7PNqiB96782HhcCEQadQ")</f>
        <v>http://www.youtube.com/channel/UC1n7PNqiB96782HhcCEQadQ</v>
      </c>
      <c r="U101" s="80"/>
      <c r="V101" s="80" t="s">
        <v>775</v>
      </c>
      <c r="W101" s="82" t="str">
        <f>HYPERLINK("https://www.youtube.com/watch?v=67NAObstdUs")</f>
        <v>https://www.youtube.com/watch?v=67NAObstdUs</v>
      </c>
      <c r="X101" s="80" t="s">
        <v>794</v>
      </c>
      <c r="Y101" s="80">
        <v>0</v>
      </c>
      <c r="Z101" s="84">
        <v>44004.20342592592</v>
      </c>
      <c r="AA101" s="84">
        <v>44004.20342592592</v>
      </c>
      <c r="AB101" s="80"/>
      <c r="AC101" s="80"/>
      <c r="AD101" s="80"/>
      <c r="AE101">
        <v>1</v>
      </c>
      <c r="AF101" s="79" t="str">
        <f>REPLACE(INDEX(GroupVertices[Group],MATCH(Edges[[#This Row],[Vertex 1]],GroupVertices[Vertex],0)),1,1,"")</f>
        <v>3</v>
      </c>
      <c r="AG101" s="79" t="str">
        <f>REPLACE(INDEX(GroupVertices[Group],MATCH(Edges[[#This Row],[Vertex 2]],GroupVertices[Vertex],0)),1,1,"")</f>
        <v>3</v>
      </c>
      <c r="AH101" s="48">
        <v>1</v>
      </c>
      <c r="AI101" s="49">
        <v>33.333333333333336</v>
      </c>
      <c r="AJ101" s="48">
        <v>0</v>
      </c>
      <c r="AK101" s="49">
        <v>0</v>
      </c>
      <c r="AL101" s="48">
        <v>0</v>
      </c>
      <c r="AM101" s="49">
        <v>0</v>
      </c>
      <c r="AN101" s="48">
        <v>2</v>
      </c>
      <c r="AO101" s="49">
        <v>66.66666666666667</v>
      </c>
      <c r="AP101" s="48">
        <v>3</v>
      </c>
    </row>
    <row r="102" spans="1:42" ht="15">
      <c r="A102" s="65" t="s">
        <v>268</v>
      </c>
      <c r="B102" s="65" t="s">
        <v>270</v>
      </c>
      <c r="C102" s="66" t="s">
        <v>1901</v>
      </c>
      <c r="D102" s="67">
        <v>3</v>
      </c>
      <c r="E102" s="68"/>
      <c r="F102" s="69">
        <v>50</v>
      </c>
      <c r="G102" s="66"/>
      <c r="H102" s="70"/>
      <c r="I102" s="71"/>
      <c r="J102" s="71"/>
      <c r="K102" s="34" t="s">
        <v>65</v>
      </c>
      <c r="L102" s="78">
        <v>102</v>
      </c>
      <c r="M102" s="78"/>
      <c r="N102" s="73"/>
      <c r="O102" s="80" t="s">
        <v>331</v>
      </c>
      <c r="P102" s="80" t="s">
        <v>333</v>
      </c>
      <c r="Q102" s="80" t="s">
        <v>429</v>
      </c>
      <c r="R102" s="80" t="s">
        <v>268</v>
      </c>
      <c r="S102" s="80" t="s">
        <v>609</v>
      </c>
      <c r="T102" s="82" t="str">
        <f>HYPERLINK("http://www.youtube.com/channel/UC0XPyNN1n8_yfMIqOC3fzgw")</f>
        <v>http://www.youtube.com/channel/UC0XPyNN1n8_yfMIqOC3fzgw</v>
      </c>
      <c r="U102" s="80" t="s">
        <v>711</v>
      </c>
      <c r="V102" s="80" t="s">
        <v>776</v>
      </c>
      <c r="W102" s="82" t="str">
        <f>HYPERLINK("https://www.youtube.com/watch?v=RJyJ0_gtC6Y")</f>
        <v>https://www.youtube.com/watch?v=RJyJ0_gtC6Y</v>
      </c>
      <c r="X102" s="80" t="s">
        <v>794</v>
      </c>
      <c r="Y102" s="80">
        <v>1</v>
      </c>
      <c r="Z102" s="84">
        <v>44004.42952546296</v>
      </c>
      <c r="AA102" s="84">
        <v>44004.42952546296</v>
      </c>
      <c r="AB102" s="80"/>
      <c r="AC102" s="80"/>
      <c r="AD102" s="80"/>
      <c r="AE102">
        <v>1</v>
      </c>
      <c r="AF102" s="79" t="str">
        <f>REPLACE(INDEX(GroupVertices[Group],MATCH(Edges[[#This Row],[Vertex 1]],GroupVertices[Vertex],0)),1,1,"")</f>
        <v>14</v>
      </c>
      <c r="AG102" s="79" t="str">
        <f>REPLACE(INDEX(GroupVertices[Group],MATCH(Edges[[#This Row],[Vertex 2]],GroupVertices[Vertex],0)),1,1,"")</f>
        <v>14</v>
      </c>
      <c r="AH102" s="48">
        <v>0</v>
      </c>
      <c r="AI102" s="49">
        <v>0</v>
      </c>
      <c r="AJ102" s="48">
        <v>0</v>
      </c>
      <c r="AK102" s="49">
        <v>0</v>
      </c>
      <c r="AL102" s="48">
        <v>0</v>
      </c>
      <c r="AM102" s="49">
        <v>0</v>
      </c>
      <c r="AN102" s="48">
        <v>2</v>
      </c>
      <c r="AO102" s="49">
        <v>100</v>
      </c>
      <c r="AP102" s="48">
        <v>2</v>
      </c>
    </row>
    <row r="103" spans="1:42" ht="15">
      <c r="A103" s="65" t="s">
        <v>269</v>
      </c>
      <c r="B103" s="65" t="s">
        <v>270</v>
      </c>
      <c r="C103" s="66" t="s">
        <v>1900</v>
      </c>
      <c r="D103" s="67">
        <v>10</v>
      </c>
      <c r="E103" s="68"/>
      <c r="F103" s="69">
        <v>20</v>
      </c>
      <c r="G103" s="66"/>
      <c r="H103" s="70"/>
      <c r="I103" s="71"/>
      <c r="J103" s="71"/>
      <c r="K103" s="34" t="s">
        <v>66</v>
      </c>
      <c r="L103" s="78">
        <v>103</v>
      </c>
      <c r="M103" s="78"/>
      <c r="N103" s="73"/>
      <c r="O103" s="80" t="s">
        <v>331</v>
      </c>
      <c r="P103" s="80" t="s">
        <v>333</v>
      </c>
      <c r="Q103" s="80" t="s">
        <v>430</v>
      </c>
      <c r="R103" s="80" t="s">
        <v>269</v>
      </c>
      <c r="S103" s="80" t="s">
        <v>610</v>
      </c>
      <c r="T103" s="82" t="str">
        <f>HYPERLINK("http://www.youtube.com/channel/UCr_MTGrHVG78jGSWbGnNIvw")</f>
        <v>http://www.youtube.com/channel/UCr_MTGrHVG78jGSWbGnNIvw</v>
      </c>
      <c r="U103" s="80" t="s">
        <v>711</v>
      </c>
      <c r="V103" s="80" t="s">
        <v>776</v>
      </c>
      <c r="W103" s="82" t="str">
        <f>HYPERLINK("https://www.youtube.com/watch?v=RJyJ0_gtC6Y")</f>
        <v>https://www.youtube.com/watch?v=RJyJ0_gtC6Y</v>
      </c>
      <c r="X103" s="80" t="s">
        <v>794</v>
      </c>
      <c r="Y103" s="80">
        <v>1</v>
      </c>
      <c r="Z103" s="84">
        <v>44004.35494212963</v>
      </c>
      <c r="AA103" s="84">
        <v>44004.35494212963</v>
      </c>
      <c r="AB103" s="80"/>
      <c r="AC103" s="80"/>
      <c r="AD103" s="80"/>
      <c r="AE103">
        <v>2</v>
      </c>
      <c r="AF103" s="79" t="str">
        <f>REPLACE(INDEX(GroupVertices[Group],MATCH(Edges[[#This Row],[Vertex 1]],GroupVertices[Vertex],0)),1,1,"")</f>
        <v>14</v>
      </c>
      <c r="AG103" s="79" t="str">
        <f>REPLACE(INDEX(GroupVertices[Group],MATCH(Edges[[#This Row],[Vertex 2]],GroupVertices[Vertex],0)),1,1,"")</f>
        <v>14</v>
      </c>
      <c r="AH103" s="48">
        <v>1</v>
      </c>
      <c r="AI103" s="49">
        <v>12.5</v>
      </c>
      <c r="AJ103" s="48">
        <v>0</v>
      </c>
      <c r="AK103" s="49">
        <v>0</v>
      </c>
      <c r="AL103" s="48">
        <v>0</v>
      </c>
      <c r="AM103" s="49">
        <v>0</v>
      </c>
      <c r="AN103" s="48">
        <v>7</v>
      </c>
      <c r="AO103" s="49">
        <v>87.5</v>
      </c>
      <c r="AP103" s="48">
        <v>8</v>
      </c>
    </row>
    <row r="104" spans="1:42" ht="15">
      <c r="A104" s="65" t="s">
        <v>269</v>
      </c>
      <c r="B104" s="65" t="s">
        <v>270</v>
      </c>
      <c r="C104" s="66" t="s">
        <v>1900</v>
      </c>
      <c r="D104" s="67">
        <v>10</v>
      </c>
      <c r="E104" s="68"/>
      <c r="F104" s="69">
        <v>20</v>
      </c>
      <c r="G104" s="66"/>
      <c r="H104" s="70"/>
      <c r="I104" s="71"/>
      <c r="J104" s="71"/>
      <c r="K104" s="34" t="s">
        <v>66</v>
      </c>
      <c r="L104" s="78">
        <v>104</v>
      </c>
      <c r="M104" s="78"/>
      <c r="N104" s="73"/>
      <c r="O104" s="80" t="s">
        <v>331</v>
      </c>
      <c r="P104" s="80" t="s">
        <v>333</v>
      </c>
      <c r="Q104" s="80" t="s">
        <v>431</v>
      </c>
      <c r="R104" s="80" t="s">
        <v>269</v>
      </c>
      <c r="S104" s="80" t="s">
        <v>610</v>
      </c>
      <c r="T104" s="82" t="str">
        <f>HYPERLINK("http://www.youtube.com/channel/UCr_MTGrHVG78jGSWbGnNIvw")</f>
        <v>http://www.youtube.com/channel/UCr_MTGrHVG78jGSWbGnNIvw</v>
      </c>
      <c r="U104" s="80" t="s">
        <v>711</v>
      </c>
      <c r="V104" s="80" t="s">
        <v>776</v>
      </c>
      <c r="W104" s="82" t="str">
        <f>HYPERLINK("https://www.youtube.com/watch?v=RJyJ0_gtC6Y")</f>
        <v>https://www.youtube.com/watch?v=RJyJ0_gtC6Y</v>
      </c>
      <c r="X104" s="80" t="s">
        <v>794</v>
      </c>
      <c r="Y104" s="80">
        <v>0</v>
      </c>
      <c r="Z104" s="84">
        <v>44004.57236111111</v>
      </c>
      <c r="AA104" s="84">
        <v>44004.57236111111</v>
      </c>
      <c r="AB104" s="80"/>
      <c r="AC104" s="80"/>
      <c r="AD104" s="80"/>
      <c r="AE104">
        <v>2</v>
      </c>
      <c r="AF104" s="79" t="str">
        <f>REPLACE(INDEX(GroupVertices[Group],MATCH(Edges[[#This Row],[Vertex 1]],GroupVertices[Vertex],0)),1,1,"")</f>
        <v>14</v>
      </c>
      <c r="AG104" s="79" t="str">
        <f>REPLACE(INDEX(GroupVertices[Group],MATCH(Edges[[#This Row],[Vertex 2]],GroupVertices[Vertex],0)),1,1,"")</f>
        <v>14</v>
      </c>
      <c r="AH104" s="48">
        <v>2</v>
      </c>
      <c r="AI104" s="49">
        <v>33.333333333333336</v>
      </c>
      <c r="AJ104" s="48">
        <v>0</v>
      </c>
      <c r="AK104" s="49">
        <v>0</v>
      </c>
      <c r="AL104" s="48">
        <v>0</v>
      </c>
      <c r="AM104" s="49">
        <v>0</v>
      </c>
      <c r="AN104" s="48">
        <v>4</v>
      </c>
      <c r="AO104" s="49">
        <v>66.66666666666667</v>
      </c>
      <c r="AP104" s="48">
        <v>6</v>
      </c>
    </row>
    <row r="105" spans="1:42" ht="15">
      <c r="A105" s="65" t="s">
        <v>270</v>
      </c>
      <c r="B105" s="65" t="s">
        <v>269</v>
      </c>
      <c r="C105" s="66" t="s">
        <v>1901</v>
      </c>
      <c r="D105" s="67">
        <v>3</v>
      </c>
      <c r="E105" s="68"/>
      <c r="F105" s="69">
        <v>50</v>
      </c>
      <c r="G105" s="66"/>
      <c r="H105" s="70"/>
      <c r="I105" s="71"/>
      <c r="J105" s="71"/>
      <c r="K105" s="34" t="s">
        <v>66</v>
      </c>
      <c r="L105" s="78">
        <v>105</v>
      </c>
      <c r="M105" s="78"/>
      <c r="N105" s="73"/>
      <c r="O105" s="80" t="s">
        <v>332</v>
      </c>
      <c r="P105" s="80" t="s">
        <v>198</v>
      </c>
      <c r="Q105" s="80" t="s">
        <v>432</v>
      </c>
      <c r="R105" s="80" t="s">
        <v>270</v>
      </c>
      <c r="S105" s="80" t="s">
        <v>611</v>
      </c>
      <c r="T105" s="82" t="str">
        <f>HYPERLINK("http://www.youtube.com/channel/UCEzQybRlEFdns8Jv1iSTN2A")</f>
        <v>http://www.youtube.com/channel/UCEzQybRlEFdns8Jv1iSTN2A</v>
      </c>
      <c r="U105" s="80"/>
      <c r="V105" s="80" t="s">
        <v>776</v>
      </c>
      <c r="W105" s="82" t="str">
        <f>HYPERLINK("https://www.youtube.com/watch?v=RJyJ0_gtC6Y")</f>
        <v>https://www.youtube.com/watch?v=RJyJ0_gtC6Y</v>
      </c>
      <c r="X105" s="80" t="s">
        <v>794</v>
      </c>
      <c r="Y105" s="80">
        <v>1</v>
      </c>
      <c r="Z105" s="84">
        <v>44004.230532407404</v>
      </c>
      <c r="AA105" s="84">
        <v>44004.230532407404</v>
      </c>
      <c r="AB105" s="80"/>
      <c r="AC105" s="80"/>
      <c r="AD105" s="80"/>
      <c r="AE105">
        <v>1</v>
      </c>
      <c r="AF105" s="79" t="str">
        <f>REPLACE(INDEX(GroupVertices[Group],MATCH(Edges[[#This Row],[Vertex 1]],GroupVertices[Vertex],0)),1,1,"")</f>
        <v>14</v>
      </c>
      <c r="AG105" s="79" t="str">
        <f>REPLACE(INDEX(GroupVertices[Group],MATCH(Edges[[#This Row],[Vertex 2]],GroupVertices[Vertex],0)),1,1,"")</f>
        <v>14</v>
      </c>
      <c r="AH105" s="48">
        <v>0</v>
      </c>
      <c r="AI105" s="49">
        <v>0</v>
      </c>
      <c r="AJ105" s="48">
        <v>0</v>
      </c>
      <c r="AK105" s="49">
        <v>0</v>
      </c>
      <c r="AL105" s="48">
        <v>0</v>
      </c>
      <c r="AM105" s="49">
        <v>0</v>
      </c>
      <c r="AN105" s="48">
        <v>5</v>
      </c>
      <c r="AO105" s="49">
        <v>100</v>
      </c>
      <c r="AP105" s="48">
        <v>5</v>
      </c>
    </row>
    <row r="106" spans="1:42" ht="15">
      <c r="A106" s="65" t="s">
        <v>269</v>
      </c>
      <c r="B106" s="65" t="s">
        <v>271</v>
      </c>
      <c r="C106" s="66" t="s">
        <v>1901</v>
      </c>
      <c r="D106" s="67">
        <v>3</v>
      </c>
      <c r="E106" s="68"/>
      <c r="F106" s="69">
        <v>50</v>
      </c>
      <c r="G106" s="66"/>
      <c r="H106" s="70"/>
      <c r="I106" s="71"/>
      <c r="J106" s="71"/>
      <c r="K106" s="34" t="s">
        <v>66</v>
      </c>
      <c r="L106" s="78">
        <v>106</v>
      </c>
      <c r="M106" s="78"/>
      <c r="N106" s="73"/>
      <c r="O106" s="80" t="s">
        <v>331</v>
      </c>
      <c r="P106" s="80" t="s">
        <v>333</v>
      </c>
      <c r="Q106" s="80" t="s">
        <v>433</v>
      </c>
      <c r="R106" s="80" t="s">
        <v>269</v>
      </c>
      <c r="S106" s="80" t="s">
        <v>610</v>
      </c>
      <c r="T106" s="82" t="str">
        <f>HYPERLINK("http://www.youtube.com/channel/UCr_MTGrHVG78jGSWbGnNIvw")</f>
        <v>http://www.youtube.com/channel/UCr_MTGrHVG78jGSWbGnNIvw</v>
      </c>
      <c r="U106" s="80" t="s">
        <v>712</v>
      </c>
      <c r="V106" s="80" t="s">
        <v>776</v>
      </c>
      <c r="W106" s="82" t="str">
        <f>HYPERLINK("https://www.youtube.com/watch?v=RJyJ0_gtC6Y")</f>
        <v>https://www.youtube.com/watch?v=RJyJ0_gtC6Y</v>
      </c>
      <c r="X106" s="80" t="s">
        <v>794</v>
      </c>
      <c r="Y106" s="80">
        <v>0</v>
      </c>
      <c r="Z106" s="84">
        <v>44004.35575231481</v>
      </c>
      <c r="AA106" s="84">
        <v>44004.35575231481</v>
      </c>
      <c r="AB106" s="80"/>
      <c r="AC106" s="80"/>
      <c r="AD106" s="80"/>
      <c r="AE106">
        <v>1</v>
      </c>
      <c r="AF106" s="79" t="str">
        <f>REPLACE(INDEX(GroupVertices[Group],MATCH(Edges[[#This Row],[Vertex 1]],GroupVertices[Vertex],0)),1,1,"")</f>
        <v>14</v>
      </c>
      <c r="AG106" s="79" t="str">
        <f>REPLACE(INDEX(GroupVertices[Group],MATCH(Edges[[#This Row],[Vertex 2]],GroupVertices[Vertex],0)),1,1,"")</f>
        <v>14</v>
      </c>
      <c r="AH106" s="48">
        <v>0</v>
      </c>
      <c r="AI106" s="49">
        <v>0</v>
      </c>
      <c r="AJ106" s="48">
        <v>0</v>
      </c>
      <c r="AK106" s="49">
        <v>0</v>
      </c>
      <c r="AL106" s="48">
        <v>0</v>
      </c>
      <c r="AM106" s="49">
        <v>0</v>
      </c>
      <c r="AN106" s="48">
        <v>2</v>
      </c>
      <c r="AO106" s="49">
        <v>100</v>
      </c>
      <c r="AP106" s="48">
        <v>2</v>
      </c>
    </row>
    <row r="107" spans="1:42" ht="15">
      <c r="A107" s="65" t="s">
        <v>271</v>
      </c>
      <c r="B107" s="65" t="s">
        <v>269</v>
      </c>
      <c r="C107" s="66" t="s">
        <v>1901</v>
      </c>
      <c r="D107" s="67">
        <v>3</v>
      </c>
      <c r="E107" s="68"/>
      <c r="F107" s="69">
        <v>50</v>
      </c>
      <c r="G107" s="66"/>
      <c r="H107" s="70"/>
      <c r="I107" s="71"/>
      <c r="J107" s="71"/>
      <c r="K107" s="34" t="s">
        <v>66</v>
      </c>
      <c r="L107" s="78">
        <v>107</v>
      </c>
      <c r="M107" s="78"/>
      <c r="N107" s="73"/>
      <c r="O107" s="80" t="s">
        <v>332</v>
      </c>
      <c r="P107" s="80" t="s">
        <v>198</v>
      </c>
      <c r="Q107" s="80" t="s">
        <v>434</v>
      </c>
      <c r="R107" s="80" t="s">
        <v>271</v>
      </c>
      <c r="S107" s="80" t="s">
        <v>612</v>
      </c>
      <c r="T107" s="82" t="str">
        <f>HYPERLINK("http://www.youtube.com/channel/UC_dEMfsDIMR6T3j4FhzhGDg")</f>
        <v>http://www.youtube.com/channel/UC_dEMfsDIMR6T3j4FhzhGDg</v>
      </c>
      <c r="U107" s="80"/>
      <c r="V107" s="80" t="s">
        <v>776</v>
      </c>
      <c r="W107" s="82" t="str">
        <f>HYPERLINK("https://www.youtube.com/watch?v=RJyJ0_gtC6Y")</f>
        <v>https://www.youtube.com/watch?v=RJyJ0_gtC6Y</v>
      </c>
      <c r="X107" s="80" t="s">
        <v>794</v>
      </c>
      <c r="Y107" s="80">
        <v>1</v>
      </c>
      <c r="Z107" s="84">
        <v>44004.2653125</v>
      </c>
      <c r="AA107" s="84">
        <v>44004.2653125</v>
      </c>
      <c r="AB107" s="80"/>
      <c r="AC107" s="80"/>
      <c r="AD107" s="80"/>
      <c r="AE107">
        <v>1</v>
      </c>
      <c r="AF107" s="79" t="str">
        <f>REPLACE(INDEX(GroupVertices[Group],MATCH(Edges[[#This Row],[Vertex 1]],GroupVertices[Vertex],0)),1,1,"")</f>
        <v>14</v>
      </c>
      <c r="AG107" s="79" t="str">
        <f>REPLACE(INDEX(GroupVertices[Group],MATCH(Edges[[#This Row],[Vertex 2]],GroupVertices[Vertex],0)),1,1,"")</f>
        <v>14</v>
      </c>
      <c r="AH107" s="48">
        <v>2</v>
      </c>
      <c r="AI107" s="49">
        <v>22.22222222222222</v>
      </c>
      <c r="AJ107" s="48">
        <v>0</v>
      </c>
      <c r="AK107" s="49">
        <v>0</v>
      </c>
      <c r="AL107" s="48">
        <v>0</v>
      </c>
      <c r="AM107" s="49">
        <v>0</v>
      </c>
      <c r="AN107" s="48">
        <v>7</v>
      </c>
      <c r="AO107" s="49">
        <v>77.77777777777777</v>
      </c>
      <c r="AP107" s="48">
        <v>9</v>
      </c>
    </row>
    <row r="108" spans="1:42" ht="15">
      <c r="A108" s="65" t="s">
        <v>272</v>
      </c>
      <c r="B108" s="65" t="s">
        <v>273</v>
      </c>
      <c r="C108" s="66" t="s">
        <v>1901</v>
      </c>
      <c r="D108" s="67">
        <v>3</v>
      </c>
      <c r="E108" s="68"/>
      <c r="F108" s="69">
        <v>50</v>
      </c>
      <c r="G108" s="66"/>
      <c r="H108" s="70"/>
      <c r="I108" s="71"/>
      <c r="J108" s="71"/>
      <c r="K108" s="34" t="s">
        <v>65</v>
      </c>
      <c r="L108" s="78">
        <v>108</v>
      </c>
      <c r="M108" s="78"/>
      <c r="N108" s="73"/>
      <c r="O108" s="80" t="s">
        <v>331</v>
      </c>
      <c r="P108" s="80" t="s">
        <v>333</v>
      </c>
      <c r="Q108" s="80" t="s">
        <v>435</v>
      </c>
      <c r="R108" s="80" t="s">
        <v>272</v>
      </c>
      <c r="S108" s="80" t="s">
        <v>613</v>
      </c>
      <c r="T108" s="82" t="str">
        <f>HYPERLINK("http://www.youtube.com/channel/UCNKPorEsvEOZKMTEUWYM1NQ")</f>
        <v>http://www.youtube.com/channel/UCNKPorEsvEOZKMTEUWYM1NQ</v>
      </c>
      <c r="U108" s="80" t="s">
        <v>713</v>
      </c>
      <c r="V108" s="80" t="s">
        <v>777</v>
      </c>
      <c r="W108" s="82" t="str">
        <f>HYPERLINK("https://www.youtube.com/watch?v=kRACuS4eKWA")</f>
        <v>https://www.youtube.com/watch?v=kRACuS4eKWA</v>
      </c>
      <c r="X108" s="80" t="s">
        <v>794</v>
      </c>
      <c r="Y108" s="80">
        <v>1</v>
      </c>
      <c r="Z108" s="84">
        <v>44004.031168981484</v>
      </c>
      <c r="AA108" s="84">
        <v>44004.031168981484</v>
      </c>
      <c r="AB108" s="80"/>
      <c r="AC108" s="80"/>
      <c r="AD108" s="80"/>
      <c r="AE108">
        <v>1</v>
      </c>
      <c r="AF108" s="79" t="str">
        <f>REPLACE(INDEX(GroupVertices[Group],MATCH(Edges[[#This Row],[Vertex 1]],GroupVertices[Vertex],0)),1,1,"")</f>
        <v>7</v>
      </c>
      <c r="AG108" s="79" t="str">
        <f>REPLACE(INDEX(GroupVertices[Group],MATCH(Edges[[#This Row],[Vertex 2]],GroupVertices[Vertex],0)),1,1,"")</f>
        <v>7</v>
      </c>
      <c r="AH108" s="48">
        <v>3</v>
      </c>
      <c r="AI108" s="49">
        <v>20</v>
      </c>
      <c r="AJ108" s="48">
        <v>0</v>
      </c>
      <c r="AK108" s="49">
        <v>0</v>
      </c>
      <c r="AL108" s="48">
        <v>0</v>
      </c>
      <c r="AM108" s="49">
        <v>0</v>
      </c>
      <c r="AN108" s="48">
        <v>12</v>
      </c>
      <c r="AO108" s="49">
        <v>80</v>
      </c>
      <c r="AP108" s="48">
        <v>15</v>
      </c>
    </row>
    <row r="109" spans="1:42" ht="15">
      <c r="A109" s="65" t="s">
        <v>273</v>
      </c>
      <c r="B109" s="65" t="s">
        <v>328</v>
      </c>
      <c r="C109" s="66" t="s">
        <v>1901</v>
      </c>
      <c r="D109" s="67">
        <v>3</v>
      </c>
      <c r="E109" s="68"/>
      <c r="F109" s="69">
        <v>50</v>
      </c>
      <c r="G109" s="66"/>
      <c r="H109" s="70"/>
      <c r="I109" s="71"/>
      <c r="J109" s="71"/>
      <c r="K109" s="34" t="s">
        <v>65</v>
      </c>
      <c r="L109" s="78">
        <v>109</v>
      </c>
      <c r="M109" s="78"/>
      <c r="N109" s="73"/>
      <c r="O109" s="80" t="s">
        <v>332</v>
      </c>
      <c r="P109" s="80" t="s">
        <v>198</v>
      </c>
      <c r="Q109" s="80" t="s">
        <v>436</v>
      </c>
      <c r="R109" s="80" t="s">
        <v>273</v>
      </c>
      <c r="S109" s="80" t="s">
        <v>614</v>
      </c>
      <c r="T109" s="82" t="str">
        <f>HYPERLINK("http://www.youtube.com/channel/UCxmH2GT_n61cUEYtxgntqvQ")</f>
        <v>http://www.youtube.com/channel/UCxmH2GT_n61cUEYtxgntqvQ</v>
      </c>
      <c r="U109" s="80"/>
      <c r="V109" s="80" t="s">
        <v>777</v>
      </c>
      <c r="W109" s="82" t="str">
        <f>HYPERLINK("https://www.youtube.com/watch?v=kRACuS4eKWA")</f>
        <v>https://www.youtube.com/watch?v=kRACuS4eKWA</v>
      </c>
      <c r="X109" s="80" t="s">
        <v>794</v>
      </c>
      <c r="Y109" s="80">
        <v>0</v>
      </c>
      <c r="Z109" s="84">
        <v>44003.994375</v>
      </c>
      <c r="AA109" s="84">
        <v>44003.994375</v>
      </c>
      <c r="AB109" s="80"/>
      <c r="AC109" s="80"/>
      <c r="AD109" s="80"/>
      <c r="AE109">
        <v>1</v>
      </c>
      <c r="AF109" s="79" t="str">
        <f>REPLACE(INDEX(GroupVertices[Group],MATCH(Edges[[#This Row],[Vertex 1]],GroupVertices[Vertex],0)),1,1,"")</f>
        <v>7</v>
      </c>
      <c r="AG109" s="79" t="str">
        <f>REPLACE(INDEX(GroupVertices[Group],MATCH(Edges[[#This Row],[Vertex 2]],GroupVertices[Vertex],0)),1,1,"")</f>
        <v>7</v>
      </c>
      <c r="AH109" s="48">
        <v>1</v>
      </c>
      <c r="AI109" s="49">
        <v>12.5</v>
      </c>
      <c r="AJ109" s="48">
        <v>0</v>
      </c>
      <c r="AK109" s="49">
        <v>0</v>
      </c>
      <c r="AL109" s="48">
        <v>0</v>
      </c>
      <c r="AM109" s="49">
        <v>0</v>
      </c>
      <c r="AN109" s="48">
        <v>7</v>
      </c>
      <c r="AO109" s="49">
        <v>87.5</v>
      </c>
      <c r="AP109" s="48">
        <v>8</v>
      </c>
    </row>
    <row r="110" spans="1:42" ht="15">
      <c r="A110" s="65" t="s">
        <v>272</v>
      </c>
      <c r="B110" s="65" t="s">
        <v>274</v>
      </c>
      <c r="C110" s="66" t="s">
        <v>1901</v>
      </c>
      <c r="D110" s="67">
        <v>3</v>
      </c>
      <c r="E110" s="68"/>
      <c r="F110" s="69">
        <v>50</v>
      </c>
      <c r="G110" s="66"/>
      <c r="H110" s="70"/>
      <c r="I110" s="71"/>
      <c r="J110" s="71"/>
      <c r="K110" s="34" t="s">
        <v>65</v>
      </c>
      <c r="L110" s="78">
        <v>110</v>
      </c>
      <c r="M110" s="78"/>
      <c r="N110" s="73"/>
      <c r="O110" s="80" t="s">
        <v>331</v>
      </c>
      <c r="P110" s="80" t="s">
        <v>333</v>
      </c>
      <c r="Q110" s="80" t="s">
        <v>437</v>
      </c>
      <c r="R110" s="80" t="s">
        <v>272</v>
      </c>
      <c r="S110" s="80" t="s">
        <v>613</v>
      </c>
      <c r="T110" s="82" t="str">
        <f>HYPERLINK("http://www.youtube.com/channel/UCNKPorEsvEOZKMTEUWYM1NQ")</f>
        <v>http://www.youtube.com/channel/UCNKPorEsvEOZKMTEUWYM1NQ</v>
      </c>
      <c r="U110" s="80" t="s">
        <v>714</v>
      </c>
      <c r="V110" s="80" t="s">
        <v>777</v>
      </c>
      <c r="W110" s="82" t="str">
        <f>HYPERLINK("https://www.youtube.com/watch?v=kRACuS4eKWA")</f>
        <v>https://www.youtube.com/watch?v=kRACuS4eKWA</v>
      </c>
      <c r="X110" s="80" t="s">
        <v>794</v>
      </c>
      <c r="Y110" s="80">
        <v>0</v>
      </c>
      <c r="Z110" s="84">
        <v>44004.72425925926</v>
      </c>
      <c r="AA110" s="84">
        <v>44004.72425925926</v>
      </c>
      <c r="AB110" s="80"/>
      <c r="AC110" s="80"/>
      <c r="AD110" s="80"/>
      <c r="AE110">
        <v>1</v>
      </c>
      <c r="AF110" s="79" t="str">
        <f>REPLACE(INDEX(GroupVertices[Group],MATCH(Edges[[#This Row],[Vertex 1]],GroupVertices[Vertex],0)),1,1,"")</f>
        <v>7</v>
      </c>
      <c r="AG110" s="79" t="str">
        <f>REPLACE(INDEX(GroupVertices[Group],MATCH(Edges[[#This Row],[Vertex 2]],GroupVertices[Vertex],0)),1,1,"")</f>
        <v>7</v>
      </c>
      <c r="AH110" s="48">
        <v>1</v>
      </c>
      <c r="AI110" s="49">
        <v>2.9411764705882355</v>
      </c>
      <c r="AJ110" s="48">
        <v>0</v>
      </c>
      <c r="AK110" s="49">
        <v>0</v>
      </c>
      <c r="AL110" s="48">
        <v>0</v>
      </c>
      <c r="AM110" s="49">
        <v>0</v>
      </c>
      <c r="AN110" s="48">
        <v>33</v>
      </c>
      <c r="AO110" s="49">
        <v>97.05882352941177</v>
      </c>
      <c r="AP110" s="48">
        <v>34</v>
      </c>
    </row>
    <row r="111" spans="1:42" ht="15">
      <c r="A111" s="65" t="s">
        <v>274</v>
      </c>
      <c r="B111" s="65" t="s">
        <v>328</v>
      </c>
      <c r="C111" s="66" t="s">
        <v>1901</v>
      </c>
      <c r="D111" s="67">
        <v>3</v>
      </c>
      <c r="E111" s="68"/>
      <c r="F111" s="69">
        <v>50</v>
      </c>
      <c r="G111" s="66"/>
      <c r="H111" s="70"/>
      <c r="I111" s="71"/>
      <c r="J111" s="71"/>
      <c r="K111" s="34" t="s">
        <v>65</v>
      </c>
      <c r="L111" s="78">
        <v>111</v>
      </c>
      <c r="M111" s="78"/>
      <c r="N111" s="73"/>
      <c r="O111" s="80" t="s">
        <v>332</v>
      </c>
      <c r="P111" s="80" t="s">
        <v>198</v>
      </c>
      <c r="Q111" s="80" t="s">
        <v>438</v>
      </c>
      <c r="R111" s="80" t="s">
        <v>274</v>
      </c>
      <c r="S111" s="80" t="s">
        <v>615</v>
      </c>
      <c r="T111" s="82" t="str">
        <f>HYPERLINK("http://www.youtube.com/channel/UCfOzZ8xM-65JwSaOgK5Inqg")</f>
        <v>http://www.youtube.com/channel/UCfOzZ8xM-65JwSaOgK5Inqg</v>
      </c>
      <c r="U111" s="80"/>
      <c r="V111" s="80" t="s">
        <v>777</v>
      </c>
      <c r="W111" s="82" t="str">
        <f>HYPERLINK("https://www.youtube.com/watch?v=kRACuS4eKWA")</f>
        <v>https://www.youtube.com/watch?v=kRACuS4eKWA</v>
      </c>
      <c r="X111" s="80" t="s">
        <v>794</v>
      </c>
      <c r="Y111" s="80">
        <v>1</v>
      </c>
      <c r="Z111" s="84">
        <v>44004.12412037037</v>
      </c>
      <c r="AA111" s="84">
        <v>44004.126226851855</v>
      </c>
      <c r="AB111" s="80"/>
      <c r="AC111" s="80"/>
      <c r="AD111" s="80"/>
      <c r="AE111">
        <v>1</v>
      </c>
      <c r="AF111" s="79" t="str">
        <f>REPLACE(INDEX(GroupVertices[Group],MATCH(Edges[[#This Row],[Vertex 1]],GroupVertices[Vertex],0)),1,1,"")</f>
        <v>7</v>
      </c>
      <c r="AG111" s="79" t="str">
        <f>REPLACE(INDEX(GroupVertices[Group],MATCH(Edges[[#This Row],[Vertex 2]],GroupVertices[Vertex],0)),1,1,"")</f>
        <v>7</v>
      </c>
      <c r="AH111" s="48">
        <v>1</v>
      </c>
      <c r="AI111" s="49">
        <v>0.9174311926605505</v>
      </c>
      <c r="AJ111" s="48">
        <v>1</v>
      </c>
      <c r="AK111" s="49">
        <v>0.9174311926605505</v>
      </c>
      <c r="AL111" s="48">
        <v>0</v>
      </c>
      <c r="AM111" s="49">
        <v>0</v>
      </c>
      <c r="AN111" s="48">
        <v>107</v>
      </c>
      <c r="AO111" s="49">
        <v>98.1651376146789</v>
      </c>
      <c r="AP111" s="48">
        <v>109</v>
      </c>
    </row>
    <row r="112" spans="1:42" ht="15">
      <c r="A112" s="65" t="s">
        <v>272</v>
      </c>
      <c r="B112" s="65" t="s">
        <v>275</v>
      </c>
      <c r="C112" s="66" t="s">
        <v>1901</v>
      </c>
      <c r="D112" s="67">
        <v>3</v>
      </c>
      <c r="E112" s="68"/>
      <c r="F112" s="69">
        <v>50</v>
      </c>
      <c r="G112" s="66"/>
      <c r="H112" s="70"/>
      <c r="I112" s="71"/>
      <c r="J112" s="71"/>
      <c r="K112" s="34" t="s">
        <v>65</v>
      </c>
      <c r="L112" s="78">
        <v>112</v>
      </c>
      <c r="M112" s="78"/>
      <c r="N112" s="73"/>
      <c r="O112" s="80" t="s">
        <v>331</v>
      </c>
      <c r="P112" s="80" t="s">
        <v>333</v>
      </c>
      <c r="Q112" s="80" t="s">
        <v>439</v>
      </c>
      <c r="R112" s="80" t="s">
        <v>272</v>
      </c>
      <c r="S112" s="80" t="s">
        <v>613</v>
      </c>
      <c r="T112" s="82" t="str">
        <f>HYPERLINK("http://www.youtube.com/channel/UCNKPorEsvEOZKMTEUWYM1NQ")</f>
        <v>http://www.youtube.com/channel/UCNKPorEsvEOZKMTEUWYM1NQ</v>
      </c>
      <c r="U112" s="80" t="s">
        <v>715</v>
      </c>
      <c r="V112" s="80" t="s">
        <v>777</v>
      </c>
      <c r="W112" s="82" t="str">
        <f>HYPERLINK("https://www.youtube.com/watch?v=kRACuS4eKWA")</f>
        <v>https://www.youtube.com/watch?v=kRACuS4eKWA</v>
      </c>
      <c r="X112" s="80" t="s">
        <v>794</v>
      </c>
      <c r="Y112" s="80">
        <v>1</v>
      </c>
      <c r="Z112" s="84">
        <v>44004.72222222222</v>
      </c>
      <c r="AA112" s="84">
        <v>44004.72222222222</v>
      </c>
      <c r="AB112" s="80"/>
      <c r="AC112" s="80"/>
      <c r="AD112" s="80"/>
      <c r="AE112">
        <v>1</v>
      </c>
      <c r="AF112" s="79" t="str">
        <f>REPLACE(INDEX(GroupVertices[Group],MATCH(Edges[[#This Row],[Vertex 1]],GroupVertices[Vertex],0)),1,1,"")</f>
        <v>7</v>
      </c>
      <c r="AG112" s="79" t="str">
        <f>REPLACE(INDEX(GroupVertices[Group],MATCH(Edges[[#This Row],[Vertex 2]],GroupVertices[Vertex],0)),1,1,"")</f>
        <v>7</v>
      </c>
      <c r="AH112" s="48">
        <v>1</v>
      </c>
      <c r="AI112" s="49">
        <v>2.7027027027027026</v>
      </c>
      <c r="AJ112" s="48">
        <v>0</v>
      </c>
      <c r="AK112" s="49">
        <v>0</v>
      </c>
      <c r="AL112" s="48">
        <v>0</v>
      </c>
      <c r="AM112" s="49">
        <v>0</v>
      </c>
      <c r="AN112" s="48">
        <v>36</v>
      </c>
      <c r="AO112" s="49">
        <v>97.29729729729729</v>
      </c>
      <c r="AP112" s="48">
        <v>37</v>
      </c>
    </row>
    <row r="113" spans="1:42" ht="15">
      <c r="A113" s="65" t="s">
        <v>275</v>
      </c>
      <c r="B113" s="65" t="s">
        <v>328</v>
      </c>
      <c r="C113" s="66" t="s">
        <v>1901</v>
      </c>
      <c r="D113" s="67">
        <v>3</v>
      </c>
      <c r="E113" s="68"/>
      <c r="F113" s="69">
        <v>50</v>
      </c>
      <c r="G113" s="66"/>
      <c r="H113" s="70"/>
      <c r="I113" s="71"/>
      <c r="J113" s="71"/>
      <c r="K113" s="34" t="s">
        <v>65</v>
      </c>
      <c r="L113" s="78">
        <v>113</v>
      </c>
      <c r="M113" s="78"/>
      <c r="N113" s="73"/>
      <c r="O113" s="80" t="s">
        <v>332</v>
      </c>
      <c r="P113" s="80" t="s">
        <v>198</v>
      </c>
      <c r="Q113" s="80" t="s">
        <v>440</v>
      </c>
      <c r="R113" s="80" t="s">
        <v>275</v>
      </c>
      <c r="S113" s="80" t="s">
        <v>616</v>
      </c>
      <c r="T113" s="82" t="str">
        <f>HYPERLINK("http://www.youtube.com/channel/UCEt0teaQNQu60gBsfihlulw")</f>
        <v>http://www.youtube.com/channel/UCEt0teaQNQu60gBsfihlulw</v>
      </c>
      <c r="U113" s="80"/>
      <c r="V113" s="80" t="s">
        <v>777</v>
      </c>
      <c r="W113" s="82" t="str">
        <f>HYPERLINK("https://www.youtube.com/watch?v=kRACuS4eKWA")</f>
        <v>https://www.youtube.com/watch?v=kRACuS4eKWA</v>
      </c>
      <c r="X113" s="80" t="s">
        <v>794</v>
      </c>
      <c r="Y113" s="80">
        <v>0</v>
      </c>
      <c r="Z113" s="84">
        <v>44004.223587962966</v>
      </c>
      <c r="AA113" s="84">
        <v>44004.223587962966</v>
      </c>
      <c r="AB113" s="80"/>
      <c r="AC113" s="80"/>
      <c r="AD113" s="80"/>
      <c r="AE113">
        <v>1</v>
      </c>
      <c r="AF113" s="79" t="str">
        <f>REPLACE(INDEX(GroupVertices[Group],MATCH(Edges[[#This Row],[Vertex 1]],GroupVertices[Vertex],0)),1,1,"")</f>
        <v>7</v>
      </c>
      <c r="AG113" s="79" t="str">
        <f>REPLACE(INDEX(GroupVertices[Group],MATCH(Edges[[#This Row],[Vertex 2]],GroupVertices[Vertex],0)),1,1,"")</f>
        <v>7</v>
      </c>
      <c r="AH113" s="48">
        <v>2</v>
      </c>
      <c r="AI113" s="49">
        <v>13.333333333333334</v>
      </c>
      <c r="AJ113" s="48">
        <v>0</v>
      </c>
      <c r="AK113" s="49">
        <v>0</v>
      </c>
      <c r="AL113" s="48">
        <v>0</v>
      </c>
      <c r="AM113" s="49">
        <v>0</v>
      </c>
      <c r="AN113" s="48">
        <v>13</v>
      </c>
      <c r="AO113" s="49">
        <v>86.66666666666667</v>
      </c>
      <c r="AP113" s="48">
        <v>15</v>
      </c>
    </row>
    <row r="114" spans="1:42" ht="15">
      <c r="A114" s="65" t="s">
        <v>276</v>
      </c>
      <c r="B114" s="65" t="s">
        <v>277</v>
      </c>
      <c r="C114" s="66" t="s">
        <v>1901</v>
      </c>
      <c r="D114" s="67">
        <v>3</v>
      </c>
      <c r="E114" s="68"/>
      <c r="F114" s="69">
        <v>50</v>
      </c>
      <c r="G114" s="66"/>
      <c r="H114" s="70"/>
      <c r="I114" s="71"/>
      <c r="J114" s="71"/>
      <c r="K114" s="34" t="s">
        <v>66</v>
      </c>
      <c r="L114" s="78">
        <v>114</v>
      </c>
      <c r="M114" s="78"/>
      <c r="N114" s="73"/>
      <c r="O114" s="80" t="s">
        <v>331</v>
      </c>
      <c r="P114" s="80" t="s">
        <v>333</v>
      </c>
      <c r="Q114" s="80" t="s">
        <v>441</v>
      </c>
      <c r="R114" s="80" t="s">
        <v>276</v>
      </c>
      <c r="S114" s="80" t="s">
        <v>617</v>
      </c>
      <c r="T114" s="82" t="str">
        <f>HYPERLINK("http://www.youtube.com/channel/UCaq3QWGhpX1Er1yT5Xs19NQ")</f>
        <v>http://www.youtube.com/channel/UCaq3QWGhpX1Er1yT5Xs19NQ</v>
      </c>
      <c r="U114" s="80" t="s">
        <v>716</v>
      </c>
      <c r="V114" s="80" t="s">
        <v>778</v>
      </c>
      <c r="W114" s="82" t="str">
        <f>HYPERLINK("https://www.youtube.com/watch?v=Wun5nzJLZPI")</f>
        <v>https://www.youtube.com/watch?v=Wun5nzJLZPI</v>
      </c>
      <c r="X114" s="80" t="s">
        <v>794</v>
      </c>
      <c r="Y114" s="80">
        <v>1</v>
      </c>
      <c r="Z114" s="84">
        <v>44004.528449074074</v>
      </c>
      <c r="AA114" s="84">
        <v>44004.528449074074</v>
      </c>
      <c r="AB114" s="80"/>
      <c r="AC114" s="80"/>
      <c r="AD114" s="80"/>
      <c r="AE114">
        <v>1</v>
      </c>
      <c r="AF114" s="79" t="str">
        <f>REPLACE(INDEX(GroupVertices[Group],MATCH(Edges[[#This Row],[Vertex 1]],GroupVertices[Vertex],0)),1,1,"")</f>
        <v>22</v>
      </c>
      <c r="AG114" s="79" t="str">
        <f>REPLACE(INDEX(GroupVertices[Group],MATCH(Edges[[#This Row],[Vertex 2]],GroupVertices[Vertex],0)),1,1,"")</f>
        <v>22</v>
      </c>
      <c r="AH114" s="48">
        <v>0</v>
      </c>
      <c r="AI114" s="49">
        <v>0</v>
      </c>
      <c r="AJ114" s="48">
        <v>0</v>
      </c>
      <c r="AK114" s="49">
        <v>0</v>
      </c>
      <c r="AL114" s="48">
        <v>0</v>
      </c>
      <c r="AM114" s="49">
        <v>0</v>
      </c>
      <c r="AN114" s="48">
        <v>3</v>
      </c>
      <c r="AO114" s="49">
        <v>100</v>
      </c>
      <c r="AP114" s="48">
        <v>3</v>
      </c>
    </row>
    <row r="115" spans="1:42" ht="15">
      <c r="A115" s="65" t="s">
        <v>277</v>
      </c>
      <c r="B115" s="65" t="s">
        <v>276</v>
      </c>
      <c r="C115" s="66" t="s">
        <v>1901</v>
      </c>
      <c r="D115" s="67">
        <v>3</v>
      </c>
      <c r="E115" s="68"/>
      <c r="F115" s="69">
        <v>50</v>
      </c>
      <c r="G115" s="66"/>
      <c r="H115" s="70"/>
      <c r="I115" s="71"/>
      <c r="J115" s="71"/>
      <c r="K115" s="34" t="s">
        <v>66</v>
      </c>
      <c r="L115" s="78">
        <v>115</v>
      </c>
      <c r="M115" s="78"/>
      <c r="N115" s="73"/>
      <c r="O115" s="80" t="s">
        <v>332</v>
      </c>
      <c r="P115" s="80" t="s">
        <v>198</v>
      </c>
      <c r="Q115" s="80" t="s">
        <v>442</v>
      </c>
      <c r="R115" s="80" t="s">
        <v>277</v>
      </c>
      <c r="S115" s="80" t="s">
        <v>618</v>
      </c>
      <c r="T115" s="82" t="str">
        <f>HYPERLINK("http://www.youtube.com/channel/UCua2_N1qmwPYIf4Rf_jAxEA")</f>
        <v>http://www.youtube.com/channel/UCua2_N1qmwPYIf4Rf_jAxEA</v>
      </c>
      <c r="U115" s="80"/>
      <c r="V115" s="80" t="s">
        <v>778</v>
      </c>
      <c r="W115" s="82" t="str">
        <f>HYPERLINK("https://www.youtube.com/watch?v=Wun5nzJLZPI")</f>
        <v>https://www.youtube.com/watch?v=Wun5nzJLZPI</v>
      </c>
      <c r="X115" s="80" t="s">
        <v>794</v>
      </c>
      <c r="Y115" s="80">
        <v>2</v>
      </c>
      <c r="Z115" s="84">
        <v>44004.50947916666</v>
      </c>
      <c r="AA115" s="84">
        <v>44004.509571759256</v>
      </c>
      <c r="AB115" s="80"/>
      <c r="AC115" s="80"/>
      <c r="AD115" s="80"/>
      <c r="AE115">
        <v>1</v>
      </c>
      <c r="AF115" s="79" t="str">
        <f>REPLACE(INDEX(GroupVertices[Group],MATCH(Edges[[#This Row],[Vertex 1]],GroupVertices[Vertex],0)),1,1,"")</f>
        <v>22</v>
      </c>
      <c r="AG115" s="79" t="str">
        <f>REPLACE(INDEX(GroupVertices[Group],MATCH(Edges[[#This Row],[Vertex 2]],GroupVertices[Vertex],0)),1,1,"")</f>
        <v>22</v>
      </c>
      <c r="AH115" s="48">
        <v>1</v>
      </c>
      <c r="AI115" s="49">
        <v>14.285714285714286</v>
      </c>
      <c r="AJ115" s="48">
        <v>0</v>
      </c>
      <c r="AK115" s="49">
        <v>0</v>
      </c>
      <c r="AL115" s="48">
        <v>0</v>
      </c>
      <c r="AM115" s="49">
        <v>0</v>
      </c>
      <c r="AN115" s="48">
        <v>6</v>
      </c>
      <c r="AO115" s="49">
        <v>85.71428571428571</v>
      </c>
      <c r="AP115" s="48">
        <v>7</v>
      </c>
    </row>
    <row r="116" spans="1:42" ht="15">
      <c r="A116" s="65" t="s">
        <v>266</v>
      </c>
      <c r="B116" s="65" t="s">
        <v>278</v>
      </c>
      <c r="C116" s="66" t="s">
        <v>1901</v>
      </c>
      <c r="D116" s="67">
        <v>3</v>
      </c>
      <c r="E116" s="68"/>
      <c r="F116" s="69">
        <v>50</v>
      </c>
      <c r="G116" s="66"/>
      <c r="H116" s="70"/>
      <c r="I116" s="71"/>
      <c r="J116" s="71"/>
      <c r="K116" s="34" t="s">
        <v>66</v>
      </c>
      <c r="L116" s="78">
        <v>116</v>
      </c>
      <c r="M116" s="78"/>
      <c r="N116" s="73"/>
      <c r="O116" s="80" t="s">
        <v>331</v>
      </c>
      <c r="P116" s="80" t="s">
        <v>333</v>
      </c>
      <c r="Q116" s="80" t="s">
        <v>443</v>
      </c>
      <c r="R116" s="80" t="s">
        <v>266</v>
      </c>
      <c r="S116" s="80" t="s">
        <v>607</v>
      </c>
      <c r="T116" s="82" t="str">
        <f>HYPERLINK("http://www.youtube.com/channel/UC5fs7PookxGfDPTo-RU0ReQ")</f>
        <v>http://www.youtube.com/channel/UC5fs7PookxGfDPTo-RU0ReQ</v>
      </c>
      <c r="U116" s="80" t="s">
        <v>717</v>
      </c>
      <c r="V116" s="80" t="s">
        <v>779</v>
      </c>
      <c r="W116" s="82" t="str">
        <f>HYPERLINK("https://www.youtube.com/watch?v=E5HCiZeB9zw")</f>
        <v>https://www.youtube.com/watch?v=E5HCiZeB9zw</v>
      </c>
      <c r="X116" s="80" t="s">
        <v>794</v>
      </c>
      <c r="Y116" s="80">
        <v>0</v>
      </c>
      <c r="Z116" s="84">
        <v>44004.56953703704</v>
      </c>
      <c r="AA116" s="84">
        <v>44004.56953703704</v>
      </c>
      <c r="AB116" s="80"/>
      <c r="AC116" s="80"/>
      <c r="AD116" s="80"/>
      <c r="AE116">
        <v>1</v>
      </c>
      <c r="AF116" s="79" t="str">
        <f>REPLACE(INDEX(GroupVertices[Group],MATCH(Edges[[#This Row],[Vertex 1]],GroupVertices[Vertex],0)),1,1,"")</f>
        <v>3</v>
      </c>
      <c r="AG116" s="79" t="str">
        <f>REPLACE(INDEX(GroupVertices[Group],MATCH(Edges[[#This Row],[Vertex 2]],GroupVertices[Vertex],0)),1,1,"")</f>
        <v>3</v>
      </c>
      <c r="AH116" s="48">
        <v>1</v>
      </c>
      <c r="AI116" s="49">
        <v>3.5714285714285716</v>
      </c>
      <c r="AJ116" s="48">
        <v>0</v>
      </c>
      <c r="AK116" s="49">
        <v>0</v>
      </c>
      <c r="AL116" s="48">
        <v>0</v>
      </c>
      <c r="AM116" s="49">
        <v>0</v>
      </c>
      <c r="AN116" s="48">
        <v>27</v>
      </c>
      <c r="AO116" s="49">
        <v>96.42857142857143</v>
      </c>
      <c r="AP116" s="48">
        <v>28</v>
      </c>
    </row>
    <row r="117" spans="1:42" ht="15">
      <c r="A117" s="65" t="s">
        <v>278</v>
      </c>
      <c r="B117" s="65" t="s">
        <v>278</v>
      </c>
      <c r="C117" s="66" t="s">
        <v>1901</v>
      </c>
      <c r="D117" s="67">
        <v>3</v>
      </c>
      <c r="E117" s="68"/>
      <c r="F117" s="69">
        <v>50</v>
      </c>
      <c r="G117" s="66"/>
      <c r="H117" s="70"/>
      <c r="I117" s="71"/>
      <c r="J117" s="71"/>
      <c r="K117" s="34" t="s">
        <v>65</v>
      </c>
      <c r="L117" s="78">
        <v>117</v>
      </c>
      <c r="M117" s="78"/>
      <c r="N117" s="73"/>
      <c r="O117" s="80" t="s">
        <v>331</v>
      </c>
      <c r="P117" s="80" t="s">
        <v>333</v>
      </c>
      <c r="Q117" s="80" t="s">
        <v>444</v>
      </c>
      <c r="R117" s="80" t="s">
        <v>278</v>
      </c>
      <c r="S117" s="80" t="s">
        <v>619</v>
      </c>
      <c r="T117" s="82" t="str">
        <f>HYPERLINK("http://www.youtube.com/channel/UCK6ciDCKWSKX6-lgaGMWwhw")</f>
        <v>http://www.youtube.com/channel/UCK6ciDCKWSKX6-lgaGMWwhw</v>
      </c>
      <c r="U117" s="80" t="s">
        <v>717</v>
      </c>
      <c r="V117" s="80" t="s">
        <v>779</v>
      </c>
      <c r="W117" s="82" t="str">
        <f>HYPERLINK("https://www.youtube.com/watch?v=E5HCiZeB9zw")</f>
        <v>https://www.youtube.com/watch?v=E5HCiZeB9zw</v>
      </c>
      <c r="X117" s="80" t="s">
        <v>794</v>
      </c>
      <c r="Y117" s="80">
        <v>0</v>
      </c>
      <c r="Z117" s="84">
        <v>44004.57592592593</v>
      </c>
      <c r="AA117" s="84">
        <v>44004.57592592593</v>
      </c>
      <c r="AB117" s="80"/>
      <c r="AC117" s="80"/>
      <c r="AD117" s="80"/>
      <c r="AE117">
        <v>1</v>
      </c>
      <c r="AF117" s="79" t="str">
        <f>REPLACE(INDEX(GroupVertices[Group],MATCH(Edges[[#This Row],[Vertex 1]],GroupVertices[Vertex],0)),1,1,"")</f>
        <v>3</v>
      </c>
      <c r="AG117" s="79" t="str">
        <f>REPLACE(INDEX(GroupVertices[Group],MATCH(Edges[[#This Row],[Vertex 2]],GroupVertices[Vertex],0)),1,1,"")</f>
        <v>3</v>
      </c>
      <c r="AH117" s="48">
        <v>0</v>
      </c>
      <c r="AI117" s="49">
        <v>0</v>
      </c>
      <c r="AJ117" s="48">
        <v>0</v>
      </c>
      <c r="AK117" s="49">
        <v>0</v>
      </c>
      <c r="AL117" s="48">
        <v>0</v>
      </c>
      <c r="AM117" s="49">
        <v>0</v>
      </c>
      <c r="AN117" s="48">
        <v>25</v>
      </c>
      <c r="AO117" s="49">
        <v>100</v>
      </c>
      <c r="AP117" s="48">
        <v>25</v>
      </c>
    </row>
    <row r="118" spans="1:42" ht="15">
      <c r="A118" s="65" t="s">
        <v>278</v>
      </c>
      <c r="B118" s="65" t="s">
        <v>266</v>
      </c>
      <c r="C118" s="66" t="s">
        <v>1901</v>
      </c>
      <c r="D118" s="67">
        <v>3</v>
      </c>
      <c r="E118" s="68"/>
      <c r="F118" s="69">
        <v>50</v>
      </c>
      <c r="G118" s="66"/>
      <c r="H118" s="70"/>
      <c r="I118" s="71"/>
      <c r="J118" s="71"/>
      <c r="K118" s="34" t="s">
        <v>66</v>
      </c>
      <c r="L118" s="78">
        <v>118</v>
      </c>
      <c r="M118" s="78"/>
      <c r="N118" s="73"/>
      <c r="O118" s="80" t="s">
        <v>332</v>
      </c>
      <c r="P118" s="80" t="s">
        <v>198</v>
      </c>
      <c r="Q118" s="80" t="s">
        <v>445</v>
      </c>
      <c r="R118" s="80" t="s">
        <v>278</v>
      </c>
      <c r="S118" s="80" t="s">
        <v>619</v>
      </c>
      <c r="T118" s="82" t="str">
        <f>HYPERLINK("http://www.youtube.com/channel/UCK6ciDCKWSKX6-lgaGMWwhw")</f>
        <v>http://www.youtube.com/channel/UCK6ciDCKWSKX6-lgaGMWwhw</v>
      </c>
      <c r="U118" s="80"/>
      <c r="V118" s="80" t="s">
        <v>779</v>
      </c>
      <c r="W118" s="82" t="str">
        <f>HYPERLINK("https://www.youtube.com/watch?v=E5HCiZeB9zw")</f>
        <v>https://www.youtube.com/watch?v=E5HCiZeB9zw</v>
      </c>
      <c r="X118" s="80" t="s">
        <v>794</v>
      </c>
      <c r="Y118" s="80">
        <v>0</v>
      </c>
      <c r="Z118" s="84">
        <v>44004.558125</v>
      </c>
      <c r="AA118" s="84">
        <v>44004.558125</v>
      </c>
      <c r="AB118" s="80"/>
      <c r="AC118" s="80"/>
      <c r="AD118" s="80"/>
      <c r="AE118">
        <v>1</v>
      </c>
      <c r="AF118" s="79" t="str">
        <f>REPLACE(INDEX(GroupVertices[Group],MATCH(Edges[[#This Row],[Vertex 1]],GroupVertices[Vertex],0)),1,1,"")</f>
        <v>3</v>
      </c>
      <c r="AG118" s="79" t="str">
        <f>REPLACE(INDEX(GroupVertices[Group],MATCH(Edges[[#This Row],[Vertex 2]],GroupVertices[Vertex],0)),1,1,"")</f>
        <v>3</v>
      </c>
      <c r="AH118" s="48">
        <v>1</v>
      </c>
      <c r="AI118" s="49">
        <v>4.166666666666667</v>
      </c>
      <c r="AJ118" s="48">
        <v>0</v>
      </c>
      <c r="AK118" s="49">
        <v>0</v>
      </c>
      <c r="AL118" s="48">
        <v>0</v>
      </c>
      <c r="AM118" s="49">
        <v>0</v>
      </c>
      <c r="AN118" s="48">
        <v>23</v>
      </c>
      <c r="AO118" s="49">
        <v>95.83333333333333</v>
      </c>
      <c r="AP118" s="48">
        <v>24</v>
      </c>
    </row>
    <row r="119" spans="1:42" ht="15">
      <c r="A119" s="65" t="s">
        <v>266</v>
      </c>
      <c r="B119" s="65" t="s">
        <v>279</v>
      </c>
      <c r="C119" s="66" t="s">
        <v>1901</v>
      </c>
      <c r="D119" s="67">
        <v>3</v>
      </c>
      <c r="E119" s="68"/>
      <c r="F119" s="69">
        <v>50</v>
      </c>
      <c r="G119" s="66"/>
      <c r="H119" s="70"/>
      <c r="I119" s="71"/>
      <c r="J119" s="71"/>
      <c r="K119" s="34" t="s">
        <v>66</v>
      </c>
      <c r="L119" s="78">
        <v>119</v>
      </c>
      <c r="M119" s="78"/>
      <c r="N119" s="73"/>
      <c r="O119" s="80" t="s">
        <v>331</v>
      </c>
      <c r="P119" s="80" t="s">
        <v>333</v>
      </c>
      <c r="Q119" s="80" t="s">
        <v>446</v>
      </c>
      <c r="R119" s="80" t="s">
        <v>266</v>
      </c>
      <c r="S119" s="80" t="s">
        <v>607</v>
      </c>
      <c r="T119" s="82" t="str">
        <f>HYPERLINK("http://www.youtube.com/channel/UC5fs7PookxGfDPTo-RU0ReQ")</f>
        <v>http://www.youtube.com/channel/UC5fs7PookxGfDPTo-RU0ReQ</v>
      </c>
      <c r="U119" s="80" t="s">
        <v>718</v>
      </c>
      <c r="V119" s="80" t="s">
        <v>780</v>
      </c>
      <c r="W119" s="82" t="str">
        <f>HYPERLINK("https://www.youtube.com/watch?v=6f6sAvyOGPY")</f>
        <v>https://www.youtube.com/watch?v=6f6sAvyOGPY</v>
      </c>
      <c r="X119" s="80" t="s">
        <v>794</v>
      </c>
      <c r="Y119" s="80">
        <v>1</v>
      </c>
      <c r="Z119" s="84">
        <v>44005.492476851854</v>
      </c>
      <c r="AA119" s="84">
        <v>44005.492476851854</v>
      </c>
      <c r="AB119" s="80"/>
      <c r="AC119" s="80"/>
      <c r="AD119" s="80"/>
      <c r="AE119">
        <v>1</v>
      </c>
      <c r="AF119" s="79" t="str">
        <f>REPLACE(INDEX(GroupVertices[Group],MATCH(Edges[[#This Row],[Vertex 1]],GroupVertices[Vertex],0)),1,1,"")</f>
        <v>3</v>
      </c>
      <c r="AG119" s="79" t="str">
        <f>REPLACE(INDEX(GroupVertices[Group],MATCH(Edges[[#This Row],[Vertex 2]],GroupVertices[Vertex],0)),1,1,"")</f>
        <v>3</v>
      </c>
      <c r="AH119" s="48">
        <v>1</v>
      </c>
      <c r="AI119" s="49">
        <v>50</v>
      </c>
      <c r="AJ119" s="48">
        <v>0</v>
      </c>
      <c r="AK119" s="49">
        <v>0</v>
      </c>
      <c r="AL119" s="48">
        <v>0</v>
      </c>
      <c r="AM119" s="49">
        <v>0</v>
      </c>
      <c r="AN119" s="48">
        <v>1</v>
      </c>
      <c r="AO119" s="49">
        <v>50</v>
      </c>
      <c r="AP119" s="48">
        <v>2</v>
      </c>
    </row>
    <row r="120" spans="1:42" ht="15">
      <c r="A120" s="65" t="s">
        <v>279</v>
      </c>
      <c r="B120" s="65" t="s">
        <v>266</v>
      </c>
      <c r="C120" s="66" t="s">
        <v>1901</v>
      </c>
      <c r="D120" s="67">
        <v>3</v>
      </c>
      <c r="E120" s="68"/>
      <c r="F120" s="69">
        <v>50</v>
      </c>
      <c r="G120" s="66"/>
      <c r="H120" s="70"/>
      <c r="I120" s="71"/>
      <c r="J120" s="71"/>
      <c r="K120" s="34" t="s">
        <v>66</v>
      </c>
      <c r="L120" s="78">
        <v>120</v>
      </c>
      <c r="M120" s="78"/>
      <c r="N120" s="73"/>
      <c r="O120" s="80" t="s">
        <v>332</v>
      </c>
      <c r="P120" s="80" t="s">
        <v>198</v>
      </c>
      <c r="Q120" s="80" t="s">
        <v>447</v>
      </c>
      <c r="R120" s="80" t="s">
        <v>279</v>
      </c>
      <c r="S120" s="80" t="s">
        <v>620</v>
      </c>
      <c r="T120" s="82" t="str">
        <f>HYPERLINK("http://www.youtube.com/channel/UC6O103j7CMYUIKFvEhDb6FQ")</f>
        <v>http://www.youtube.com/channel/UC6O103j7CMYUIKFvEhDb6FQ</v>
      </c>
      <c r="U120" s="80"/>
      <c r="V120" s="80" t="s">
        <v>780</v>
      </c>
      <c r="W120" s="82" t="str">
        <f>HYPERLINK("https://www.youtube.com/watch?v=6f6sAvyOGPY")</f>
        <v>https://www.youtube.com/watch?v=6f6sAvyOGPY</v>
      </c>
      <c r="X120" s="80" t="s">
        <v>794</v>
      </c>
      <c r="Y120" s="80">
        <v>0</v>
      </c>
      <c r="Z120" s="84">
        <v>44004.94608796296</v>
      </c>
      <c r="AA120" s="84">
        <v>44004.94634259259</v>
      </c>
      <c r="AB120" s="80"/>
      <c r="AC120" s="80"/>
      <c r="AD120" s="80"/>
      <c r="AE120">
        <v>1</v>
      </c>
      <c r="AF120" s="79" t="str">
        <f>REPLACE(INDEX(GroupVertices[Group],MATCH(Edges[[#This Row],[Vertex 1]],GroupVertices[Vertex],0)),1,1,"")</f>
        <v>3</v>
      </c>
      <c r="AG120" s="79" t="str">
        <f>REPLACE(INDEX(GroupVertices[Group],MATCH(Edges[[#This Row],[Vertex 2]],GroupVertices[Vertex],0)),1,1,"")</f>
        <v>3</v>
      </c>
      <c r="AH120" s="48">
        <v>0</v>
      </c>
      <c r="AI120" s="49">
        <v>0</v>
      </c>
      <c r="AJ120" s="48">
        <v>0</v>
      </c>
      <c r="AK120" s="49">
        <v>0</v>
      </c>
      <c r="AL120" s="48">
        <v>0</v>
      </c>
      <c r="AM120" s="49">
        <v>0</v>
      </c>
      <c r="AN120" s="48">
        <v>20</v>
      </c>
      <c r="AO120" s="49">
        <v>100</v>
      </c>
      <c r="AP120" s="48">
        <v>20</v>
      </c>
    </row>
    <row r="121" spans="1:42" ht="15">
      <c r="A121" s="65" t="s">
        <v>266</v>
      </c>
      <c r="B121" s="65" t="s">
        <v>280</v>
      </c>
      <c r="C121" s="66" t="s">
        <v>1900</v>
      </c>
      <c r="D121" s="67">
        <v>10</v>
      </c>
      <c r="E121" s="68"/>
      <c r="F121" s="69">
        <v>20</v>
      </c>
      <c r="G121" s="66"/>
      <c r="H121" s="70"/>
      <c r="I121" s="71"/>
      <c r="J121" s="71"/>
      <c r="K121" s="34" t="s">
        <v>66</v>
      </c>
      <c r="L121" s="78">
        <v>121</v>
      </c>
      <c r="M121" s="78"/>
      <c r="N121" s="73"/>
      <c r="O121" s="80" t="s">
        <v>331</v>
      </c>
      <c r="P121" s="80" t="s">
        <v>333</v>
      </c>
      <c r="Q121" s="80" t="s">
        <v>448</v>
      </c>
      <c r="R121" s="80" t="s">
        <v>266</v>
      </c>
      <c r="S121" s="80" t="s">
        <v>607</v>
      </c>
      <c r="T121" s="82" t="str">
        <f>HYPERLINK("http://www.youtube.com/channel/UC5fs7PookxGfDPTo-RU0ReQ")</f>
        <v>http://www.youtube.com/channel/UC5fs7PookxGfDPTo-RU0ReQ</v>
      </c>
      <c r="U121" s="80" t="s">
        <v>719</v>
      </c>
      <c r="V121" s="80" t="s">
        <v>775</v>
      </c>
      <c r="W121" s="82" t="str">
        <f>HYPERLINK("https://www.youtube.com/watch?v=67NAObstdUs")</f>
        <v>https://www.youtube.com/watch?v=67NAObstdUs</v>
      </c>
      <c r="X121" s="80" t="s">
        <v>794</v>
      </c>
      <c r="Y121" s="80">
        <v>0</v>
      </c>
      <c r="Z121" s="84">
        <v>44003.973275462966</v>
      </c>
      <c r="AA121" s="84">
        <v>44003.973275462966</v>
      </c>
      <c r="AB121" s="80"/>
      <c r="AC121" s="80"/>
      <c r="AD121" s="80"/>
      <c r="AE121">
        <v>4</v>
      </c>
      <c r="AF121" s="79" t="str">
        <f>REPLACE(INDEX(GroupVertices[Group],MATCH(Edges[[#This Row],[Vertex 1]],GroupVertices[Vertex],0)),1,1,"")</f>
        <v>3</v>
      </c>
      <c r="AG121" s="79" t="str">
        <f>REPLACE(INDEX(GroupVertices[Group],MATCH(Edges[[#This Row],[Vertex 2]],GroupVertices[Vertex],0)),1,1,"")</f>
        <v>3</v>
      </c>
      <c r="AH121" s="48">
        <v>2</v>
      </c>
      <c r="AI121" s="49">
        <v>22.22222222222222</v>
      </c>
      <c r="AJ121" s="48">
        <v>0</v>
      </c>
      <c r="AK121" s="49">
        <v>0</v>
      </c>
      <c r="AL121" s="48">
        <v>0</v>
      </c>
      <c r="AM121" s="49">
        <v>0</v>
      </c>
      <c r="AN121" s="48">
        <v>7</v>
      </c>
      <c r="AO121" s="49">
        <v>77.77777777777777</v>
      </c>
      <c r="AP121" s="48">
        <v>9</v>
      </c>
    </row>
    <row r="122" spans="1:42" ht="15">
      <c r="A122" s="65" t="s">
        <v>280</v>
      </c>
      <c r="B122" s="65" t="s">
        <v>266</v>
      </c>
      <c r="C122" s="66" t="s">
        <v>1900</v>
      </c>
      <c r="D122" s="67">
        <v>10</v>
      </c>
      <c r="E122" s="68"/>
      <c r="F122" s="69">
        <v>20</v>
      </c>
      <c r="G122" s="66"/>
      <c r="H122" s="70"/>
      <c r="I122" s="71"/>
      <c r="J122" s="71"/>
      <c r="K122" s="34" t="s">
        <v>66</v>
      </c>
      <c r="L122" s="78">
        <v>122</v>
      </c>
      <c r="M122" s="78"/>
      <c r="N122" s="73"/>
      <c r="O122" s="80" t="s">
        <v>332</v>
      </c>
      <c r="P122" s="80" t="s">
        <v>198</v>
      </c>
      <c r="Q122" s="80" t="s">
        <v>449</v>
      </c>
      <c r="R122" s="80" t="s">
        <v>280</v>
      </c>
      <c r="S122" s="80" t="s">
        <v>621</v>
      </c>
      <c r="T122" s="82" t="str">
        <f>HYPERLINK("http://www.youtube.com/channel/UCxmSF_xV8EqQkoPYJL0bQLA")</f>
        <v>http://www.youtube.com/channel/UCxmSF_xV8EqQkoPYJL0bQLA</v>
      </c>
      <c r="U122" s="80"/>
      <c r="V122" s="80" t="s">
        <v>775</v>
      </c>
      <c r="W122" s="82" t="str">
        <f>HYPERLINK("https://www.youtube.com/watch?v=67NAObstdUs")</f>
        <v>https://www.youtube.com/watch?v=67NAObstdUs</v>
      </c>
      <c r="X122" s="80" t="s">
        <v>794</v>
      </c>
      <c r="Y122" s="80">
        <v>0</v>
      </c>
      <c r="Z122" s="84">
        <v>44003.953576388885</v>
      </c>
      <c r="AA122" s="84">
        <v>44003.953576388885</v>
      </c>
      <c r="AB122" s="80"/>
      <c r="AC122" s="80"/>
      <c r="AD122" s="80"/>
      <c r="AE122">
        <v>4</v>
      </c>
      <c r="AF122" s="79" t="str">
        <f>REPLACE(INDEX(GroupVertices[Group],MATCH(Edges[[#This Row],[Vertex 1]],GroupVertices[Vertex],0)),1,1,"")</f>
        <v>3</v>
      </c>
      <c r="AG122" s="79" t="str">
        <f>REPLACE(INDEX(GroupVertices[Group],MATCH(Edges[[#This Row],[Vertex 2]],GroupVertices[Vertex],0)),1,1,"")</f>
        <v>3</v>
      </c>
      <c r="AH122" s="48">
        <v>1</v>
      </c>
      <c r="AI122" s="49">
        <v>6.25</v>
      </c>
      <c r="AJ122" s="48">
        <v>0</v>
      </c>
      <c r="AK122" s="49">
        <v>0</v>
      </c>
      <c r="AL122" s="48">
        <v>0</v>
      </c>
      <c r="AM122" s="49">
        <v>0</v>
      </c>
      <c r="AN122" s="48">
        <v>15</v>
      </c>
      <c r="AO122" s="49">
        <v>93.75</v>
      </c>
      <c r="AP122" s="48">
        <v>16</v>
      </c>
    </row>
    <row r="123" spans="1:42" ht="15">
      <c r="A123" s="65" t="s">
        <v>266</v>
      </c>
      <c r="B123" s="65" t="s">
        <v>280</v>
      </c>
      <c r="C123" s="66" t="s">
        <v>1900</v>
      </c>
      <c r="D123" s="67">
        <v>10</v>
      </c>
      <c r="E123" s="68"/>
      <c r="F123" s="69">
        <v>20</v>
      </c>
      <c r="G123" s="66"/>
      <c r="H123" s="70"/>
      <c r="I123" s="71"/>
      <c r="J123" s="71"/>
      <c r="K123" s="34" t="s">
        <v>66</v>
      </c>
      <c r="L123" s="78">
        <v>123</v>
      </c>
      <c r="M123" s="78"/>
      <c r="N123" s="73"/>
      <c r="O123" s="80" t="s">
        <v>331</v>
      </c>
      <c r="P123" s="80" t="s">
        <v>333</v>
      </c>
      <c r="Q123" s="80" t="s">
        <v>450</v>
      </c>
      <c r="R123" s="80" t="s">
        <v>266</v>
      </c>
      <c r="S123" s="80" t="s">
        <v>607</v>
      </c>
      <c r="T123" s="82" t="str">
        <f>HYPERLINK("http://www.youtube.com/channel/UC5fs7PookxGfDPTo-RU0ReQ")</f>
        <v>http://www.youtube.com/channel/UC5fs7PookxGfDPTo-RU0ReQ</v>
      </c>
      <c r="U123" s="80" t="s">
        <v>720</v>
      </c>
      <c r="V123" s="80" t="s">
        <v>775</v>
      </c>
      <c r="W123" s="82" t="str">
        <f>HYPERLINK("https://www.youtube.com/watch?v=67NAObstdUs")</f>
        <v>https://www.youtube.com/watch?v=67NAObstdUs</v>
      </c>
      <c r="X123" s="80" t="s">
        <v>794</v>
      </c>
      <c r="Y123" s="80">
        <v>0</v>
      </c>
      <c r="Z123" s="84">
        <v>44003.97346064815</v>
      </c>
      <c r="AA123" s="84">
        <v>44003.97346064815</v>
      </c>
      <c r="AB123" s="80"/>
      <c r="AC123" s="80"/>
      <c r="AD123" s="80"/>
      <c r="AE123">
        <v>4</v>
      </c>
      <c r="AF123" s="79" t="str">
        <f>REPLACE(INDEX(GroupVertices[Group],MATCH(Edges[[#This Row],[Vertex 1]],GroupVertices[Vertex],0)),1,1,"")</f>
        <v>3</v>
      </c>
      <c r="AG123" s="79" t="str">
        <f>REPLACE(INDEX(GroupVertices[Group],MATCH(Edges[[#This Row],[Vertex 2]],GroupVertices[Vertex],0)),1,1,"")</f>
        <v>3</v>
      </c>
      <c r="AH123" s="48">
        <v>0</v>
      </c>
      <c r="AI123" s="49">
        <v>0</v>
      </c>
      <c r="AJ123" s="48">
        <v>0</v>
      </c>
      <c r="AK123" s="49">
        <v>0</v>
      </c>
      <c r="AL123" s="48">
        <v>0</v>
      </c>
      <c r="AM123" s="49">
        <v>0</v>
      </c>
      <c r="AN123" s="48">
        <v>6</v>
      </c>
      <c r="AO123" s="49">
        <v>100</v>
      </c>
      <c r="AP123" s="48">
        <v>6</v>
      </c>
    </row>
    <row r="124" spans="1:42" ht="15">
      <c r="A124" s="65" t="s">
        <v>280</v>
      </c>
      <c r="B124" s="65" t="s">
        <v>266</v>
      </c>
      <c r="C124" s="66" t="s">
        <v>1900</v>
      </c>
      <c r="D124" s="67">
        <v>10</v>
      </c>
      <c r="E124" s="68"/>
      <c r="F124" s="69">
        <v>20</v>
      </c>
      <c r="G124" s="66"/>
      <c r="H124" s="70"/>
      <c r="I124" s="71"/>
      <c r="J124" s="71"/>
      <c r="K124" s="34" t="s">
        <v>66</v>
      </c>
      <c r="L124" s="78">
        <v>124</v>
      </c>
      <c r="M124" s="78"/>
      <c r="N124" s="73"/>
      <c r="O124" s="80" t="s">
        <v>332</v>
      </c>
      <c r="P124" s="80" t="s">
        <v>198</v>
      </c>
      <c r="Q124" s="80" t="s">
        <v>451</v>
      </c>
      <c r="R124" s="80" t="s">
        <v>280</v>
      </c>
      <c r="S124" s="80" t="s">
        <v>621</v>
      </c>
      <c r="T124" s="82" t="str">
        <f>HYPERLINK("http://www.youtube.com/channel/UCxmSF_xV8EqQkoPYJL0bQLA")</f>
        <v>http://www.youtube.com/channel/UCxmSF_xV8EqQkoPYJL0bQLA</v>
      </c>
      <c r="U124" s="80"/>
      <c r="V124" s="80" t="s">
        <v>775</v>
      </c>
      <c r="W124" s="82" t="str">
        <f>HYPERLINK("https://www.youtube.com/watch?v=67NAObstdUs")</f>
        <v>https://www.youtube.com/watch?v=67NAObstdUs</v>
      </c>
      <c r="X124" s="80" t="s">
        <v>794</v>
      </c>
      <c r="Y124" s="80">
        <v>0</v>
      </c>
      <c r="Z124" s="84">
        <v>44003.95396990741</v>
      </c>
      <c r="AA124" s="84">
        <v>44003.95396990741</v>
      </c>
      <c r="AB124" s="80"/>
      <c r="AC124" s="80"/>
      <c r="AD124" s="80"/>
      <c r="AE124">
        <v>4</v>
      </c>
      <c r="AF124" s="79" t="str">
        <f>REPLACE(INDEX(GroupVertices[Group],MATCH(Edges[[#This Row],[Vertex 1]],GroupVertices[Vertex],0)),1,1,"")</f>
        <v>3</v>
      </c>
      <c r="AG124" s="79" t="str">
        <f>REPLACE(INDEX(GroupVertices[Group],MATCH(Edges[[#This Row],[Vertex 2]],GroupVertices[Vertex],0)),1,1,"")</f>
        <v>3</v>
      </c>
      <c r="AH124" s="48">
        <v>0</v>
      </c>
      <c r="AI124" s="49">
        <v>0</v>
      </c>
      <c r="AJ124" s="48">
        <v>0</v>
      </c>
      <c r="AK124" s="49">
        <v>0</v>
      </c>
      <c r="AL124" s="48">
        <v>0</v>
      </c>
      <c r="AM124" s="49">
        <v>0</v>
      </c>
      <c r="AN124" s="48">
        <v>4</v>
      </c>
      <c r="AO124" s="49">
        <v>100</v>
      </c>
      <c r="AP124" s="48">
        <v>4</v>
      </c>
    </row>
    <row r="125" spans="1:42" ht="15">
      <c r="A125" s="65" t="s">
        <v>266</v>
      </c>
      <c r="B125" s="65" t="s">
        <v>280</v>
      </c>
      <c r="C125" s="66" t="s">
        <v>1900</v>
      </c>
      <c r="D125" s="67">
        <v>10</v>
      </c>
      <c r="E125" s="68"/>
      <c r="F125" s="69">
        <v>20</v>
      </c>
      <c r="G125" s="66"/>
      <c r="H125" s="70"/>
      <c r="I125" s="71"/>
      <c r="J125" s="71"/>
      <c r="K125" s="34" t="s">
        <v>66</v>
      </c>
      <c r="L125" s="78">
        <v>125</v>
      </c>
      <c r="M125" s="78"/>
      <c r="N125" s="73"/>
      <c r="O125" s="80" t="s">
        <v>331</v>
      </c>
      <c r="P125" s="80" t="s">
        <v>333</v>
      </c>
      <c r="Q125" s="80" t="s">
        <v>452</v>
      </c>
      <c r="R125" s="80" t="s">
        <v>266</v>
      </c>
      <c r="S125" s="80" t="s">
        <v>607</v>
      </c>
      <c r="T125" s="82" t="str">
        <f>HYPERLINK("http://www.youtube.com/channel/UC5fs7PookxGfDPTo-RU0ReQ")</f>
        <v>http://www.youtube.com/channel/UC5fs7PookxGfDPTo-RU0ReQ</v>
      </c>
      <c r="U125" s="80" t="s">
        <v>721</v>
      </c>
      <c r="V125" s="80" t="s">
        <v>779</v>
      </c>
      <c r="W125" s="82" t="str">
        <f>HYPERLINK("https://www.youtube.com/watch?v=E5HCiZeB9zw")</f>
        <v>https://www.youtube.com/watch?v=E5HCiZeB9zw</v>
      </c>
      <c r="X125" s="80" t="s">
        <v>794</v>
      </c>
      <c r="Y125" s="80">
        <v>1</v>
      </c>
      <c r="Z125" s="84">
        <v>44004.55125</v>
      </c>
      <c r="AA125" s="84">
        <v>44004.55125</v>
      </c>
      <c r="AB125" s="80"/>
      <c r="AC125" s="80"/>
      <c r="AD125" s="80"/>
      <c r="AE125">
        <v>4</v>
      </c>
      <c r="AF125" s="79" t="str">
        <f>REPLACE(INDEX(GroupVertices[Group],MATCH(Edges[[#This Row],[Vertex 1]],GroupVertices[Vertex],0)),1,1,"")</f>
        <v>3</v>
      </c>
      <c r="AG125" s="79" t="str">
        <f>REPLACE(INDEX(GroupVertices[Group],MATCH(Edges[[#This Row],[Vertex 2]],GroupVertices[Vertex],0)),1,1,"")</f>
        <v>3</v>
      </c>
      <c r="AH125" s="48">
        <v>0</v>
      </c>
      <c r="AI125" s="49">
        <v>0</v>
      </c>
      <c r="AJ125" s="48">
        <v>0</v>
      </c>
      <c r="AK125" s="49">
        <v>0</v>
      </c>
      <c r="AL125" s="48">
        <v>0</v>
      </c>
      <c r="AM125" s="49">
        <v>0</v>
      </c>
      <c r="AN125" s="48">
        <v>31</v>
      </c>
      <c r="AO125" s="49">
        <v>100</v>
      </c>
      <c r="AP125" s="48">
        <v>31</v>
      </c>
    </row>
    <row r="126" spans="1:42" ht="15">
      <c r="A126" s="65" t="s">
        <v>280</v>
      </c>
      <c r="B126" s="65" t="s">
        <v>266</v>
      </c>
      <c r="C126" s="66" t="s">
        <v>1900</v>
      </c>
      <c r="D126" s="67">
        <v>10</v>
      </c>
      <c r="E126" s="68"/>
      <c r="F126" s="69">
        <v>20</v>
      </c>
      <c r="G126" s="66"/>
      <c r="H126" s="70"/>
      <c r="I126" s="71"/>
      <c r="J126" s="71"/>
      <c r="K126" s="34" t="s">
        <v>66</v>
      </c>
      <c r="L126" s="78">
        <v>126</v>
      </c>
      <c r="M126" s="78"/>
      <c r="N126" s="73"/>
      <c r="O126" s="80" t="s">
        <v>332</v>
      </c>
      <c r="P126" s="80" t="s">
        <v>198</v>
      </c>
      <c r="Q126" s="80" t="s">
        <v>453</v>
      </c>
      <c r="R126" s="80" t="s">
        <v>280</v>
      </c>
      <c r="S126" s="80" t="s">
        <v>621</v>
      </c>
      <c r="T126" s="82" t="str">
        <f>HYPERLINK("http://www.youtube.com/channel/UCxmSF_xV8EqQkoPYJL0bQLA")</f>
        <v>http://www.youtube.com/channel/UCxmSF_xV8EqQkoPYJL0bQLA</v>
      </c>
      <c r="U126" s="80"/>
      <c r="V126" s="80" t="s">
        <v>779</v>
      </c>
      <c r="W126" s="82" t="str">
        <f>HYPERLINK("https://www.youtube.com/watch?v=E5HCiZeB9zw")</f>
        <v>https://www.youtube.com/watch?v=E5HCiZeB9zw</v>
      </c>
      <c r="X126" s="80" t="s">
        <v>794</v>
      </c>
      <c r="Y126" s="80">
        <v>0</v>
      </c>
      <c r="Z126" s="84">
        <v>44004.54246527778</v>
      </c>
      <c r="AA126" s="84">
        <v>44004.54246527778</v>
      </c>
      <c r="AB126" s="80"/>
      <c r="AC126" s="80"/>
      <c r="AD126" s="80"/>
      <c r="AE126">
        <v>4</v>
      </c>
      <c r="AF126" s="79" t="str">
        <f>REPLACE(INDEX(GroupVertices[Group],MATCH(Edges[[#This Row],[Vertex 1]],GroupVertices[Vertex],0)),1,1,"")</f>
        <v>3</v>
      </c>
      <c r="AG126" s="79" t="str">
        <f>REPLACE(INDEX(GroupVertices[Group],MATCH(Edges[[#This Row],[Vertex 2]],GroupVertices[Vertex],0)),1,1,"")</f>
        <v>3</v>
      </c>
      <c r="AH126" s="48">
        <v>0</v>
      </c>
      <c r="AI126" s="49">
        <v>0</v>
      </c>
      <c r="AJ126" s="48">
        <v>0</v>
      </c>
      <c r="AK126" s="49">
        <v>0</v>
      </c>
      <c r="AL126" s="48">
        <v>0</v>
      </c>
      <c r="AM126" s="49">
        <v>0</v>
      </c>
      <c r="AN126" s="48">
        <v>8</v>
      </c>
      <c r="AO126" s="49">
        <v>100</v>
      </c>
      <c r="AP126" s="48">
        <v>8</v>
      </c>
    </row>
    <row r="127" spans="1:42" ht="15">
      <c r="A127" s="65" t="s">
        <v>266</v>
      </c>
      <c r="B127" s="65" t="s">
        <v>280</v>
      </c>
      <c r="C127" s="66" t="s">
        <v>1900</v>
      </c>
      <c r="D127" s="67">
        <v>10</v>
      </c>
      <c r="E127" s="68"/>
      <c r="F127" s="69">
        <v>20</v>
      </c>
      <c r="G127" s="66"/>
      <c r="H127" s="70"/>
      <c r="I127" s="71"/>
      <c r="J127" s="71"/>
      <c r="K127" s="34" t="s">
        <v>66</v>
      </c>
      <c r="L127" s="78">
        <v>127</v>
      </c>
      <c r="M127" s="78"/>
      <c r="N127" s="73"/>
      <c r="O127" s="80" t="s">
        <v>331</v>
      </c>
      <c r="P127" s="80" t="s">
        <v>333</v>
      </c>
      <c r="Q127" s="80" t="s">
        <v>454</v>
      </c>
      <c r="R127" s="80" t="s">
        <v>266</v>
      </c>
      <c r="S127" s="80" t="s">
        <v>607</v>
      </c>
      <c r="T127" s="82" t="str">
        <f>HYPERLINK("http://www.youtube.com/channel/UC5fs7PookxGfDPTo-RU0ReQ")</f>
        <v>http://www.youtube.com/channel/UC5fs7PookxGfDPTo-RU0ReQ</v>
      </c>
      <c r="U127" s="80" t="s">
        <v>722</v>
      </c>
      <c r="V127" s="80" t="s">
        <v>780</v>
      </c>
      <c r="W127" s="82" t="str">
        <f>HYPERLINK("https://www.youtube.com/watch?v=6f6sAvyOGPY")</f>
        <v>https://www.youtube.com/watch?v=6f6sAvyOGPY</v>
      </c>
      <c r="X127" s="80" t="s">
        <v>794</v>
      </c>
      <c r="Y127" s="80">
        <v>0</v>
      </c>
      <c r="Z127" s="84">
        <v>44005.492314814815</v>
      </c>
      <c r="AA127" s="84">
        <v>44005.492314814815</v>
      </c>
      <c r="AB127" s="80"/>
      <c r="AC127" s="80"/>
      <c r="AD127" s="80"/>
      <c r="AE127">
        <v>4</v>
      </c>
      <c r="AF127" s="79" t="str">
        <f>REPLACE(INDEX(GroupVertices[Group],MATCH(Edges[[#This Row],[Vertex 1]],GroupVertices[Vertex],0)),1,1,"")</f>
        <v>3</v>
      </c>
      <c r="AG127" s="79" t="str">
        <f>REPLACE(INDEX(GroupVertices[Group],MATCH(Edges[[#This Row],[Vertex 2]],GroupVertices[Vertex],0)),1,1,"")</f>
        <v>3</v>
      </c>
      <c r="AH127" s="48">
        <v>0</v>
      </c>
      <c r="AI127" s="49">
        <v>0</v>
      </c>
      <c r="AJ127" s="48">
        <v>0</v>
      </c>
      <c r="AK127" s="49">
        <v>0</v>
      </c>
      <c r="AL127" s="48">
        <v>0</v>
      </c>
      <c r="AM127" s="49">
        <v>0</v>
      </c>
      <c r="AN127" s="48">
        <v>3</v>
      </c>
      <c r="AO127" s="49">
        <v>100</v>
      </c>
      <c r="AP127" s="48">
        <v>3</v>
      </c>
    </row>
    <row r="128" spans="1:42" ht="15">
      <c r="A128" s="65" t="s">
        <v>280</v>
      </c>
      <c r="B128" s="65" t="s">
        <v>266</v>
      </c>
      <c r="C128" s="66" t="s">
        <v>1900</v>
      </c>
      <c r="D128" s="67">
        <v>10</v>
      </c>
      <c r="E128" s="68"/>
      <c r="F128" s="69">
        <v>20</v>
      </c>
      <c r="G128" s="66"/>
      <c r="H128" s="70"/>
      <c r="I128" s="71"/>
      <c r="J128" s="71"/>
      <c r="K128" s="34" t="s">
        <v>66</v>
      </c>
      <c r="L128" s="78">
        <v>128</v>
      </c>
      <c r="M128" s="78"/>
      <c r="N128" s="73"/>
      <c r="O128" s="80" t="s">
        <v>332</v>
      </c>
      <c r="P128" s="80" t="s">
        <v>198</v>
      </c>
      <c r="Q128" s="80" t="s">
        <v>455</v>
      </c>
      <c r="R128" s="80" t="s">
        <v>280</v>
      </c>
      <c r="S128" s="80" t="s">
        <v>621</v>
      </c>
      <c r="T128" s="82" t="str">
        <f>HYPERLINK("http://www.youtube.com/channel/UCxmSF_xV8EqQkoPYJL0bQLA")</f>
        <v>http://www.youtube.com/channel/UCxmSF_xV8EqQkoPYJL0bQLA</v>
      </c>
      <c r="U128" s="80"/>
      <c r="V128" s="80" t="s">
        <v>780</v>
      </c>
      <c r="W128" s="82" t="str">
        <f>HYPERLINK("https://www.youtube.com/watch?v=6f6sAvyOGPY")</f>
        <v>https://www.youtube.com/watch?v=6f6sAvyOGPY</v>
      </c>
      <c r="X128" s="80" t="s">
        <v>794</v>
      </c>
      <c r="Y128" s="80">
        <v>0</v>
      </c>
      <c r="Z128" s="84">
        <v>44005.48571759259</v>
      </c>
      <c r="AA128" s="84">
        <v>44005.48571759259</v>
      </c>
      <c r="AB128" s="80"/>
      <c r="AC128" s="80"/>
      <c r="AD128" s="80"/>
      <c r="AE128">
        <v>4</v>
      </c>
      <c r="AF128" s="79" t="str">
        <f>REPLACE(INDEX(GroupVertices[Group],MATCH(Edges[[#This Row],[Vertex 1]],GroupVertices[Vertex],0)),1,1,"")</f>
        <v>3</v>
      </c>
      <c r="AG128" s="79" t="str">
        <f>REPLACE(INDEX(GroupVertices[Group],MATCH(Edges[[#This Row],[Vertex 2]],GroupVertices[Vertex],0)),1,1,"")</f>
        <v>3</v>
      </c>
      <c r="AH128" s="48">
        <v>0</v>
      </c>
      <c r="AI128" s="49">
        <v>0</v>
      </c>
      <c r="AJ128" s="48">
        <v>0</v>
      </c>
      <c r="AK128" s="49">
        <v>0</v>
      </c>
      <c r="AL128" s="48">
        <v>0</v>
      </c>
      <c r="AM128" s="49">
        <v>0</v>
      </c>
      <c r="AN128" s="48">
        <v>2</v>
      </c>
      <c r="AO128" s="49">
        <v>100</v>
      </c>
      <c r="AP128" s="48">
        <v>2</v>
      </c>
    </row>
    <row r="129" spans="1:42" ht="15">
      <c r="A129" s="65" t="s">
        <v>281</v>
      </c>
      <c r="B129" s="65" t="s">
        <v>282</v>
      </c>
      <c r="C129" s="66" t="s">
        <v>1901</v>
      </c>
      <c r="D129" s="67">
        <v>3</v>
      </c>
      <c r="E129" s="68"/>
      <c r="F129" s="69">
        <v>50</v>
      </c>
      <c r="G129" s="66"/>
      <c r="H129" s="70"/>
      <c r="I129" s="71"/>
      <c r="J129" s="71"/>
      <c r="K129" s="34" t="s">
        <v>66</v>
      </c>
      <c r="L129" s="78">
        <v>129</v>
      </c>
      <c r="M129" s="78"/>
      <c r="N129" s="73"/>
      <c r="O129" s="80" t="s">
        <v>331</v>
      </c>
      <c r="P129" s="80" t="s">
        <v>333</v>
      </c>
      <c r="Q129" s="80" t="s">
        <v>456</v>
      </c>
      <c r="R129" s="80" t="s">
        <v>281</v>
      </c>
      <c r="S129" s="80" t="s">
        <v>622</v>
      </c>
      <c r="T129" s="82" t="str">
        <f>HYPERLINK("http://www.youtube.com/channel/UCd8GVoiUzlWtGHllMI5hmsA")</f>
        <v>http://www.youtube.com/channel/UCd8GVoiUzlWtGHllMI5hmsA</v>
      </c>
      <c r="U129" s="80" t="s">
        <v>723</v>
      </c>
      <c r="V129" s="80" t="s">
        <v>781</v>
      </c>
      <c r="W129" s="82" t="str">
        <f>HYPERLINK("https://www.youtube.com/watch?v=9Ml3-TqAvWk")</f>
        <v>https://www.youtube.com/watch?v=9Ml3-TqAvWk</v>
      </c>
      <c r="X129" s="80" t="s">
        <v>794</v>
      </c>
      <c r="Y129" s="80">
        <v>0</v>
      </c>
      <c r="Z129" s="84">
        <v>44004.66826388889</v>
      </c>
      <c r="AA129" s="84">
        <v>44004.66826388889</v>
      </c>
      <c r="AB129" s="80"/>
      <c r="AC129" s="80"/>
      <c r="AD129" s="80"/>
      <c r="AE129">
        <v>1</v>
      </c>
      <c r="AF129" s="79" t="str">
        <f>REPLACE(INDEX(GroupVertices[Group],MATCH(Edges[[#This Row],[Vertex 1]],GroupVertices[Vertex],0)),1,1,"")</f>
        <v>11</v>
      </c>
      <c r="AG129" s="79" t="str">
        <f>REPLACE(INDEX(GroupVertices[Group],MATCH(Edges[[#This Row],[Vertex 2]],GroupVertices[Vertex],0)),1,1,"")</f>
        <v>11</v>
      </c>
      <c r="AH129" s="48">
        <v>0</v>
      </c>
      <c r="AI129" s="49">
        <v>0</v>
      </c>
      <c r="AJ129" s="48">
        <v>0</v>
      </c>
      <c r="AK129" s="49">
        <v>0</v>
      </c>
      <c r="AL129" s="48">
        <v>0</v>
      </c>
      <c r="AM129" s="49">
        <v>0</v>
      </c>
      <c r="AN129" s="48">
        <v>2</v>
      </c>
      <c r="AO129" s="49">
        <v>100</v>
      </c>
      <c r="AP129" s="48">
        <v>2</v>
      </c>
    </row>
    <row r="130" spans="1:42" ht="15">
      <c r="A130" s="65" t="s">
        <v>282</v>
      </c>
      <c r="B130" s="65" t="s">
        <v>281</v>
      </c>
      <c r="C130" s="66" t="s">
        <v>1901</v>
      </c>
      <c r="D130" s="67">
        <v>3</v>
      </c>
      <c r="E130" s="68"/>
      <c r="F130" s="69">
        <v>50</v>
      </c>
      <c r="G130" s="66"/>
      <c r="H130" s="70"/>
      <c r="I130" s="71"/>
      <c r="J130" s="71"/>
      <c r="K130" s="34" t="s">
        <v>66</v>
      </c>
      <c r="L130" s="78">
        <v>130</v>
      </c>
      <c r="M130" s="78"/>
      <c r="N130" s="73"/>
      <c r="O130" s="80" t="s">
        <v>332</v>
      </c>
      <c r="P130" s="80" t="s">
        <v>198</v>
      </c>
      <c r="Q130" s="80" t="s">
        <v>457</v>
      </c>
      <c r="R130" s="80" t="s">
        <v>282</v>
      </c>
      <c r="S130" s="80" t="s">
        <v>623</v>
      </c>
      <c r="T130" s="82" t="str">
        <f>HYPERLINK("http://www.youtube.com/channel/UC3nZspW3G2_nf1UxI2GGp7w")</f>
        <v>http://www.youtube.com/channel/UC3nZspW3G2_nf1UxI2GGp7w</v>
      </c>
      <c r="U130" s="80"/>
      <c r="V130" s="80" t="s">
        <v>781</v>
      </c>
      <c r="W130" s="82" t="str">
        <f>HYPERLINK("https://www.youtube.com/watch?v=9Ml3-TqAvWk")</f>
        <v>https://www.youtube.com/watch?v=9Ml3-TqAvWk</v>
      </c>
      <c r="X130" s="80" t="s">
        <v>794</v>
      </c>
      <c r="Y130" s="80">
        <v>1</v>
      </c>
      <c r="Z130" s="84">
        <v>44004.61693287037</v>
      </c>
      <c r="AA130" s="84">
        <v>44004.61693287037</v>
      </c>
      <c r="AB130" s="80"/>
      <c r="AC130" s="80"/>
      <c r="AD130" s="80"/>
      <c r="AE130">
        <v>1</v>
      </c>
      <c r="AF130" s="79" t="str">
        <f>REPLACE(INDEX(GroupVertices[Group],MATCH(Edges[[#This Row],[Vertex 1]],GroupVertices[Vertex],0)),1,1,"")</f>
        <v>11</v>
      </c>
      <c r="AG130" s="79" t="str">
        <f>REPLACE(INDEX(GroupVertices[Group],MATCH(Edges[[#This Row],[Vertex 2]],GroupVertices[Vertex],0)),1,1,"")</f>
        <v>11</v>
      </c>
      <c r="AH130" s="48">
        <v>1</v>
      </c>
      <c r="AI130" s="49">
        <v>33.333333333333336</v>
      </c>
      <c r="AJ130" s="48">
        <v>0</v>
      </c>
      <c r="AK130" s="49">
        <v>0</v>
      </c>
      <c r="AL130" s="48">
        <v>0</v>
      </c>
      <c r="AM130" s="49">
        <v>0</v>
      </c>
      <c r="AN130" s="48">
        <v>2</v>
      </c>
      <c r="AO130" s="49">
        <v>66.66666666666667</v>
      </c>
      <c r="AP130" s="48">
        <v>3</v>
      </c>
    </row>
    <row r="131" spans="1:42" ht="15">
      <c r="A131" s="65" t="s">
        <v>281</v>
      </c>
      <c r="B131" s="65" t="s">
        <v>283</v>
      </c>
      <c r="C131" s="66" t="s">
        <v>1901</v>
      </c>
      <c r="D131" s="67">
        <v>3</v>
      </c>
      <c r="E131" s="68"/>
      <c r="F131" s="69">
        <v>50</v>
      </c>
      <c r="G131" s="66"/>
      <c r="H131" s="70"/>
      <c r="I131" s="71"/>
      <c r="J131" s="71"/>
      <c r="K131" s="34" t="s">
        <v>66</v>
      </c>
      <c r="L131" s="78">
        <v>131</v>
      </c>
      <c r="M131" s="78"/>
      <c r="N131" s="73"/>
      <c r="O131" s="80" t="s">
        <v>331</v>
      </c>
      <c r="P131" s="80" t="s">
        <v>333</v>
      </c>
      <c r="Q131" s="80" t="s">
        <v>458</v>
      </c>
      <c r="R131" s="80" t="s">
        <v>281</v>
      </c>
      <c r="S131" s="80" t="s">
        <v>622</v>
      </c>
      <c r="T131" s="82" t="str">
        <f>HYPERLINK("http://www.youtube.com/channel/UCd8GVoiUzlWtGHllMI5hmsA")</f>
        <v>http://www.youtube.com/channel/UCd8GVoiUzlWtGHllMI5hmsA</v>
      </c>
      <c r="U131" s="80" t="s">
        <v>724</v>
      </c>
      <c r="V131" s="80" t="s">
        <v>781</v>
      </c>
      <c r="W131" s="82" t="str">
        <f>HYPERLINK("https://www.youtube.com/watch?v=9Ml3-TqAvWk")</f>
        <v>https://www.youtube.com/watch?v=9Ml3-TqAvWk</v>
      </c>
      <c r="X131" s="80" t="s">
        <v>794</v>
      </c>
      <c r="Y131" s="80">
        <v>0</v>
      </c>
      <c r="Z131" s="84">
        <v>44004.668032407404</v>
      </c>
      <c r="AA131" s="84">
        <v>44004.668032407404</v>
      </c>
      <c r="AB131" s="80"/>
      <c r="AC131" s="80"/>
      <c r="AD131" s="80"/>
      <c r="AE131">
        <v>1</v>
      </c>
      <c r="AF131" s="79" t="str">
        <f>REPLACE(INDEX(GroupVertices[Group],MATCH(Edges[[#This Row],[Vertex 1]],GroupVertices[Vertex],0)),1,1,"")</f>
        <v>11</v>
      </c>
      <c r="AG131" s="79" t="str">
        <f>REPLACE(INDEX(GroupVertices[Group],MATCH(Edges[[#This Row],[Vertex 2]],GroupVertices[Vertex],0)),1,1,"")</f>
        <v>11</v>
      </c>
      <c r="AH131" s="48">
        <v>1</v>
      </c>
      <c r="AI131" s="49">
        <v>33.333333333333336</v>
      </c>
      <c r="AJ131" s="48">
        <v>0</v>
      </c>
      <c r="AK131" s="49">
        <v>0</v>
      </c>
      <c r="AL131" s="48">
        <v>0</v>
      </c>
      <c r="AM131" s="49">
        <v>0</v>
      </c>
      <c r="AN131" s="48">
        <v>2</v>
      </c>
      <c r="AO131" s="49">
        <v>66.66666666666667</v>
      </c>
      <c r="AP131" s="48">
        <v>3</v>
      </c>
    </row>
    <row r="132" spans="1:42" ht="15">
      <c r="A132" s="65" t="s">
        <v>283</v>
      </c>
      <c r="B132" s="65" t="s">
        <v>281</v>
      </c>
      <c r="C132" s="66" t="s">
        <v>1901</v>
      </c>
      <c r="D132" s="67">
        <v>3</v>
      </c>
      <c r="E132" s="68"/>
      <c r="F132" s="69">
        <v>50</v>
      </c>
      <c r="G132" s="66"/>
      <c r="H132" s="70"/>
      <c r="I132" s="71"/>
      <c r="J132" s="71"/>
      <c r="K132" s="34" t="s">
        <v>66</v>
      </c>
      <c r="L132" s="78">
        <v>132</v>
      </c>
      <c r="M132" s="78"/>
      <c r="N132" s="73"/>
      <c r="O132" s="80" t="s">
        <v>332</v>
      </c>
      <c r="P132" s="80" t="s">
        <v>198</v>
      </c>
      <c r="Q132" s="80" t="s">
        <v>459</v>
      </c>
      <c r="R132" s="80" t="s">
        <v>283</v>
      </c>
      <c r="S132" s="80" t="s">
        <v>624</v>
      </c>
      <c r="T132" s="82" t="str">
        <f>HYPERLINK("http://www.youtube.com/channel/UC7TeAC84QJ8EkkQbtbjjCpw")</f>
        <v>http://www.youtube.com/channel/UC7TeAC84QJ8EkkQbtbjjCpw</v>
      </c>
      <c r="U132" s="80"/>
      <c r="V132" s="80" t="s">
        <v>781</v>
      </c>
      <c r="W132" s="82" t="str">
        <f>HYPERLINK("https://www.youtube.com/watch?v=9Ml3-TqAvWk")</f>
        <v>https://www.youtube.com/watch?v=9Ml3-TqAvWk</v>
      </c>
      <c r="X132" s="80" t="s">
        <v>794</v>
      </c>
      <c r="Y132" s="80">
        <v>0</v>
      </c>
      <c r="Z132" s="84">
        <v>44004.61969907407</v>
      </c>
      <c r="AA132" s="84">
        <v>44004.61969907407</v>
      </c>
      <c r="AB132" s="80"/>
      <c r="AC132" s="80"/>
      <c r="AD132" s="80"/>
      <c r="AE132">
        <v>1</v>
      </c>
      <c r="AF132" s="79" t="str">
        <f>REPLACE(INDEX(GroupVertices[Group],MATCH(Edges[[#This Row],[Vertex 1]],GroupVertices[Vertex],0)),1,1,"")</f>
        <v>11</v>
      </c>
      <c r="AG132" s="79" t="str">
        <f>REPLACE(INDEX(GroupVertices[Group],MATCH(Edges[[#This Row],[Vertex 2]],GroupVertices[Vertex],0)),1,1,"")</f>
        <v>11</v>
      </c>
      <c r="AH132" s="48">
        <v>1</v>
      </c>
      <c r="AI132" s="49">
        <v>33.333333333333336</v>
      </c>
      <c r="AJ132" s="48">
        <v>0</v>
      </c>
      <c r="AK132" s="49">
        <v>0</v>
      </c>
      <c r="AL132" s="48">
        <v>0</v>
      </c>
      <c r="AM132" s="49">
        <v>0</v>
      </c>
      <c r="AN132" s="48">
        <v>2</v>
      </c>
      <c r="AO132" s="49">
        <v>66.66666666666667</v>
      </c>
      <c r="AP132" s="48">
        <v>3</v>
      </c>
    </row>
    <row r="133" spans="1:42" ht="15">
      <c r="A133" s="65" t="s">
        <v>281</v>
      </c>
      <c r="B133" s="65" t="s">
        <v>284</v>
      </c>
      <c r="C133" s="66" t="s">
        <v>1901</v>
      </c>
      <c r="D133" s="67">
        <v>3</v>
      </c>
      <c r="E133" s="68"/>
      <c r="F133" s="69">
        <v>50</v>
      </c>
      <c r="G133" s="66"/>
      <c r="H133" s="70"/>
      <c r="I133" s="71"/>
      <c r="J133" s="71"/>
      <c r="K133" s="34" t="s">
        <v>66</v>
      </c>
      <c r="L133" s="78">
        <v>133</v>
      </c>
      <c r="M133" s="78"/>
      <c r="N133" s="73"/>
      <c r="O133" s="80" t="s">
        <v>331</v>
      </c>
      <c r="P133" s="80" t="s">
        <v>333</v>
      </c>
      <c r="Q133" s="80" t="s">
        <v>460</v>
      </c>
      <c r="R133" s="80" t="s">
        <v>281</v>
      </c>
      <c r="S133" s="80" t="s">
        <v>622</v>
      </c>
      <c r="T133" s="82" t="str">
        <f>HYPERLINK("http://www.youtube.com/channel/UCd8GVoiUzlWtGHllMI5hmsA")</f>
        <v>http://www.youtube.com/channel/UCd8GVoiUzlWtGHllMI5hmsA</v>
      </c>
      <c r="U133" s="80" t="s">
        <v>725</v>
      </c>
      <c r="V133" s="80" t="s">
        <v>781</v>
      </c>
      <c r="W133" s="82" t="str">
        <f>HYPERLINK("https://www.youtube.com/watch?v=9Ml3-TqAvWk")</f>
        <v>https://www.youtube.com/watch?v=9Ml3-TqAvWk</v>
      </c>
      <c r="X133" s="80" t="s">
        <v>794</v>
      </c>
      <c r="Y133" s="80">
        <v>0</v>
      </c>
      <c r="Z133" s="84">
        <v>44004.6678125</v>
      </c>
      <c r="AA133" s="84">
        <v>44004.6678125</v>
      </c>
      <c r="AB133" s="80"/>
      <c r="AC133" s="80"/>
      <c r="AD133" s="80"/>
      <c r="AE133">
        <v>1</v>
      </c>
      <c r="AF133" s="79" t="str">
        <f>REPLACE(INDEX(GroupVertices[Group],MATCH(Edges[[#This Row],[Vertex 1]],GroupVertices[Vertex],0)),1,1,"")</f>
        <v>11</v>
      </c>
      <c r="AG133" s="79" t="str">
        <f>REPLACE(INDEX(GroupVertices[Group],MATCH(Edges[[#This Row],[Vertex 2]],GroupVertices[Vertex],0)),1,1,"")</f>
        <v>11</v>
      </c>
      <c r="AH133" s="48">
        <v>1</v>
      </c>
      <c r="AI133" s="49">
        <v>33.333333333333336</v>
      </c>
      <c r="AJ133" s="48">
        <v>0</v>
      </c>
      <c r="AK133" s="49">
        <v>0</v>
      </c>
      <c r="AL133" s="48">
        <v>0</v>
      </c>
      <c r="AM133" s="49">
        <v>0</v>
      </c>
      <c r="AN133" s="48">
        <v>2</v>
      </c>
      <c r="AO133" s="49">
        <v>66.66666666666667</v>
      </c>
      <c r="AP133" s="48">
        <v>3</v>
      </c>
    </row>
    <row r="134" spans="1:42" ht="15">
      <c r="A134" s="65" t="s">
        <v>284</v>
      </c>
      <c r="B134" s="65" t="s">
        <v>281</v>
      </c>
      <c r="C134" s="66" t="s">
        <v>1901</v>
      </c>
      <c r="D134" s="67">
        <v>3</v>
      </c>
      <c r="E134" s="68"/>
      <c r="F134" s="69">
        <v>50</v>
      </c>
      <c r="G134" s="66"/>
      <c r="H134" s="70"/>
      <c r="I134" s="71"/>
      <c r="J134" s="71"/>
      <c r="K134" s="34" t="s">
        <v>66</v>
      </c>
      <c r="L134" s="78">
        <v>134</v>
      </c>
      <c r="M134" s="78"/>
      <c r="N134" s="73"/>
      <c r="O134" s="80" t="s">
        <v>332</v>
      </c>
      <c r="P134" s="80" t="s">
        <v>198</v>
      </c>
      <c r="Q134" s="80" t="s">
        <v>461</v>
      </c>
      <c r="R134" s="80" t="s">
        <v>284</v>
      </c>
      <c r="S134" s="80" t="s">
        <v>625</v>
      </c>
      <c r="T134" s="82" t="str">
        <f>HYPERLINK("http://www.youtube.com/channel/UCTvYzVFo4Db-JmPqhJLu1kQ")</f>
        <v>http://www.youtube.com/channel/UCTvYzVFo4Db-JmPqhJLu1kQ</v>
      </c>
      <c r="U134" s="80"/>
      <c r="V134" s="80" t="s">
        <v>781</v>
      </c>
      <c r="W134" s="82" t="str">
        <f>HYPERLINK("https://www.youtube.com/watch?v=9Ml3-TqAvWk")</f>
        <v>https://www.youtube.com/watch?v=9Ml3-TqAvWk</v>
      </c>
      <c r="X134" s="80" t="s">
        <v>794</v>
      </c>
      <c r="Y134" s="80">
        <v>0</v>
      </c>
      <c r="Z134" s="84">
        <v>44004.626238425924</v>
      </c>
      <c r="AA134" s="84">
        <v>44004.626238425924</v>
      </c>
      <c r="AB134" s="80"/>
      <c r="AC134" s="80"/>
      <c r="AD134" s="80"/>
      <c r="AE134">
        <v>1</v>
      </c>
      <c r="AF134" s="79" t="str">
        <f>REPLACE(INDEX(GroupVertices[Group],MATCH(Edges[[#This Row],[Vertex 1]],GroupVertices[Vertex],0)),1,1,"")</f>
        <v>11</v>
      </c>
      <c r="AG134" s="79" t="str">
        <f>REPLACE(INDEX(GroupVertices[Group],MATCH(Edges[[#This Row],[Vertex 2]],GroupVertices[Vertex],0)),1,1,"")</f>
        <v>11</v>
      </c>
      <c r="AH134" s="48">
        <v>3</v>
      </c>
      <c r="AI134" s="49">
        <v>16.666666666666668</v>
      </c>
      <c r="AJ134" s="48">
        <v>0</v>
      </c>
      <c r="AK134" s="49">
        <v>0</v>
      </c>
      <c r="AL134" s="48">
        <v>0</v>
      </c>
      <c r="AM134" s="49">
        <v>0</v>
      </c>
      <c r="AN134" s="48">
        <v>15</v>
      </c>
      <c r="AO134" s="49">
        <v>83.33333333333333</v>
      </c>
      <c r="AP134" s="48">
        <v>18</v>
      </c>
    </row>
    <row r="135" spans="1:42" ht="15">
      <c r="A135" s="65" t="s">
        <v>281</v>
      </c>
      <c r="B135" s="65" t="s">
        <v>285</v>
      </c>
      <c r="C135" s="66" t="s">
        <v>1901</v>
      </c>
      <c r="D135" s="67">
        <v>3</v>
      </c>
      <c r="E135" s="68"/>
      <c r="F135" s="69">
        <v>50</v>
      </c>
      <c r="G135" s="66"/>
      <c r="H135" s="70"/>
      <c r="I135" s="71"/>
      <c r="J135" s="71"/>
      <c r="K135" s="34" t="s">
        <v>66</v>
      </c>
      <c r="L135" s="78">
        <v>135</v>
      </c>
      <c r="M135" s="78"/>
      <c r="N135" s="73"/>
      <c r="O135" s="80" t="s">
        <v>331</v>
      </c>
      <c r="P135" s="80" t="s">
        <v>333</v>
      </c>
      <c r="Q135" s="80" t="s">
        <v>462</v>
      </c>
      <c r="R135" s="80" t="s">
        <v>281</v>
      </c>
      <c r="S135" s="80" t="s">
        <v>622</v>
      </c>
      <c r="T135" s="82" t="str">
        <f>HYPERLINK("http://www.youtube.com/channel/UCd8GVoiUzlWtGHllMI5hmsA")</f>
        <v>http://www.youtube.com/channel/UCd8GVoiUzlWtGHllMI5hmsA</v>
      </c>
      <c r="U135" s="80" t="s">
        <v>726</v>
      </c>
      <c r="V135" s="80" t="s">
        <v>781</v>
      </c>
      <c r="W135" s="82" t="str">
        <f>HYPERLINK("https://www.youtube.com/watch?v=9Ml3-TqAvWk")</f>
        <v>https://www.youtube.com/watch?v=9Ml3-TqAvWk</v>
      </c>
      <c r="X135" s="80" t="s">
        <v>794</v>
      </c>
      <c r="Y135" s="80">
        <v>0</v>
      </c>
      <c r="Z135" s="84">
        <v>44004.76590277778</v>
      </c>
      <c r="AA135" s="84">
        <v>44004.76590277778</v>
      </c>
      <c r="AB135" s="80"/>
      <c r="AC135" s="80"/>
      <c r="AD135" s="80"/>
      <c r="AE135">
        <v>1</v>
      </c>
      <c r="AF135" s="79" t="str">
        <f>REPLACE(INDEX(GroupVertices[Group],MATCH(Edges[[#This Row],[Vertex 1]],GroupVertices[Vertex],0)),1,1,"")</f>
        <v>11</v>
      </c>
      <c r="AG135" s="79" t="str">
        <f>REPLACE(INDEX(GroupVertices[Group],MATCH(Edges[[#This Row],[Vertex 2]],GroupVertices[Vertex],0)),1,1,"")</f>
        <v>11</v>
      </c>
      <c r="AH135" s="48">
        <v>1</v>
      </c>
      <c r="AI135" s="49">
        <v>33.333333333333336</v>
      </c>
      <c r="AJ135" s="48">
        <v>0</v>
      </c>
      <c r="AK135" s="49">
        <v>0</v>
      </c>
      <c r="AL135" s="48">
        <v>0</v>
      </c>
      <c r="AM135" s="49">
        <v>0</v>
      </c>
      <c r="AN135" s="48">
        <v>2</v>
      </c>
      <c r="AO135" s="49">
        <v>66.66666666666667</v>
      </c>
      <c r="AP135" s="48">
        <v>3</v>
      </c>
    </row>
    <row r="136" spans="1:42" ht="15">
      <c r="A136" s="65" t="s">
        <v>285</v>
      </c>
      <c r="B136" s="65" t="s">
        <v>281</v>
      </c>
      <c r="C136" s="66" t="s">
        <v>1901</v>
      </c>
      <c r="D136" s="67">
        <v>3</v>
      </c>
      <c r="E136" s="68"/>
      <c r="F136" s="69">
        <v>50</v>
      </c>
      <c r="G136" s="66"/>
      <c r="H136" s="70"/>
      <c r="I136" s="71"/>
      <c r="J136" s="71"/>
      <c r="K136" s="34" t="s">
        <v>66</v>
      </c>
      <c r="L136" s="78">
        <v>136</v>
      </c>
      <c r="M136" s="78"/>
      <c r="N136" s="73"/>
      <c r="O136" s="80" t="s">
        <v>332</v>
      </c>
      <c r="P136" s="80" t="s">
        <v>198</v>
      </c>
      <c r="Q136" s="80" t="s">
        <v>463</v>
      </c>
      <c r="R136" s="80" t="s">
        <v>285</v>
      </c>
      <c r="S136" s="80" t="s">
        <v>626</v>
      </c>
      <c r="T136" s="82" t="str">
        <f>HYPERLINK("http://www.youtube.com/channel/UCQEO63TKG1moSUxAu07cP-A")</f>
        <v>http://www.youtube.com/channel/UCQEO63TKG1moSUxAu07cP-A</v>
      </c>
      <c r="U136" s="80"/>
      <c r="V136" s="80" t="s">
        <v>781</v>
      </c>
      <c r="W136" s="82" t="str">
        <f>HYPERLINK("https://www.youtube.com/watch?v=9Ml3-TqAvWk")</f>
        <v>https://www.youtube.com/watch?v=9Ml3-TqAvWk</v>
      </c>
      <c r="X136" s="80" t="s">
        <v>794</v>
      </c>
      <c r="Y136" s="80">
        <v>0</v>
      </c>
      <c r="Z136" s="84">
        <v>44004.71907407408</v>
      </c>
      <c r="AA136" s="84">
        <v>44004.71907407408</v>
      </c>
      <c r="AB136" s="80"/>
      <c r="AC136" s="80"/>
      <c r="AD136" s="80"/>
      <c r="AE136">
        <v>1</v>
      </c>
      <c r="AF136" s="79" t="str">
        <f>REPLACE(INDEX(GroupVertices[Group],MATCH(Edges[[#This Row],[Vertex 1]],GroupVertices[Vertex],0)),1,1,"")</f>
        <v>11</v>
      </c>
      <c r="AG136" s="79" t="str">
        <f>REPLACE(INDEX(GroupVertices[Group],MATCH(Edges[[#This Row],[Vertex 2]],GroupVertices[Vertex],0)),1,1,"")</f>
        <v>11</v>
      </c>
      <c r="AH136" s="48">
        <v>2</v>
      </c>
      <c r="AI136" s="49">
        <v>50</v>
      </c>
      <c r="AJ136" s="48">
        <v>0</v>
      </c>
      <c r="AK136" s="49">
        <v>0</v>
      </c>
      <c r="AL136" s="48">
        <v>0</v>
      </c>
      <c r="AM136" s="49">
        <v>0</v>
      </c>
      <c r="AN136" s="48">
        <v>2</v>
      </c>
      <c r="AO136" s="49">
        <v>50</v>
      </c>
      <c r="AP136" s="48">
        <v>4</v>
      </c>
    </row>
    <row r="137" spans="1:42" ht="15">
      <c r="A137" s="65" t="s">
        <v>286</v>
      </c>
      <c r="B137" s="65" t="s">
        <v>287</v>
      </c>
      <c r="C137" s="66" t="s">
        <v>1901</v>
      </c>
      <c r="D137" s="67">
        <v>3</v>
      </c>
      <c r="E137" s="68"/>
      <c r="F137" s="69">
        <v>50</v>
      </c>
      <c r="G137" s="66"/>
      <c r="H137" s="70"/>
      <c r="I137" s="71"/>
      <c r="J137" s="71"/>
      <c r="K137" s="34" t="s">
        <v>66</v>
      </c>
      <c r="L137" s="78">
        <v>137</v>
      </c>
      <c r="M137" s="78"/>
      <c r="N137" s="73"/>
      <c r="O137" s="80" t="s">
        <v>331</v>
      </c>
      <c r="P137" s="80" t="s">
        <v>333</v>
      </c>
      <c r="Q137" s="80" t="s">
        <v>464</v>
      </c>
      <c r="R137" s="80" t="s">
        <v>286</v>
      </c>
      <c r="S137" s="80" t="s">
        <v>627</v>
      </c>
      <c r="T137" s="82" t="str">
        <f>HYPERLINK("http://www.youtube.com/channel/UCh7H5QEvSVPmzwGBI_y8jBA")</f>
        <v>http://www.youtube.com/channel/UCh7H5QEvSVPmzwGBI_y8jBA</v>
      </c>
      <c r="U137" s="80" t="s">
        <v>727</v>
      </c>
      <c r="V137" s="80" t="s">
        <v>782</v>
      </c>
      <c r="W137" s="82" t="str">
        <f>HYPERLINK("https://www.youtube.com/watch?v=fbDDm2cgc3I")</f>
        <v>https://www.youtube.com/watch?v=fbDDm2cgc3I</v>
      </c>
      <c r="X137" s="80" t="s">
        <v>794</v>
      </c>
      <c r="Y137" s="80">
        <v>0</v>
      </c>
      <c r="Z137" s="84">
        <v>44005.577210648145</v>
      </c>
      <c r="AA137" s="84">
        <v>44005.577210648145</v>
      </c>
      <c r="AB137" s="80"/>
      <c r="AC137" s="80"/>
      <c r="AD137" s="80"/>
      <c r="AE137">
        <v>1</v>
      </c>
      <c r="AF137" s="79" t="str">
        <f>REPLACE(INDEX(GroupVertices[Group],MATCH(Edges[[#This Row],[Vertex 1]],GroupVertices[Vertex],0)),1,1,"")</f>
        <v>10</v>
      </c>
      <c r="AG137" s="79" t="str">
        <f>REPLACE(INDEX(GroupVertices[Group],MATCH(Edges[[#This Row],[Vertex 2]],GroupVertices[Vertex],0)),1,1,"")</f>
        <v>10</v>
      </c>
      <c r="AH137" s="48">
        <v>0</v>
      </c>
      <c r="AI137" s="49">
        <v>0</v>
      </c>
      <c r="AJ137" s="48">
        <v>0</v>
      </c>
      <c r="AK137" s="49">
        <v>0</v>
      </c>
      <c r="AL137" s="48">
        <v>0</v>
      </c>
      <c r="AM137" s="49">
        <v>0</v>
      </c>
      <c r="AN137" s="48">
        <v>4</v>
      </c>
      <c r="AO137" s="49">
        <v>100</v>
      </c>
      <c r="AP137" s="48">
        <v>4</v>
      </c>
    </row>
    <row r="138" spans="1:42" ht="15">
      <c r="A138" s="65" t="s">
        <v>287</v>
      </c>
      <c r="B138" s="65" t="s">
        <v>286</v>
      </c>
      <c r="C138" s="66" t="s">
        <v>1901</v>
      </c>
      <c r="D138" s="67">
        <v>3</v>
      </c>
      <c r="E138" s="68"/>
      <c r="F138" s="69">
        <v>50</v>
      </c>
      <c r="G138" s="66"/>
      <c r="H138" s="70"/>
      <c r="I138" s="71"/>
      <c r="J138" s="71"/>
      <c r="K138" s="34" t="s">
        <v>66</v>
      </c>
      <c r="L138" s="78">
        <v>138</v>
      </c>
      <c r="M138" s="78"/>
      <c r="N138" s="73"/>
      <c r="O138" s="80" t="s">
        <v>332</v>
      </c>
      <c r="P138" s="80" t="s">
        <v>198</v>
      </c>
      <c r="Q138" s="80" t="s">
        <v>465</v>
      </c>
      <c r="R138" s="80" t="s">
        <v>287</v>
      </c>
      <c r="S138" s="80" t="s">
        <v>628</v>
      </c>
      <c r="T138" s="82" t="str">
        <f>HYPERLINK("http://www.youtube.com/channel/UCTEUWA2zEddnF5_BJMFN5Yg")</f>
        <v>http://www.youtube.com/channel/UCTEUWA2zEddnF5_BJMFN5Yg</v>
      </c>
      <c r="U138" s="80"/>
      <c r="V138" s="80" t="s">
        <v>782</v>
      </c>
      <c r="W138" s="82" t="str">
        <f>HYPERLINK("https://www.youtube.com/watch?v=fbDDm2cgc3I")</f>
        <v>https://www.youtube.com/watch?v=fbDDm2cgc3I</v>
      </c>
      <c r="X138" s="80" t="s">
        <v>794</v>
      </c>
      <c r="Y138" s="80">
        <v>1</v>
      </c>
      <c r="Z138" s="84">
        <v>44005.142592592594</v>
      </c>
      <c r="AA138" s="84">
        <v>44005.142592592594</v>
      </c>
      <c r="AB138" s="80"/>
      <c r="AC138" s="80"/>
      <c r="AD138" s="80"/>
      <c r="AE138">
        <v>1</v>
      </c>
      <c r="AF138" s="79" t="str">
        <f>REPLACE(INDEX(GroupVertices[Group],MATCH(Edges[[#This Row],[Vertex 1]],GroupVertices[Vertex],0)),1,1,"")</f>
        <v>10</v>
      </c>
      <c r="AG138" s="79" t="str">
        <f>REPLACE(INDEX(GroupVertices[Group],MATCH(Edges[[#This Row],[Vertex 2]],GroupVertices[Vertex],0)),1,1,"")</f>
        <v>10</v>
      </c>
      <c r="AH138" s="48">
        <v>0</v>
      </c>
      <c r="AI138" s="49">
        <v>0</v>
      </c>
      <c r="AJ138" s="48">
        <v>0</v>
      </c>
      <c r="AK138" s="49">
        <v>0</v>
      </c>
      <c r="AL138" s="48">
        <v>0</v>
      </c>
      <c r="AM138" s="49">
        <v>0</v>
      </c>
      <c r="AN138" s="48">
        <v>15</v>
      </c>
      <c r="AO138" s="49">
        <v>100</v>
      </c>
      <c r="AP138" s="48">
        <v>15</v>
      </c>
    </row>
    <row r="139" spans="1:42" ht="15">
      <c r="A139" s="65" t="s">
        <v>286</v>
      </c>
      <c r="B139" s="65" t="s">
        <v>288</v>
      </c>
      <c r="C139" s="66" t="s">
        <v>1901</v>
      </c>
      <c r="D139" s="67">
        <v>3</v>
      </c>
      <c r="E139" s="68"/>
      <c r="F139" s="69">
        <v>50</v>
      </c>
      <c r="G139" s="66"/>
      <c r="H139" s="70"/>
      <c r="I139" s="71"/>
      <c r="J139" s="71"/>
      <c r="K139" s="34" t="s">
        <v>66</v>
      </c>
      <c r="L139" s="78">
        <v>139</v>
      </c>
      <c r="M139" s="78"/>
      <c r="N139" s="73"/>
      <c r="O139" s="80" t="s">
        <v>331</v>
      </c>
      <c r="P139" s="80" t="s">
        <v>333</v>
      </c>
      <c r="Q139" s="80" t="s">
        <v>466</v>
      </c>
      <c r="R139" s="80" t="s">
        <v>286</v>
      </c>
      <c r="S139" s="80" t="s">
        <v>627</v>
      </c>
      <c r="T139" s="82" t="str">
        <f>HYPERLINK("http://www.youtube.com/channel/UCh7H5QEvSVPmzwGBI_y8jBA")</f>
        <v>http://www.youtube.com/channel/UCh7H5QEvSVPmzwGBI_y8jBA</v>
      </c>
      <c r="U139" s="80" t="s">
        <v>728</v>
      </c>
      <c r="V139" s="80" t="s">
        <v>782</v>
      </c>
      <c r="W139" s="82" t="str">
        <f>HYPERLINK("https://www.youtube.com/watch?v=fbDDm2cgc3I")</f>
        <v>https://www.youtube.com/watch?v=fbDDm2cgc3I</v>
      </c>
      <c r="X139" s="80" t="s">
        <v>794</v>
      </c>
      <c r="Y139" s="80">
        <v>0</v>
      </c>
      <c r="Z139" s="84">
        <v>44005.58491898148</v>
      </c>
      <c r="AA139" s="84">
        <v>44005.58491898148</v>
      </c>
      <c r="AB139" s="80"/>
      <c r="AC139" s="80"/>
      <c r="AD139" s="80"/>
      <c r="AE139">
        <v>1</v>
      </c>
      <c r="AF139" s="79" t="str">
        <f>REPLACE(INDEX(GroupVertices[Group],MATCH(Edges[[#This Row],[Vertex 1]],GroupVertices[Vertex],0)),1,1,"")</f>
        <v>10</v>
      </c>
      <c r="AG139" s="79" t="str">
        <f>REPLACE(INDEX(GroupVertices[Group],MATCH(Edges[[#This Row],[Vertex 2]],GroupVertices[Vertex],0)),1,1,"")</f>
        <v>10</v>
      </c>
      <c r="AH139" s="48">
        <v>0</v>
      </c>
      <c r="AI139" s="49">
        <v>0</v>
      </c>
      <c r="AJ139" s="48">
        <v>0</v>
      </c>
      <c r="AK139" s="49">
        <v>0</v>
      </c>
      <c r="AL139" s="48">
        <v>0</v>
      </c>
      <c r="AM139" s="49">
        <v>0</v>
      </c>
      <c r="AN139" s="48">
        <v>4</v>
      </c>
      <c r="AO139" s="49">
        <v>100</v>
      </c>
      <c r="AP139" s="48">
        <v>4</v>
      </c>
    </row>
    <row r="140" spans="1:42" ht="15">
      <c r="A140" s="65" t="s">
        <v>288</v>
      </c>
      <c r="B140" s="65" t="s">
        <v>286</v>
      </c>
      <c r="C140" s="66" t="s">
        <v>1901</v>
      </c>
      <c r="D140" s="67">
        <v>3</v>
      </c>
      <c r="E140" s="68"/>
      <c r="F140" s="69">
        <v>50</v>
      </c>
      <c r="G140" s="66"/>
      <c r="H140" s="70"/>
      <c r="I140" s="71"/>
      <c r="J140" s="71"/>
      <c r="K140" s="34" t="s">
        <v>66</v>
      </c>
      <c r="L140" s="78">
        <v>140</v>
      </c>
      <c r="M140" s="78"/>
      <c r="N140" s="73"/>
      <c r="O140" s="80" t="s">
        <v>332</v>
      </c>
      <c r="P140" s="80" t="s">
        <v>198</v>
      </c>
      <c r="Q140" s="80" t="s">
        <v>467</v>
      </c>
      <c r="R140" s="80" t="s">
        <v>288</v>
      </c>
      <c r="S140" s="80" t="s">
        <v>629</v>
      </c>
      <c r="T140" s="82" t="str">
        <f>HYPERLINK("http://www.youtube.com/channel/UCGBLqMQkRwwaoElM0w-UmBg")</f>
        <v>http://www.youtube.com/channel/UCGBLqMQkRwwaoElM0w-UmBg</v>
      </c>
      <c r="U140" s="80"/>
      <c r="V140" s="80" t="s">
        <v>782</v>
      </c>
      <c r="W140" s="82" t="str">
        <f>HYPERLINK("https://www.youtube.com/watch?v=fbDDm2cgc3I")</f>
        <v>https://www.youtube.com/watch?v=fbDDm2cgc3I</v>
      </c>
      <c r="X140" s="80" t="s">
        <v>794</v>
      </c>
      <c r="Y140" s="80">
        <v>2</v>
      </c>
      <c r="Z140" s="84">
        <v>44005.14503472222</v>
      </c>
      <c r="AA140" s="84">
        <v>44005.14503472222</v>
      </c>
      <c r="AB140" s="80"/>
      <c r="AC140" s="80"/>
      <c r="AD140" s="80"/>
      <c r="AE140">
        <v>1</v>
      </c>
      <c r="AF140" s="79" t="str">
        <f>REPLACE(INDEX(GroupVertices[Group],MATCH(Edges[[#This Row],[Vertex 1]],GroupVertices[Vertex],0)),1,1,"")</f>
        <v>10</v>
      </c>
      <c r="AG140" s="79" t="str">
        <f>REPLACE(INDEX(GroupVertices[Group],MATCH(Edges[[#This Row],[Vertex 2]],GroupVertices[Vertex],0)),1,1,"")</f>
        <v>10</v>
      </c>
      <c r="AH140" s="48">
        <v>0</v>
      </c>
      <c r="AI140" s="49">
        <v>0</v>
      </c>
      <c r="AJ140" s="48">
        <v>0</v>
      </c>
      <c r="AK140" s="49">
        <v>0</v>
      </c>
      <c r="AL140" s="48">
        <v>0</v>
      </c>
      <c r="AM140" s="49">
        <v>0</v>
      </c>
      <c r="AN140" s="48">
        <v>8</v>
      </c>
      <c r="AO140" s="49">
        <v>100</v>
      </c>
      <c r="AP140" s="48">
        <v>8</v>
      </c>
    </row>
    <row r="141" spans="1:42" ht="15">
      <c r="A141" s="65" t="s">
        <v>286</v>
      </c>
      <c r="B141" s="65" t="s">
        <v>289</v>
      </c>
      <c r="C141" s="66" t="s">
        <v>1901</v>
      </c>
      <c r="D141" s="67">
        <v>3</v>
      </c>
      <c r="E141" s="68"/>
      <c r="F141" s="69">
        <v>50</v>
      </c>
      <c r="G141" s="66"/>
      <c r="H141" s="70"/>
      <c r="I141" s="71"/>
      <c r="J141" s="71"/>
      <c r="K141" s="34" t="s">
        <v>66</v>
      </c>
      <c r="L141" s="78">
        <v>141</v>
      </c>
      <c r="M141" s="78"/>
      <c r="N141" s="73"/>
      <c r="O141" s="80" t="s">
        <v>331</v>
      </c>
      <c r="P141" s="80" t="s">
        <v>333</v>
      </c>
      <c r="Q141" s="80" t="s">
        <v>468</v>
      </c>
      <c r="R141" s="80" t="s">
        <v>286</v>
      </c>
      <c r="S141" s="80" t="s">
        <v>627</v>
      </c>
      <c r="T141" s="82" t="str">
        <f>HYPERLINK("http://www.youtube.com/channel/UCh7H5QEvSVPmzwGBI_y8jBA")</f>
        <v>http://www.youtube.com/channel/UCh7H5QEvSVPmzwGBI_y8jBA</v>
      </c>
      <c r="U141" s="80" t="s">
        <v>729</v>
      </c>
      <c r="V141" s="80" t="s">
        <v>782</v>
      </c>
      <c r="W141" s="82" t="str">
        <f>HYPERLINK("https://www.youtube.com/watch?v=fbDDm2cgc3I")</f>
        <v>https://www.youtube.com/watch?v=fbDDm2cgc3I</v>
      </c>
      <c r="X141" s="80" t="s">
        <v>794</v>
      </c>
      <c r="Y141" s="80">
        <v>0</v>
      </c>
      <c r="Z141" s="84">
        <v>44005.5793287037</v>
      </c>
      <c r="AA141" s="84">
        <v>44005.5793287037</v>
      </c>
      <c r="AB141" s="80"/>
      <c r="AC141" s="80"/>
      <c r="AD141" s="80"/>
      <c r="AE141">
        <v>1</v>
      </c>
      <c r="AF141" s="79" t="str">
        <f>REPLACE(INDEX(GroupVertices[Group],MATCH(Edges[[#This Row],[Vertex 1]],GroupVertices[Vertex],0)),1,1,"")</f>
        <v>10</v>
      </c>
      <c r="AG141" s="79" t="str">
        <f>REPLACE(INDEX(GroupVertices[Group],MATCH(Edges[[#This Row],[Vertex 2]],GroupVertices[Vertex],0)),1,1,"")</f>
        <v>10</v>
      </c>
      <c r="AH141" s="48">
        <v>0</v>
      </c>
      <c r="AI141" s="49">
        <v>0</v>
      </c>
      <c r="AJ141" s="48">
        <v>0</v>
      </c>
      <c r="AK141" s="49">
        <v>0</v>
      </c>
      <c r="AL141" s="48">
        <v>0</v>
      </c>
      <c r="AM141" s="49">
        <v>0</v>
      </c>
      <c r="AN141" s="48">
        <v>17</v>
      </c>
      <c r="AO141" s="49">
        <v>100</v>
      </c>
      <c r="AP141" s="48">
        <v>17</v>
      </c>
    </row>
    <row r="142" spans="1:42" ht="15">
      <c r="A142" s="65" t="s">
        <v>289</v>
      </c>
      <c r="B142" s="65" t="s">
        <v>286</v>
      </c>
      <c r="C142" s="66" t="s">
        <v>1901</v>
      </c>
      <c r="D142" s="67">
        <v>3</v>
      </c>
      <c r="E142" s="68"/>
      <c r="F142" s="69">
        <v>50</v>
      </c>
      <c r="G142" s="66"/>
      <c r="H142" s="70"/>
      <c r="I142" s="71"/>
      <c r="J142" s="71"/>
      <c r="K142" s="34" t="s">
        <v>66</v>
      </c>
      <c r="L142" s="78">
        <v>142</v>
      </c>
      <c r="M142" s="78"/>
      <c r="N142" s="73"/>
      <c r="O142" s="80" t="s">
        <v>332</v>
      </c>
      <c r="P142" s="80" t="s">
        <v>198</v>
      </c>
      <c r="Q142" s="80" t="s">
        <v>469</v>
      </c>
      <c r="R142" s="80" t="s">
        <v>289</v>
      </c>
      <c r="S142" s="80" t="s">
        <v>630</v>
      </c>
      <c r="T142" s="82" t="str">
        <f>HYPERLINK("http://www.youtube.com/channel/UC8l6BJlRhpdy3ecXdNh8BzA")</f>
        <v>http://www.youtube.com/channel/UC8l6BJlRhpdy3ecXdNh8BzA</v>
      </c>
      <c r="U142" s="80"/>
      <c r="V142" s="80" t="s">
        <v>782</v>
      </c>
      <c r="W142" s="82" t="str">
        <f>HYPERLINK("https://www.youtube.com/watch?v=fbDDm2cgc3I")</f>
        <v>https://www.youtube.com/watch?v=fbDDm2cgc3I</v>
      </c>
      <c r="X142" s="80" t="s">
        <v>794</v>
      </c>
      <c r="Y142" s="80">
        <v>3</v>
      </c>
      <c r="Z142" s="84">
        <v>44005.15634259259</v>
      </c>
      <c r="AA142" s="84">
        <v>44005.15634259259</v>
      </c>
      <c r="AB142" s="80"/>
      <c r="AC142" s="80"/>
      <c r="AD142" s="80"/>
      <c r="AE142">
        <v>1</v>
      </c>
      <c r="AF142" s="79" t="str">
        <f>REPLACE(INDEX(GroupVertices[Group],MATCH(Edges[[#This Row],[Vertex 1]],GroupVertices[Vertex],0)),1,1,"")</f>
        <v>10</v>
      </c>
      <c r="AG142" s="79" t="str">
        <f>REPLACE(INDEX(GroupVertices[Group],MATCH(Edges[[#This Row],[Vertex 2]],GroupVertices[Vertex],0)),1,1,"")</f>
        <v>10</v>
      </c>
      <c r="AH142" s="48">
        <v>0</v>
      </c>
      <c r="AI142" s="49">
        <v>0</v>
      </c>
      <c r="AJ142" s="48">
        <v>0</v>
      </c>
      <c r="AK142" s="49">
        <v>0</v>
      </c>
      <c r="AL142" s="48">
        <v>0</v>
      </c>
      <c r="AM142" s="49">
        <v>0</v>
      </c>
      <c r="AN142" s="48">
        <v>10</v>
      </c>
      <c r="AO142" s="49">
        <v>100</v>
      </c>
      <c r="AP142" s="48">
        <v>10</v>
      </c>
    </row>
    <row r="143" spans="1:42" ht="15">
      <c r="A143" s="65" t="s">
        <v>286</v>
      </c>
      <c r="B143" s="65" t="s">
        <v>290</v>
      </c>
      <c r="C143" s="66" t="s">
        <v>1900</v>
      </c>
      <c r="D143" s="67">
        <v>10</v>
      </c>
      <c r="E143" s="68"/>
      <c r="F143" s="69">
        <v>20</v>
      </c>
      <c r="G143" s="66"/>
      <c r="H143" s="70"/>
      <c r="I143" s="71"/>
      <c r="J143" s="71"/>
      <c r="K143" s="34" t="s">
        <v>66</v>
      </c>
      <c r="L143" s="78">
        <v>143</v>
      </c>
      <c r="M143" s="78"/>
      <c r="N143" s="73"/>
      <c r="O143" s="80" t="s">
        <v>331</v>
      </c>
      <c r="P143" s="80" t="s">
        <v>333</v>
      </c>
      <c r="Q143" s="80" t="s">
        <v>470</v>
      </c>
      <c r="R143" s="80" t="s">
        <v>286</v>
      </c>
      <c r="S143" s="80" t="s">
        <v>627</v>
      </c>
      <c r="T143" s="82" t="str">
        <f>HYPERLINK("http://www.youtube.com/channel/UCh7H5QEvSVPmzwGBI_y8jBA")</f>
        <v>http://www.youtube.com/channel/UCh7H5QEvSVPmzwGBI_y8jBA</v>
      </c>
      <c r="U143" s="80" t="s">
        <v>730</v>
      </c>
      <c r="V143" s="80" t="s">
        <v>782</v>
      </c>
      <c r="W143" s="82" t="str">
        <f>HYPERLINK("https://www.youtube.com/watch?v=fbDDm2cgc3I")</f>
        <v>https://www.youtube.com/watch?v=fbDDm2cgc3I</v>
      </c>
      <c r="X143" s="80" t="s">
        <v>794</v>
      </c>
      <c r="Y143" s="80">
        <v>0</v>
      </c>
      <c r="Z143" s="84">
        <v>44005.575266203705</v>
      </c>
      <c r="AA143" s="84">
        <v>44005.575266203705</v>
      </c>
      <c r="AB143" s="80"/>
      <c r="AC143" s="80"/>
      <c r="AD143" s="80"/>
      <c r="AE143">
        <v>2</v>
      </c>
      <c r="AF143" s="79" t="str">
        <f>REPLACE(INDEX(GroupVertices[Group],MATCH(Edges[[#This Row],[Vertex 1]],GroupVertices[Vertex],0)),1,1,"")</f>
        <v>10</v>
      </c>
      <c r="AG143" s="79" t="str">
        <f>REPLACE(INDEX(GroupVertices[Group],MATCH(Edges[[#This Row],[Vertex 2]],GroupVertices[Vertex],0)),1,1,"")</f>
        <v>10</v>
      </c>
      <c r="AH143" s="48">
        <v>0</v>
      </c>
      <c r="AI143" s="49">
        <v>0</v>
      </c>
      <c r="AJ143" s="48">
        <v>0</v>
      </c>
      <c r="AK143" s="49">
        <v>0</v>
      </c>
      <c r="AL143" s="48">
        <v>0</v>
      </c>
      <c r="AM143" s="49">
        <v>0</v>
      </c>
      <c r="AN143" s="48">
        <v>2</v>
      </c>
      <c r="AO143" s="49">
        <v>100</v>
      </c>
      <c r="AP143" s="48">
        <v>2</v>
      </c>
    </row>
    <row r="144" spans="1:42" ht="15">
      <c r="A144" s="65" t="s">
        <v>286</v>
      </c>
      <c r="B144" s="65" t="s">
        <v>290</v>
      </c>
      <c r="C144" s="66" t="s">
        <v>1900</v>
      </c>
      <c r="D144" s="67">
        <v>10</v>
      </c>
      <c r="E144" s="68"/>
      <c r="F144" s="69">
        <v>20</v>
      </c>
      <c r="G144" s="66"/>
      <c r="H144" s="70"/>
      <c r="I144" s="71"/>
      <c r="J144" s="71"/>
      <c r="K144" s="34" t="s">
        <v>66</v>
      </c>
      <c r="L144" s="78">
        <v>144</v>
      </c>
      <c r="M144" s="78"/>
      <c r="N144" s="73"/>
      <c r="O144" s="80" t="s">
        <v>331</v>
      </c>
      <c r="P144" s="80" t="s">
        <v>333</v>
      </c>
      <c r="Q144" s="80" t="s">
        <v>471</v>
      </c>
      <c r="R144" s="80" t="s">
        <v>286</v>
      </c>
      <c r="S144" s="80" t="s">
        <v>627</v>
      </c>
      <c r="T144" s="82" t="str">
        <f>HYPERLINK("http://www.youtube.com/channel/UCh7H5QEvSVPmzwGBI_y8jBA")</f>
        <v>http://www.youtube.com/channel/UCh7H5QEvSVPmzwGBI_y8jBA</v>
      </c>
      <c r="U144" s="80" t="s">
        <v>730</v>
      </c>
      <c r="V144" s="80" t="s">
        <v>782</v>
      </c>
      <c r="W144" s="82" t="str">
        <f>HYPERLINK("https://www.youtube.com/watch?v=fbDDm2cgc3I")</f>
        <v>https://www.youtube.com/watch?v=fbDDm2cgc3I</v>
      </c>
      <c r="X144" s="80" t="s">
        <v>794</v>
      </c>
      <c r="Y144" s="80">
        <v>0</v>
      </c>
      <c r="Z144" s="84">
        <v>44005.578726851854</v>
      </c>
      <c r="AA144" s="84">
        <v>44005.578726851854</v>
      </c>
      <c r="AB144" s="80"/>
      <c r="AC144" s="80"/>
      <c r="AD144" s="80"/>
      <c r="AE144">
        <v>2</v>
      </c>
      <c r="AF144" s="79" t="str">
        <f>REPLACE(INDEX(GroupVertices[Group],MATCH(Edges[[#This Row],[Vertex 1]],GroupVertices[Vertex],0)),1,1,"")</f>
        <v>10</v>
      </c>
      <c r="AG144" s="79" t="str">
        <f>REPLACE(INDEX(GroupVertices[Group],MATCH(Edges[[#This Row],[Vertex 2]],GroupVertices[Vertex],0)),1,1,"")</f>
        <v>10</v>
      </c>
      <c r="AH144" s="48">
        <v>0</v>
      </c>
      <c r="AI144" s="49">
        <v>0</v>
      </c>
      <c r="AJ144" s="48">
        <v>1</v>
      </c>
      <c r="AK144" s="49">
        <v>25</v>
      </c>
      <c r="AL144" s="48">
        <v>0</v>
      </c>
      <c r="AM144" s="49">
        <v>0</v>
      </c>
      <c r="AN144" s="48">
        <v>3</v>
      </c>
      <c r="AO144" s="49">
        <v>75</v>
      </c>
      <c r="AP144" s="48">
        <v>4</v>
      </c>
    </row>
    <row r="145" spans="1:42" ht="15">
      <c r="A145" s="65" t="s">
        <v>290</v>
      </c>
      <c r="B145" s="65" t="s">
        <v>286</v>
      </c>
      <c r="C145" s="66" t="s">
        <v>1901</v>
      </c>
      <c r="D145" s="67">
        <v>3</v>
      </c>
      <c r="E145" s="68"/>
      <c r="F145" s="69">
        <v>50</v>
      </c>
      <c r="G145" s="66"/>
      <c r="H145" s="70"/>
      <c r="I145" s="71"/>
      <c r="J145" s="71"/>
      <c r="K145" s="34" t="s">
        <v>66</v>
      </c>
      <c r="L145" s="78">
        <v>145</v>
      </c>
      <c r="M145" s="78"/>
      <c r="N145" s="73"/>
      <c r="O145" s="80" t="s">
        <v>332</v>
      </c>
      <c r="P145" s="80" t="s">
        <v>198</v>
      </c>
      <c r="Q145" s="80" t="s">
        <v>472</v>
      </c>
      <c r="R145" s="80" t="s">
        <v>290</v>
      </c>
      <c r="S145" s="80" t="s">
        <v>631</v>
      </c>
      <c r="T145" s="82" t="str">
        <f>HYPERLINK("http://www.youtube.com/channel/UCy46Vx-jNQI9J3nhF3-5gfA")</f>
        <v>http://www.youtube.com/channel/UCy46Vx-jNQI9J3nhF3-5gfA</v>
      </c>
      <c r="U145" s="80"/>
      <c r="V145" s="80" t="s">
        <v>782</v>
      </c>
      <c r="W145" s="82" t="str">
        <f>HYPERLINK("https://www.youtube.com/watch?v=fbDDm2cgc3I")</f>
        <v>https://www.youtube.com/watch?v=fbDDm2cgc3I</v>
      </c>
      <c r="X145" s="80" t="s">
        <v>794</v>
      </c>
      <c r="Y145" s="80">
        <v>3</v>
      </c>
      <c r="Z145" s="84">
        <v>44005.37666666666</v>
      </c>
      <c r="AA145" s="84">
        <v>44005.37666666666</v>
      </c>
      <c r="AB145" s="80"/>
      <c r="AC145" s="80"/>
      <c r="AD145" s="80"/>
      <c r="AE145">
        <v>1</v>
      </c>
      <c r="AF145" s="79" t="str">
        <f>REPLACE(INDEX(GroupVertices[Group],MATCH(Edges[[#This Row],[Vertex 1]],GroupVertices[Vertex],0)),1,1,"")</f>
        <v>10</v>
      </c>
      <c r="AG145" s="79" t="str">
        <f>REPLACE(INDEX(GroupVertices[Group],MATCH(Edges[[#This Row],[Vertex 2]],GroupVertices[Vertex],0)),1,1,"")</f>
        <v>10</v>
      </c>
      <c r="AH145" s="48">
        <v>1</v>
      </c>
      <c r="AI145" s="49">
        <v>16.666666666666668</v>
      </c>
      <c r="AJ145" s="48">
        <v>0</v>
      </c>
      <c r="AK145" s="49">
        <v>0</v>
      </c>
      <c r="AL145" s="48">
        <v>0</v>
      </c>
      <c r="AM145" s="49">
        <v>0</v>
      </c>
      <c r="AN145" s="48">
        <v>5</v>
      </c>
      <c r="AO145" s="49">
        <v>83.33333333333333</v>
      </c>
      <c r="AP145" s="48">
        <v>6</v>
      </c>
    </row>
    <row r="146" spans="1:42" ht="15">
      <c r="A146" s="65" t="s">
        <v>291</v>
      </c>
      <c r="B146" s="65" t="s">
        <v>292</v>
      </c>
      <c r="C146" s="66" t="s">
        <v>1901</v>
      </c>
      <c r="D146" s="67">
        <v>3</v>
      </c>
      <c r="E146" s="68"/>
      <c r="F146" s="69">
        <v>50</v>
      </c>
      <c r="G146" s="66"/>
      <c r="H146" s="70"/>
      <c r="I146" s="71"/>
      <c r="J146" s="71"/>
      <c r="K146" s="34" t="s">
        <v>66</v>
      </c>
      <c r="L146" s="78">
        <v>146</v>
      </c>
      <c r="M146" s="78"/>
      <c r="N146" s="73"/>
      <c r="O146" s="80" t="s">
        <v>331</v>
      </c>
      <c r="P146" s="80" t="s">
        <v>333</v>
      </c>
      <c r="Q146" s="80" t="s">
        <v>473</v>
      </c>
      <c r="R146" s="80" t="s">
        <v>291</v>
      </c>
      <c r="S146" s="80" t="s">
        <v>632</v>
      </c>
      <c r="T146" s="82" t="str">
        <f>HYPERLINK("http://www.youtube.com/channel/UC8WfKMGoSEpj3YsoIs5PTTQ")</f>
        <v>http://www.youtube.com/channel/UC8WfKMGoSEpj3YsoIs5PTTQ</v>
      </c>
      <c r="U146" s="80" t="s">
        <v>731</v>
      </c>
      <c r="V146" s="80" t="s">
        <v>783</v>
      </c>
      <c r="W146" s="82" t="str">
        <f>HYPERLINK("https://www.youtube.com/watch?v=Qg8YCS_D-F0")</f>
        <v>https://www.youtube.com/watch?v=Qg8YCS_D-F0</v>
      </c>
      <c r="X146" s="80" t="s">
        <v>794</v>
      </c>
      <c r="Y146" s="80">
        <v>0</v>
      </c>
      <c r="Z146" s="84">
        <v>44006.15096064815</v>
      </c>
      <c r="AA146" s="84">
        <v>44006.15096064815</v>
      </c>
      <c r="AB146" s="80"/>
      <c r="AC146" s="80"/>
      <c r="AD146" s="80"/>
      <c r="AE146">
        <v>1</v>
      </c>
      <c r="AF146" s="79" t="str">
        <f>REPLACE(INDEX(GroupVertices[Group],MATCH(Edges[[#This Row],[Vertex 1]],GroupVertices[Vertex],0)),1,1,"")</f>
        <v>21</v>
      </c>
      <c r="AG146" s="79" t="str">
        <f>REPLACE(INDEX(GroupVertices[Group],MATCH(Edges[[#This Row],[Vertex 2]],GroupVertices[Vertex],0)),1,1,"")</f>
        <v>21</v>
      </c>
      <c r="AH146" s="48">
        <v>0</v>
      </c>
      <c r="AI146" s="49">
        <v>0</v>
      </c>
      <c r="AJ146" s="48">
        <v>0</v>
      </c>
      <c r="AK146" s="49">
        <v>0</v>
      </c>
      <c r="AL146" s="48">
        <v>0</v>
      </c>
      <c r="AM146" s="49">
        <v>0</v>
      </c>
      <c r="AN146" s="48">
        <v>82</v>
      </c>
      <c r="AO146" s="49">
        <v>100</v>
      </c>
      <c r="AP146" s="48">
        <v>82</v>
      </c>
    </row>
    <row r="147" spans="1:42" ht="15">
      <c r="A147" s="65" t="s">
        <v>292</v>
      </c>
      <c r="B147" s="65" t="s">
        <v>291</v>
      </c>
      <c r="C147" s="66" t="s">
        <v>1901</v>
      </c>
      <c r="D147" s="67">
        <v>3</v>
      </c>
      <c r="E147" s="68"/>
      <c r="F147" s="69">
        <v>50</v>
      </c>
      <c r="G147" s="66"/>
      <c r="H147" s="70"/>
      <c r="I147" s="71"/>
      <c r="J147" s="71"/>
      <c r="K147" s="34" t="s">
        <v>66</v>
      </c>
      <c r="L147" s="78">
        <v>147</v>
      </c>
      <c r="M147" s="78"/>
      <c r="N147" s="73"/>
      <c r="O147" s="80" t="s">
        <v>332</v>
      </c>
      <c r="P147" s="80" t="s">
        <v>198</v>
      </c>
      <c r="Q147" s="80" t="s">
        <v>474</v>
      </c>
      <c r="R147" s="80" t="s">
        <v>292</v>
      </c>
      <c r="S147" s="80" t="s">
        <v>633</v>
      </c>
      <c r="T147" s="82" t="str">
        <f>HYPERLINK("http://www.youtube.com/channel/UCgG2soX4OfxzQoov6tiN-EQ")</f>
        <v>http://www.youtube.com/channel/UCgG2soX4OfxzQoov6tiN-EQ</v>
      </c>
      <c r="U147" s="80"/>
      <c r="V147" s="80" t="s">
        <v>783</v>
      </c>
      <c r="W147" s="82" t="str">
        <f>HYPERLINK("https://www.youtube.com/watch?v=Qg8YCS_D-F0")</f>
        <v>https://www.youtube.com/watch?v=Qg8YCS_D-F0</v>
      </c>
      <c r="X147" s="80" t="s">
        <v>794</v>
      </c>
      <c r="Y147" s="80">
        <v>1</v>
      </c>
      <c r="Z147" s="84">
        <v>44005.78991898148</v>
      </c>
      <c r="AA147" s="84">
        <v>44005.78991898148</v>
      </c>
      <c r="AB147" s="80"/>
      <c r="AC147" s="80"/>
      <c r="AD147" s="80"/>
      <c r="AE147">
        <v>1</v>
      </c>
      <c r="AF147" s="79" t="str">
        <f>REPLACE(INDEX(GroupVertices[Group],MATCH(Edges[[#This Row],[Vertex 1]],GroupVertices[Vertex],0)),1,1,"")</f>
        <v>21</v>
      </c>
      <c r="AG147" s="79" t="str">
        <f>REPLACE(INDEX(GroupVertices[Group],MATCH(Edges[[#This Row],[Vertex 2]],GroupVertices[Vertex],0)),1,1,"")</f>
        <v>21</v>
      </c>
      <c r="AH147" s="48">
        <v>0</v>
      </c>
      <c r="AI147" s="49">
        <v>0</v>
      </c>
      <c r="AJ147" s="48">
        <v>0</v>
      </c>
      <c r="AK147" s="49">
        <v>0</v>
      </c>
      <c r="AL147" s="48">
        <v>0</v>
      </c>
      <c r="AM147" s="49">
        <v>0</v>
      </c>
      <c r="AN147" s="48">
        <v>37</v>
      </c>
      <c r="AO147" s="49">
        <v>100</v>
      </c>
      <c r="AP147" s="48">
        <v>37</v>
      </c>
    </row>
    <row r="148" spans="1:42" ht="15">
      <c r="A148" s="65" t="s">
        <v>292</v>
      </c>
      <c r="B148" s="65" t="s">
        <v>292</v>
      </c>
      <c r="C148" s="66" t="s">
        <v>1901</v>
      </c>
      <c r="D148" s="67">
        <v>3</v>
      </c>
      <c r="E148" s="68"/>
      <c r="F148" s="69">
        <v>50</v>
      </c>
      <c r="G148" s="66"/>
      <c r="H148" s="70"/>
      <c r="I148" s="71"/>
      <c r="J148" s="71"/>
      <c r="K148" s="34" t="s">
        <v>65</v>
      </c>
      <c r="L148" s="78">
        <v>148</v>
      </c>
      <c r="M148" s="78"/>
      <c r="N148" s="73"/>
      <c r="O148" s="80" t="s">
        <v>331</v>
      </c>
      <c r="P148" s="80" t="s">
        <v>333</v>
      </c>
      <c r="Q148" s="80" t="s">
        <v>475</v>
      </c>
      <c r="R148" s="80" t="s">
        <v>292</v>
      </c>
      <c r="S148" s="80" t="s">
        <v>633</v>
      </c>
      <c r="T148" s="82" t="str">
        <f>HYPERLINK("http://www.youtube.com/channel/UCgG2soX4OfxzQoov6tiN-EQ")</f>
        <v>http://www.youtube.com/channel/UCgG2soX4OfxzQoov6tiN-EQ</v>
      </c>
      <c r="U148" s="80" t="s">
        <v>731</v>
      </c>
      <c r="V148" s="80" t="s">
        <v>783</v>
      </c>
      <c r="W148" s="82" t="str">
        <f>HYPERLINK("https://www.youtube.com/watch?v=Qg8YCS_D-F0")</f>
        <v>https://www.youtube.com/watch?v=Qg8YCS_D-F0</v>
      </c>
      <c r="X148" s="80" t="s">
        <v>794</v>
      </c>
      <c r="Y148" s="80">
        <v>0</v>
      </c>
      <c r="Z148" s="84">
        <v>44006.1621875</v>
      </c>
      <c r="AA148" s="84">
        <v>44006.1621875</v>
      </c>
      <c r="AB148" s="80"/>
      <c r="AC148" s="80"/>
      <c r="AD148" s="80"/>
      <c r="AE148">
        <v>1</v>
      </c>
      <c r="AF148" s="79" t="str">
        <f>REPLACE(INDEX(GroupVertices[Group],MATCH(Edges[[#This Row],[Vertex 1]],GroupVertices[Vertex],0)),1,1,"")</f>
        <v>21</v>
      </c>
      <c r="AG148" s="79" t="str">
        <f>REPLACE(INDEX(GroupVertices[Group],MATCH(Edges[[#This Row],[Vertex 2]],GroupVertices[Vertex],0)),1,1,"")</f>
        <v>21</v>
      </c>
      <c r="AH148" s="48">
        <v>0</v>
      </c>
      <c r="AI148" s="49">
        <v>0</v>
      </c>
      <c r="AJ148" s="48">
        <v>0</v>
      </c>
      <c r="AK148" s="49">
        <v>0</v>
      </c>
      <c r="AL148" s="48">
        <v>0</v>
      </c>
      <c r="AM148" s="49">
        <v>0</v>
      </c>
      <c r="AN148" s="48">
        <v>135</v>
      </c>
      <c r="AO148" s="49">
        <v>100</v>
      </c>
      <c r="AP148" s="48">
        <v>135</v>
      </c>
    </row>
    <row r="149" spans="1:42" ht="15">
      <c r="A149" s="65" t="s">
        <v>293</v>
      </c>
      <c r="B149" s="65" t="s">
        <v>294</v>
      </c>
      <c r="C149" s="66" t="s">
        <v>1901</v>
      </c>
      <c r="D149" s="67">
        <v>3</v>
      </c>
      <c r="E149" s="68"/>
      <c r="F149" s="69">
        <v>50</v>
      </c>
      <c r="G149" s="66"/>
      <c r="H149" s="70"/>
      <c r="I149" s="71"/>
      <c r="J149" s="71"/>
      <c r="K149" s="34" t="s">
        <v>66</v>
      </c>
      <c r="L149" s="78">
        <v>149</v>
      </c>
      <c r="M149" s="78"/>
      <c r="N149" s="73"/>
      <c r="O149" s="80" t="s">
        <v>331</v>
      </c>
      <c r="P149" s="80" t="s">
        <v>333</v>
      </c>
      <c r="Q149" s="80" t="s">
        <v>476</v>
      </c>
      <c r="R149" s="80" t="s">
        <v>293</v>
      </c>
      <c r="S149" s="80" t="s">
        <v>634</v>
      </c>
      <c r="T149" s="82" t="str">
        <f>HYPERLINK("http://www.youtube.com/channel/UCudRqu3McscDKUXXZgxxuAg")</f>
        <v>http://www.youtube.com/channel/UCudRqu3McscDKUXXZgxxuAg</v>
      </c>
      <c r="U149" s="80" t="s">
        <v>732</v>
      </c>
      <c r="V149" s="80" t="s">
        <v>784</v>
      </c>
      <c r="W149" s="82" t="str">
        <f>HYPERLINK("https://www.youtube.com/watch?v=Y5yKxJQmqhc")</f>
        <v>https://www.youtube.com/watch?v=Y5yKxJQmqhc</v>
      </c>
      <c r="X149" s="80" t="s">
        <v>794</v>
      </c>
      <c r="Y149" s="80">
        <v>0</v>
      </c>
      <c r="Z149" s="84">
        <v>44006.25443287037</v>
      </c>
      <c r="AA149" s="84">
        <v>44006.25443287037</v>
      </c>
      <c r="AB149" s="80"/>
      <c r="AC149" s="80"/>
      <c r="AD149" s="80"/>
      <c r="AE149">
        <v>1</v>
      </c>
      <c r="AF149" s="79" t="str">
        <f>REPLACE(INDEX(GroupVertices[Group],MATCH(Edges[[#This Row],[Vertex 1]],GroupVertices[Vertex],0)),1,1,"")</f>
        <v>13</v>
      </c>
      <c r="AG149" s="79" t="str">
        <f>REPLACE(INDEX(GroupVertices[Group],MATCH(Edges[[#This Row],[Vertex 2]],GroupVertices[Vertex],0)),1,1,"")</f>
        <v>13</v>
      </c>
      <c r="AH149" s="48">
        <v>0</v>
      </c>
      <c r="AI149" s="49">
        <v>0</v>
      </c>
      <c r="AJ149" s="48">
        <v>0</v>
      </c>
      <c r="AK149" s="49">
        <v>0</v>
      </c>
      <c r="AL149" s="48">
        <v>0</v>
      </c>
      <c r="AM149" s="49">
        <v>0</v>
      </c>
      <c r="AN149" s="48">
        <v>2</v>
      </c>
      <c r="AO149" s="49">
        <v>100</v>
      </c>
      <c r="AP149" s="48">
        <v>2</v>
      </c>
    </row>
    <row r="150" spans="1:42" ht="15">
      <c r="A150" s="65" t="s">
        <v>294</v>
      </c>
      <c r="B150" s="65" t="s">
        <v>293</v>
      </c>
      <c r="C150" s="66" t="s">
        <v>1901</v>
      </c>
      <c r="D150" s="67">
        <v>3</v>
      </c>
      <c r="E150" s="68"/>
      <c r="F150" s="69">
        <v>50</v>
      </c>
      <c r="G150" s="66"/>
      <c r="H150" s="70"/>
      <c r="I150" s="71"/>
      <c r="J150" s="71"/>
      <c r="K150" s="34" t="s">
        <v>66</v>
      </c>
      <c r="L150" s="78">
        <v>150</v>
      </c>
      <c r="M150" s="78"/>
      <c r="N150" s="73"/>
      <c r="O150" s="80" t="s">
        <v>332</v>
      </c>
      <c r="P150" s="80" t="s">
        <v>198</v>
      </c>
      <c r="Q150" s="80" t="s">
        <v>477</v>
      </c>
      <c r="R150" s="80" t="s">
        <v>294</v>
      </c>
      <c r="S150" s="80" t="s">
        <v>635</v>
      </c>
      <c r="T150" s="82" t="str">
        <f>HYPERLINK("http://www.youtube.com/channel/UCpKKVvQSctzPgpLyum794kg")</f>
        <v>http://www.youtube.com/channel/UCpKKVvQSctzPgpLyum794kg</v>
      </c>
      <c r="U150" s="80"/>
      <c r="V150" s="80" t="s">
        <v>784</v>
      </c>
      <c r="W150" s="82" t="str">
        <f>HYPERLINK("https://www.youtube.com/watch?v=Y5yKxJQmqhc")</f>
        <v>https://www.youtube.com/watch?v=Y5yKxJQmqhc</v>
      </c>
      <c r="X150" s="80" t="s">
        <v>794</v>
      </c>
      <c r="Y150" s="80">
        <v>1</v>
      </c>
      <c r="Z150" s="84">
        <v>44005.36023148148</v>
      </c>
      <c r="AA150" s="84">
        <v>44005.36023148148</v>
      </c>
      <c r="AB150" s="80"/>
      <c r="AC150" s="80"/>
      <c r="AD150" s="80"/>
      <c r="AE150">
        <v>1</v>
      </c>
      <c r="AF150" s="79" t="str">
        <f>REPLACE(INDEX(GroupVertices[Group],MATCH(Edges[[#This Row],[Vertex 1]],GroupVertices[Vertex],0)),1,1,"")</f>
        <v>13</v>
      </c>
      <c r="AG150" s="79" t="str">
        <f>REPLACE(INDEX(GroupVertices[Group],MATCH(Edges[[#This Row],[Vertex 2]],GroupVertices[Vertex],0)),1,1,"")</f>
        <v>13</v>
      </c>
      <c r="AH150" s="48">
        <v>0</v>
      </c>
      <c r="AI150" s="49">
        <v>0</v>
      </c>
      <c r="AJ150" s="48">
        <v>0</v>
      </c>
      <c r="AK150" s="49">
        <v>0</v>
      </c>
      <c r="AL150" s="48">
        <v>0</v>
      </c>
      <c r="AM150" s="49">
        <v>0</v>
      </c>
      <c r="AN150" s="48">
        <v>7</v>
      </c>
      <c r="AO150" s="49">
        <v>100</v>
      </c>
      <c r="AP150" s="48">
        <v>7</v>
      </c>
    </row>
    <row r="151" spans="1:42" ht="15">
      <c r="A151" s="65" t="s">
        <v>293</v>
      </c>
      <c r="B151" s="65" t="s">
        <v>295</v>
      </c>
      <c r="C151" s="66" t="s">
        <v>1901</v>
      </c>
      <c r="D151" s="67">
        <v>3</v>
      </c>
      <c r="E151" s="68"/>
      <c r="F151" s="69">
        <v>50</v>
      </c>
      <c r="G151" s="66"/>
      <c r="H151" s="70"/>
      <c r="I151" s="71"/>
      <c r="J151" s="71"/>
      <c r="K151" s="34" t="s">
        <v>66</v>
      </c>
      <c r="L151" s="78">
        <v>151</v>
      </c>
      <c r="M151" s="78"/>
      <c r="N151" s="73"/>
      <c r="O151" s="80" t="s">
        <v>331</v>
      </c>
      <c r="P151" s="80" t="s">
        <v>333</v>
      </c>
      <c r="Q151" s="80" t="s">
        <v>478</v>
      </c>
      <c r="R151" s="80" t="s">
        <v>293</v>
      </c>
      <c r="S151" s="80" t="s">
        <v>634</v>
      </c>
      <c r="T151" s="82" t="str">
        <f>HYPERLINK("http://www.youtube.com/channel/UCudRqu3McscDKUXXZgxxuAg")</f>
        <v>http://www.youtube.com/channel/UCudRqu3McscDKUXXZgxxuAg</v>
      </c>
      <c r="U151" s="80" t="s">
        <v>733</v>
      </c>
      <c r="V151" s="80" t="s">
        <v>784</v>
      </c>
      <c r="W151" s="82" t="str">
        <f>HYPERLINK("https://www.youtube.com/watch?v=Y5yKxJQmqhc")</f>
        <v>https://www.youtube.com/watch?v=Y5yKxJQmqhc</v>
      </c>
      <c r="X151" s="80" t="s">
        <v>794</v>
      </c>
      <c r="Y151" s="80">
        <v>0</v>
      </c>
      <c r="Z151" s="84">
        <v>44006.25414351852</v>
      </c>
      <c r="AA151" s="84">
        <v>44006.25414351852</v>
      </c>
      <c r="AB151" s="80"/>
      <c r="AC151" s="80"/>
      <c r="AD151" s="80"/>
      <c r="AE151">
        <v>1</v>
      </c>
      <c r="AF151" s="79" t="str">
        <f>REPLACE(INDEX(GroupVertices[Group],MATCH(Edges[[#This Row],[Vertex 1]],GroupVertices[Vertex],0)),1,1,"")</f>
        <v>13</v>
      </c>
      <c r="AG151" s="79" t="str">
        <f>REPLACE(INDEX(GroupVertices[Group],MATCH(Edges[[#This Row],[Vertex 2]],GroupVertices[Vertex],0)),1,1,"")</f>
        <v>13</v>
      </c>
      <c r="AH151" s="48">
        <v>0</v>
      </c>
      <c r="AI151" s="49">
        <v>0</v>
      </c>
      <c r="AJ151" s="48">
        <v>0</v>
      </c>
      <c r="AK151" s="49">
        <v>0</v>
      </c>
      <c r="AL151" s="48">
        <v>0</v>
      </c>
      <c r="AM151" s="49">
        <v>0</v>
      </c>
      <c r="AN151" s="48">
        <v>1</v>
      </c>
      <c r="AO151" s="49">
        <v>100</v>
      </c>
      <c r="AP151" s="48">
        <v>1</v>
      </c>
    </row>
    <row r="152" spans="1:42" ht="15">
      <c r="A152" s="65" t="s">
        <v>295</v>
      </c>
      <c r="B152" s="65" t="s">
        <v>293</v>
      </c>
      <c r="C152" s="66" t="s">
        <v>1901</v>
      </c>
      <c r="D152" s="67">
        <v>3</v>
      </c>
      <c r="E152" s="68"/>
      <c r="F152" s="69">
        <v>50</v>
      </c>
      <c r="G152" s="66"/>
      <c r="H152" s="70"/>
      <c r="I152" s="71"/>
      <c r="J152" s="71"/>
      <c r="K152" s="34" t="s">
        <v>66</v>
      </c>
      <c r="L152" s="78">
        <v>152</v>
      </c>
      <c r="M152" s="78"/>
      <c r="N152" s="73"/>
      <c r="O152" s="80" t="s">
        <v>332</v>
      </c>
      <c r="P152" s="80" t="s">
        <v>198</v>
      </c>
      <c r="Q152" s="80" t="s">
        <v>479</v>
      </c>
      <c r="R152" s="80" t="s">
        <v>295</v>
      </c>
      <c r="S152" s="80" t="s">
        <v>636</v>
      </c>
      <c r="T152" s="82" t="str">
        <f>HYPERLINK("http://www.youtube.com/channel/UCVCaB0WRwG9QZ6lBNXfu3Zw")</f>
        <v>http://www.youtube.com/channel/UCVCaB0WRwG9QZ6lBNXfu3Zw</v>
      </c>
      <c r="U152" s="80"/>
      <c r="V152" s="80" t="s">
        <v>784</v>
      </c>
      <c r="W152" s="82" t="str">
        <f>HYPERLINK("https://www.youtube.com/watch?v=Y5yKxJQmqhc")</f>
        <v>https://www.youtube.com/watch?v=Y5yKxJQmqhc</v>
      </c>
      <c r="X152" s="80" t="s">
        <v>794</v>
      </c>
      <c r="Y152" s="80">
        <v>1</v>
      </c>
      <c r="Z152" s="84">
        <v>44005.823171296295</v>
      </c>
      <c r="AA152" s="84">
        <v>44005.823171296295</v>
      </c>
      <c r="AB152" s="80"/>
      <c r="AC152" s="80"/>
      <c r="AD152" s="80"/>
      <c r="AE152">
        <v>1</v>
      </c>
      <c r="AF152" s="79" t="str">
        <f>REPLACE(INDEX(GroupVertices[Group],MATCH(Edges[[#This Row],[Vertex 1]],GroupVertices[Vertex],0)),1,1,"")</f>
        <v>13</v>
      </c>
      <c r="AG152" s="79" t="str">
        <f>REPLACE(INDEX(GroupVertices[Group],MATCH(Edges[[#This Row],[Vertex 2]],GroupVertices[Vertex],0)),1,1,"")</f>
        <v>13</v>
      </c>
      <c r="AH152" s="48">
        <v>0</v>
      </c>
      <c r="AI152" s="49">
        <v>0</v>
      </c>
      <c r="AJ152" s="48">
        <v>0</v>
      </c>
      <c r="AK152" s="49">
        <v>0</v>
      </c>
      <c r="AL152" s="48">
        <v>0</v>
      </c>
      <c r="AM152" s="49">
        <v>0</v>
      </c>
      <c r="AN152" s="48">
        <v>6</v>
      </c>
      <c r="AO152" s="49">
        <v>100</v>
      </c>
      <c r="AP152" s="48">
        <v>6</v>
      </c>
    </row>
    <row r="153" spans="1:42" ht="15">
      <c r="A153" s="65" t="s">
        <v>293</v>
      </c>
      <c r="B153" s="65" t="s">
        <v>296</v>
      </c>
      <c r="C153" s="66" t="s">
        <v>1901</v>
      </c>
      <c r="D153" s="67">
        <v>3</v>
      </c>
      <c r="E153" s="68"/>
      <c r="F153" s="69">
        <v>50</v>
      </c>
      <c r="G153" s="66"/>
      <c r="H153" s="70"/>
      <c r="I153" s="71"/>
      <c r="J153" s="71"/>
      <c r="K153" s="34" t="s">
        <v>66</v>
      </c>
      <c r="L153" s="78">
        <v>153</v>
      </c>
      <c r="M153" s="78"/>
      <c r="N153" s="73"/>
      <c r="O153" s="80" t="s">
        <v>331</v>
      </c>
      <c r="P153" s="80" t="s">
        <v>333</v>
      </c>
      <c r="Q153" s="80" t="s">
        <v>480</v>
      </c>
      <c r="R153" s="80" t="s">
        <v>293</v>
      </c>
      <c r="S153" s="80" t="s">
        <v>634</v>
      </c>
      <c r="T153" s="82" t="str">
        <f>HYPERLINK("http://www.youtube.com/channel/UCudRqu3McscDKUXXZgxxuAg")</f>
        <v>http://www.youtube.com/channel/UCudRqu3McscDKUXXZgxxuAg</v>
      </c>
      <c r="U153" s="80" t="s">
        <v>734</v>
      </c>
      <c r="V153" s="80" t="s">
        <v>784</v>
      </c>
      <c r="W153" s="82" t="str">
        <f>HYPERLINK("https://www.youtube.com/watch?v=Y5yKxJQmqhc")</f>
        <v>https://www.youtube.com/watch?v=Y5yKxJQmqhc</v>
      </c>
      <c r="X153" s="80" t="s">
        <v>794</v>
      </c>
      <c r="Y153" s="80">
        <v>1</v>
      </c>
      <c r="Z153" s="84">
        <v>44006.25398148148</v>
      </c>
      <c r="AA153" s="84">
        <v>44006.25398148148</v>
      </c>
      <c r="AB153" s="80"/>
      <c r="AC153" s="80"/>
      <c r="AD153" s="80"/>
      <c r="AE153">
        <v>1</v>
      </c>
      <c r="AF153" s="79" t="str">
        <f>REPLACE(INDEX(GroupVertices[Group],MATCH(Edges[[#This Row],[Vertex 1]],GroupVertices[Vertex],0)),1,1,"")</f>
        <v>13</v>
      </c>
      <c r="AG153" s="79" t="str">
        <f>REPLACE(INDEX(GroupVertices[Group],MATCH(Edges[[#This Row],[Vertex 2]],GroupVertices[Vertex],0)),1,1,"")</f>
        <v>13</v>
      </c>
      <c r="AH153" s="48">
        <v>1</v>
      </c>
      <c r="AI153" s="49">
        <v>7.6923076923076925</v>
      </c>
      <c r="AJ153" s="48">
        <v>0</v>
      </c>
      <c r="AK153" s="49">
        <v>0</v>
      </c>
      <c r="AL153" s="48">
        <v>0</v>
      </c>
      <c r="AM153" s="49">
        <v>0</v>
      </c>
      <c r="AN153" s="48">
        <v>12</v>
      </c>
      <c r="AO153" s="49">
        <v>92.3076923076923</v>
      </c>
      <c r="AP153" s="48">
        <v>13</v>
      </c>
    </row>
    <row r="154" spans="1:42" ht="15">
      <c r="A154" s="65" t="s">
        <v>296</v>
      </c>
      <c r="B154" s="65" t="s">
        <v>293</v>
      </c>
      <c r="C154" s="66" t="s">
        <v>1901</v>
      </c>
      <c r="D154" s="67">
        <v>3</v>
      </c>
      <c r="E154" s="68"/>
      <c r="F154" s="69">
        <v>50</v>
      </c>
      <c r="G154" s="66"/>
      <c r="H154" s="70"/>
      <c r="I154" s="71"/>
      <c r="J154" s="71"/>
      <c r="K154" s="34" t="s">
        <v>66</v>
      </c>
      <c r="L154" s="78">
        <v>154</v>
      </c>
      <c r="M154" s="78"/>
      <c r="N154" s="73"/>
      <c r="O154" s="80" t="s">
        <v>332</v>
      </c>
      <c r="P154" s="80" t="s">
        <v>198</v>
      </c>
      <c r="Q154" s="80" t="s">
        <v>481</v>
      </c>
      <c r="R154" s="80" t="s">
        <v>296</v>
      </c>
      <c r="S154" s="80" t="s">
        <v>637</v>
      </c>
      <c r="T154" s="82" t="str">
        <f>HYPERLINK("http://www.youtube.com/channel/UCtSduV4ON7H5eyXmIpkM5BA")</f>
        <v>http://www.youtube.com/channel/UCtSduV4ON7H5eyXmIpkM5BA</v>
      </c>
      <c r="U154" s="80"/>
      <c r="V154" s="80" t="s">
        <v>784</v>
      </c>
      <c r="W154" s="82" t="str">
        <f>HYPERLINK("https://www.youtube.com/watch?v=Y5yKxJQmqhc")</f>
        <v>https://www.youtube.com/watch?v=Y5yKxJQmqhc</v>
      </c>
      <c r="X154" s="80" t="s">
        <v>794</v>
      </c>
      <c r="Y154" s="80">
        <v>0</v>
      </c>
      <c r="Z154" s="84">
        <v>44006.21827546296</v>
      </c>
      <c r="AA154" s="84">
        <v>44006.21827546296</v>
      </c>
      <c r="AB154" s="80"/>
      <c r="AC154" s="80"/>
      <c r="AD154" s="80"/>
      <c r="AE154">
        <v>1</v>
      </c>
      <c r="AF154" s="79" t="str">
        <f>REPLACE(INDEX(GroupVertices[Group],MATCH(Edges[[#This Row],[Vertex 1]],GroupVertices[Vertex],0)),1,1,"")</f>
        <v>13</v>
      </c>
      <c r="AG154" s="79" t="str">
        <f>REPLACE(INDEX(GroupVertices[Group],MATCH(Edges[[#This Row],[Vertex 2]],GroupVertices[Vertex],0)),1,1,"")</f>
        <v>13</v>
      </c>
      <c r="AH154" s="48">
        <v>0</v>
      </c>
      <c r="AI154" s="49">
        <v>0</v>
      </c>
      <c r="AJ154" s="48">
        <v>0</v>
      </c>
      <c r="AK154" s="49">
        <v>0</v>
      </c>
      <c r="AL154" s="48">
        <v>0</v>
      </c>
      <c r="AM154" s="49">
        <v>0</v>
      </c>
      <c r="AN154" s="48">
        <v>12</v>
      </c>
      <c r="AO154" s="49">
        <v>100</v>
      </c>
      <c r="AP154" s="48">
        <v>12</v>
      </c>
    </row>
    <row r="155" spans="1:42" ht="15">
      <c r="A155" s="65" t="s">
        <v>296</v>
      </c>
      <c r="B155" s="65" t="s">
        <v>296</v>
      </c>
      <c r="C155" s="66" t="s">
        <v>1901</v>
      </c>
      <c r="D155" s="67">
        <v>3</v>
      </c>
      <c r="E155" s="68"/>
      <c r="F155" s="69">
        <v>50</v>
      </c>
      <c r="G155" s="66"/>
      <c r="H155" s="70"/>
      <c r="I155" s="71"/>
      <c r="J155" s="71"/>
      <c r="K155" s="34" t="s">
        <v>65</v>
      </c>
      <c r="L155" s="78">
        <v>155</v>
      </c>
      <c r="M155" s="78"/>
      <c r="N155" s="73"/>
      <c r="O155" s="80" t="s">
        <v>331</v>
      </c>
      <c r="P155" s="80" t="s">
        <v>333</v>
      </c>
      <c r="Q155" s="80" t="s">
        <v>482</v>
      </c>
      <c r="R155" s="80" t="s">
        <v>296</v>
      </c>
      <c r="S155" s="80" t="s">
        <v>637</v>
      </c>
      <c r="T155" s="82" t="str">
        <f>HYPERLINK("http://www.youtube.com/channel/UCtSduV4ON7H5eyXmIpkM5BA")</f>
        <v>http://www.youtube.com/channel/UCtSduV4ON7H5eyXmIpkM5BA</v>
      </c>
      <c r="U155" s="80" t="s">
        <v>734</v>
      </c>
      <c r="V155" s="80" t="s">
        <v>784</v>
      </c>
      <c r="W155" s="82" t="str">
        <f>HYPERLINK("https://www.youtube.com/watch?v=Y5yKxJQmqhc")</f>
        <v>https://www.youtube.com/watch?v=Y5yKxJQmqhc</v>
      </c>
      <c r="X155" s="80" t="s">
        <v>794</v>
      </c>
      <c r="Y155" s="80">
        <v>0</v>
      </c>
      <c r="Z155" s="84">
        <v>44006.26186342593</v>
      </c>
      <c r="AA155" s="84">
        <v>44006.26186342593</v>
      </c>
      <c r="AB155" s="80"/>
      <c r="AC155" s="80"/>
      <c r="AD155" s="80"/>
      <c r="AE155">
        <v>1</v>
      </c>
      <c r="AF155" s="79" t="str">
        <f>REPLACE(INDEX(GroupVertices[Group],MATCH(Edges[[#This Row],[Vertex 1]],GroupVertices[Vertex],0)),1,1,"")</f>
        <v>13</v>
      </c>
      <c r="AG155" s="79" t="str">
        <f>REPLACE(INDEX(GroupVertices[Group],MATCH(Edges[[#This Row],[Vertex 2]],GroupVertices[Vertex],0)),1,1,"")</f>
        <v>13</v>
      </c>
      <c r="AH155" s="48">
        <v>1</v>
      </c>
      <c r="AI155" s="49">
        <v>7.6923076923076925</v>
      </c>
      <c r="AJ155" s="48">
        <v>0</v>
      </c>
      <c r="AK155" s="49">
        <v>0</v>
      </c>
      <c r="AL155" s="48">
        <v>0</v>
      </c>
      <c r="AM155" s="49">
        <v>0</v>
      </c>
      <c r="AN155" s="48">
        <v>12</v>
      </c>
      <c r="AO155" s="49">
        <v>92.3076923076923</v>
      </c>
      <c r="AP155" s="48">
        <v>13</v>
      </c>
    </row>
    <row r="156" spans="1:42" ht="15">
      <c r="A156" s="65" t="s">
        <v>297</v>
      </c>
      <c r="B156" s="65" t="s">
        <v>280</v>
      </c>
      <c r="C156" s="66" t="s">
        <v>1900</v>
      </c>
      <c r="D156" s="67">
        <v>10</v>
      </c>
      <c r="E156" s="68"/>
      <c r="F156" s="69">
        <v>20</v>
      </c>
      <c r="G156" s="66"/>
      <c r="H156" s="70"/>
      <c r="I156" s="71"/>
      <c r="J156" s="71"/>
      <c r="K156" s="34" t="s">
        <v>66</v>
      </c>
      <c r="L156" s="78">
        <v>156</v>
      </c>
      <c r="M156" s="78"/>
      <c r="N156" s="73"/>
      <c r="O156" s="80" t="s">
        <v>331</v>
      </c>
      <c r="P156" s="80" t="s">
        <v>333</v>
      </c>
      <c r="Q156" s="80" t="s">
        <v>483</v>
      </c>
      <c r="R156" s="80" t="s">
        <v>297</v>
      </c>
      <c r="S156" s="80" t="s">
        <v>638</v>
      </c>
      <c r="T156" s="82" t="str">
        <f>HYPERLINK("http://www.youtube.com/channel/UCjg2kAW7dd0nmCmHrCSVUng")</f>
        <v>http://www.youtube.com/channel/UCjg2kAW7dd0nmCmHrCSVUng</v>
      </c>
      <c r="U156" s="80" t="s">
        <v>735</v>
      </c>
      <c r="V156" s="80" t="s">
        <v>785</v>
      </c>
      <c r="W156" s="82" t="str">
        <f>HYPERLINK("https://www.youtube.com/watch?v=akBaF-KDeSU")</f>
        <v>https://www.youtube.com/watch?v=akBaF-KDeSU</v>
      </c>
      <c r="X156" s="80" t="s">
        <v>794</v>
      </c>
      <c r="Y156" s="80">
        <v>0</v>
      </c>
      <c r="Z156" s="84">
        <v>44003.79703703704</v>
      </c>
      <c r="AA156" s="84">
        <v>44003.79703703704</v>
      </c>
      <c r="AB156" s="80"/>
      <c r="AC156" s="80"/>
      <c r="AD156" s="80"/>
      <c r="AE156">
        <v>4</v>
      </c>
      <c r="AF156" s="79" t="str">
        <f>REPLACE(INDEX(GroupVertices[Group],MATCH(Edges[[#This Row],[Vertex 1]],GroupVertices[Vertex],0)),1,1,"")</f>
        <v>3</v>
      </c>
      <c r="AG156" s="79" t="str">
        <f>REPLACE(INDEX(GroupVertices[Group],MATCH(Edges[[#This Row],[Vertex 2]],GroupVertices[Vertex],0)),1,1,"")</f>
        <v>3</v>
      </c>
      <c r="AH156" s="48">
        <v>1</v>
      </c>
      <c r="AI156" s="49">
        <v>16.666666666666668</v>
      </c>
      <c r="AJ156" s="48">
        <v>0</v>
      </c>
      <c r="AK156" s="49">
        <v>0</v>
      </c>
      <c r="AL156" s="48">
        <v>0</v>
      </c>
      <c r="AM156" s="49">
        <v>0</v>
      </c>
      <c r="AN156" s="48">
        <v>5</v>
      </c>
      <c r="AO156" s="49">
        <v>83.33333333333333</v>
      </c>
      <c r="AP156" s="48">
        <v>6</v>
      </c>
    </row>
    <row r="157" spans="1:42" ht="15">
      <c r="A157" s="65" t="s">
        <v>298</v>
      </c>
      <c r="B157" s="65" t="s">
        <v>280</v>
      </c>
      <c r="C157" s="66" t="s">
        <v>1900</v>
      </c>
      <c r="D157" s="67">
        <v>10</v>
      </c>
      <c r="E157" s="68"/>
      <c r="F157" s="69">
        <v>20</v>
      </c>
      <c r="G157" s="66"/>
      <c r="H157" s="70"/>
      <c r="I157" s="71"/>
      <c r="J157" s="71"/>
      <c r="K157" s="34" t="s">
        <v>65</v>
      </c>
      <c r="L157" s="78">
        <v>157</v>
      </c>
      <c r="M157" s="78"/>
      <c r="N157" s="73"/>
      <c r="O157" s="80" t="s">
        <v>331</v>
      </c>
      <c r="P157" s="80" t="s">
        <v>333</v>
      </c>
      <c r="Q157" s="80" t="s">
        <v>484</v>
      </c>
      <c r="R157" s="80" t="s">
        <v>298</v>
      </c>
      <c r="S157" s="80" t="s">
        <v>639</v>
      </c>
      <c r="T157" s="82" t="str">
        <f>HYPERLINK("http://www.youtube.com/channel/UC1rRu-VgjGKeuGQmoEs_oag")</f>
        <v>http://www.youtube.com/channel/UC1rRu-VgjGKeuGQmoEs_oag</v>
      </c>
      <c r="U157" s="80" t="s">
        <v>735</v>
      </c>
      <c r="V157" s="80" t="s">
        <v>785</v>
      </c>
      <c r="W157" s="82" t="str">
        <f>HYPERLINK("https://www.youtube.com/watch?v=akBaF-KDeSU")</f>
        <v>https://www.youtube.com/watch?v=akBaF-KDeSU</v>
      </c>
      <c r="X157" s="80" t="s">
        <v>794</v>
      </c>
      <c r="Y157" s="80">
        <v>0</v>
      </c>
      <c r="Z157" s="84">
        <v>44003.855474537035</v>
      </c>
      <c r="AA157" s="84">
        <v>44003.855474537035</v>
      </c>
      <c r="AB157" s="80"/>
      <c r="AC157" s="80"/>
      <c r="AD157" s="80"/>
      <c r="AE157">
        <v>2</v>
      </c>
      <c r="AF157" s="79" t="str">
        <f>REPLACE(INDEX(GroupVertices[Group],MATCH(Edges[[#This Row],[Vertex 1]],GroupVertices[Vertex],0)),1,1,"")</f>
        <v>3</v>
      </c>
      <c r="AG157" s="79" t="str">
        <f>REPLACE(INDEX(GroupVertices[Group],MATCH(Edges[[#This Row],[Vertex 2]],GroupVertices[Vertex],0)),1,1,"")</f>
        <v>3</v>
      </c>
      <c r="AH157" s="48">
        <v>0</v>
      </c>
      <c r="AI157" s="49">
        <v>0</v>
      </c>
      <c r="AJ157" s="48">
        <v>0</v>
      </c>
      <c r="AK157" s="49">
        <v>0</v>
      </c>
      <c r="AL157" s="48">
        <v>0</v>
      </c>
      <c r="AM157" s="49">
        <v>0</v>
      </c>
      <c r="AN157" s="48">
        <v>23</v>
      </c>
      <c r="AO157" s="49">
        <v>100</v>
      </c>
      <c r="AP157" s="48">
        <v>23</v>
      </c>
    </row>
    <row r="158" spans="1:42" ht="15">
      <c r="A158" s="65" t="s">
        <v>297</v>
      </c>
      <c r="B158" s="65" t="s">
        <v>280</v>
      </c>
      <c r="C158" s="66" t="s">
        <v>1900</v>
      </c>
      <c r="D158" s="67">
        <v>10</v>
      </c>
      <c r="E158" s="68"/>
      <c r="F158" s="69">
        <v>20</v>
      </c>
      <c r="G158" s="66"/>
      <c r="H158" s="70"/>
      <c r="I158" s="71"/>
      <c r="J158" s="71"/>
      <c r="K158" s="34" t="s">
        <v>66</v>
      </c>
      <c r="L158" s="78">
        <v>158</v>
      </c>
      <c r="M158" s="78"/>
      <c r="N158" s="73"/>
      <c r="O158" s="80" t="s">
        <v>331</v>
      </c>
      <c r="P158" s="80" t="s">
        <v>333</v>
      </c>
      <c r="Q158" s="80" t="s">
        <v>485</v>
      </c>
      <c r="R158" s="80" t="s">
        <v>297</v>
      </c>
      <c r="S158" s="80" t="s">
        <v>638</v>
      </c>
      <c r="T158" s="82" t="str">
        <f>HYPERLINK("http://www.youtube.com/channel/UCjg2kAW7dd0nmCmHrCSVUng")</f>
        <v>http://www.youtube.com/channel/UCjg2kAW7dd0nmCmHrCSVUng</v>
      </c>
      <c r="U158" s="80" t="s">
        <v>735</v>
      </c>
      <c r="V158" s="80" t="s">
        <v>785</v>
      </c>
      <c r="W158" s="82" t="str">
        <f>HYPERLINK("https://www.youtube.com/watch?v=akBaF-KDeSU")</f>
        <v>https://www.youtube.com/watch?v=akBaF-KDeSU</v>
      </c>
      <c r="X158" s="80" t="s">
        <v>794</v>
      </c>
      <c r="Y158" s="80">
        <v>0</v>
      </c>
      <c r="Z158" s="84">
        <v>44003.87074074074</v>
      </c>
      <c r="AA158" s="84">
        <v>44003.87074074074</v>
      </c>
      <c r="AB158" s="80"/>
      <c r="AC158" s="80"/>
      <c r="AD158" s="80"/>
      <c r="AE158">
        <v>4</v>
      </c>
      <c r="AF158" s="79" t="str">
        <f>REPLACE(INDEX(GroupVertices[Group],MATCH(Edges[[#This Row],[Vertex 1]],GroupVertices[Vertex],0)),1,1,"")</f>
        <v>3</v>
      </c>
      <c r="AG158" s="79" t="str">
        <f>REPLACE(INDEX(GroupVertices[Group],MATCH(Edges[[#This Row],[Vertex 2]],GroupVertices[Vertex],0)),1,1,"")</f>
        <v>3</v>
      </c>
      <c r="AH158" s="48">
        <v>2</v>
      </c>
      <c r="AI158" s="49">
        <v>13.333333333333334</v>
      </c>
      <c r="AJ158" s="48">
        <v>0</v>
      </c>
      <c r="AK158" s="49">
        <v>0</v>
      </c>
      <c r="AL158" s="48">
        <v>0</v>
      </c>
      <c r="AM158" s="49">
        <v>0</v>
      </c>
      <c r="AN158" s="48">
        <v>13</v>
      </c>
      <c r="AO158" s="49">
        <v>86.66666666666667</v>
      </c>
      <c r="AP158" s="48">
        <v>15</v>
      </c>
    </row>
    <row r="159" spans="1:42" ht="15">
      <c r="A159" s="65" t="s">
        <v>298</v>
      </c>
      <c r="B159" s="65" t="s">
        <v>280</v>
      </c>
      <c r="C159" s="66" t="s">
        <v>1900</v>
      </c>
      <c r="D159" s="67">
        <v>10</v>
      </c>
      <c r="E159" s="68"/>
      <c r="F159" s="69">
        <v>20</v>
      </c>
      <c r="G159" s="66"/>
      <c r="H159" s="70"/>
      <c r="I159" s="71"/>
      <c r="J159" s="71"/>
      <c r="K159" s="34" t="s">
        <v>65</v>
      </c>
      <c r="L159" s="78">
        <v>159</v>
      </c>
      <c r="M159" s="78"/>
      <c r="N159" s="73"/>
      <c r="O159" s="80" t="s">
        <v>331</v>
      </c>
      <c r="P159" s="80" t="s">
        <v>333</v>
      </c>
      <c r="Q159" s="80" t="s">
        <v>486</v>
      </c>
      <c r="R159" s="80" t="s">
        <v>298</v>
      </c>
      <c r="S159" s="80" t="s">
        <v>639</v>
      </c>
      <c r="T159" s="82" t="str">
        <f>HYPERLINK("http://www.youtube.com/channel/UC1rRu-VgjGKeuGQmoEs_oag")</f>
        <v>http://www.youtube.com/channel/UC1rRu-VgjGKeuGQmoEs_oag</v>
      </c>
      <c r="U159" s="80" t="s">
        <v>735</v>
      </c>
      <c r="V159" s="80" t="s">
        <v>785</v>
      </c>
      <c r="W159" s="82" t="str">
        <f>HYPERLINK("https://www.youtube.com/watch?v=akBaF-KDeSU")</f>
        <v>https://www.youtube.com/watch?v=akBaF-KDeSU</v>
      </c>
      <c r="X159" s="80" t="s">
        <v>794</v>
      </c>
      <c r="Y159" s="80">
        <v>0</v>
      </c>
      <c r="Z159" s="84">
        <v>44003.88012731481</v>
      </c>
      <c r="AA159" s="84">
        <v>44003.88012731481</v>
      </c>
      <c r="AB159" s="80"/>
      <c r="AC159" s="80"/>
      <c r="AD159" s="80"/>
      <c r="AE159">
        <v>2</v>
      </c>
      <c r="AF159" s="79" t="str">
        <f>REPLACE(INDEX(GroupVertices[Group],MATCH(Edges[[#This Row],[Vertex 1]],GroupVertices[Vertex],0)),1,1,"")</f>
        <v>3</v>
      </c>
      <c r="AG159" s="79" t="str">
        <f>REPLACE(INDEX(GroupVertices[Group],MATCH(Edges[[#This Row],[Vertex 2]],GroupVertices[Vertex],0)),1,1,"")</f>
        <v>3</v>
      </c>
      <c r="AH159" s="48">
        <v>0</v>
      </c>
      <c r="AI159" s="49">
        <v>0</v>
      </c>
      <c r="AJ159" s="48">
        <v>0</v>
      </c>
      <c r="AK159" s="49">
        <v>0</v>
      </c>
      <c r="AL159" s="48">
        <v>0</v>
      </c>
      <c r="AM159" s="49">
        <v>0</v>
      </c>
      <c r="AN159" s="48">
        <v>15</v>
      </c>
      <c r="AO159" s="49">
        <v>100</v>
      </c>
      <c r="AP159" s="48">
        <v>15</v>
      </c>
    </row>
    <row r="160" spans="1:42" ht="15">
      <c r="A160" s="65" t="s">
        <v>280</v>
      </c>
      <c r="B160" s="65" t="s">
        <v>297</v>
      </c>
      <c r="C160" s="66" t="s">
        <v>1900</v>
      </c>
      <c r="D160" s="67">
        <v>10</v>
      </c>
      <c r="E160" s="68"/>
      <c r="F160" s="69">
        <v>20</v>
      </c>
      <c r="G160" s="66"/>
      <c r="H160" s="70"/>
      <c r="I160" s="71"/>
      <c r="J160" s="71"/>
      <c r="K160" s="34" t="s">
        <v>66</v>
      </c>
      <c r="L160" s="78">
        <v>160</v>
      </c>
      <c r="M160" s="78"/>
      <c r="N160" s="73"/>
      <c r="O160" s="80" t="s">
        <v>332</v>
      </c>
      <c r="P160" s="80" t="s">
        <v>198</v>
      </c>
      <c r="Q160" s="80" t="s">
        <v>487</v>
      </c>
      <c r="R160" s="80" t="s">
        <v>280</v>
      </c>
      <c r="S160" s="80" t="s">
        <v>621</v>
      </c>
      <c r="T160" s="82" t="str">
        <f>HYPERLINK("http://www.youtube.com/channel/UCxmSF_xV8EqQkoPYJL0bQLA")</f>
        <v>http://www.youtube.com/channel/UCxmSF_xV8EqQkoPYJL0bQLA</v>
      </c>
      <c r="U160" s="80"/>
      <c r="V160" s="80" t="s">
        <v>785</v>
      </c>
      <c r="W160" s="82" t="str">
        <f>HYPERLINK("https://www.youtube.com/watch?v=akBaF-KDeSU")</f>
        <v>https://www.youtube.com/watch?v=akBaF-KDeSU</v>
      </c>
      <c r="X160" s="80" t="s">
        <v>794</v>
      </c>
      <c r="Y160" s="80">
        <v>0</v>
      </c>
      <c r="Z160" s="84">
        <v>44003.74642361111</v>
      </c>
      <c r="AA160" s="84">
        <v>44003.74642361111</v>
      </c>
      <c r="AB160" s="80"/>
      <c r="AC160" s="80"/>
      <c r="AD160" s="80"/>
      <c r="AE160">
        <v>3</v>
      </c>
      <c r="AF160" s="79" t="str">
        <f>REPLACE(INDEX(GroupVertices[Group],MATCH(Edges[[#This Row],[Vertex 1]],GroupVertices[Vertex],0)),1,1,"")</f>
        <v>3</v>
      </c>
      <c r="AG160" s="79" t="str">
        <f>REPLACE(INDEX(GroupVertices[Group],MATCH(Edges[[#This Row],[Vertex 2]],GroupVertices[Vertex],0)),1,1,"")</f>
        <v>3</v>
      </c>
      <c r="AH160" s="48">
        <v>0</v>
      </c>
      <c r="AI160" s="49">
        <v>0</v>
      </c>
      <c r="AJ160" s="48">
        <v>0</v>
      </c>
      <c r="AK160" s="49">
        <v>0</v>
      </c>
      <c r="AL160" s="48">
        <v>0</v>
      </c>
      <c r="AM160" s="49">
        <v>0</v>
      </c>
      <c r="AN160" s="48">
        <v>13</v>
      </c>
      <c r="AO160" s="49">
        <v>100</v>
      </c>
      <c r="AP160" s="48">
        <v>13</v>
      </c>
    </row>
    <row r="161" spans="1:42" ht="15">
      <c r="A161" s="65" t="s">
        <v>297</v>
      </c>
      <c r="B161" s="65" t="s">
        <v>280</v>
      </c>
      <c r="C161" s="66" t="s">
        <v>1900</v>
      </c>
      <c r="D161" s="67">
        <v>10</v>
      </c>
      <c r="E161" s="68"/>
      <c r="F161" s="69">
        <v>20</v>
      </c>
      <c r="G161" s="66"/>
      <c r="H161" s="70"/>
      <c r="I161" s="71"/>
      <c r="J161" s="71"/>
      <c r="K161" s="34" t="s">
        <v>66</v>
      </c>
      <c r="L161" s="78">
        <v>161</v>
      </c>
      <c r="M161" s="78"/>
      <c r="N161" s="73"/>
      <c r="O161" s="80" t="s">
        <v>331</v>
      </c>
      <c r="P161" s="80" t="s">
        <v>333</v>
      </c>
      <c r="Q161" s="80" t="s">
        <v>488</v>
      </c>
      <c r="R161" s="80" t="s">
        <v>297</v>
      </c>
      <c r="S161" s="80" t="s">
        <v>638</v>
      </c>
      <c r="T161" s="82" t="str">
        <f>HYPERLINK("http://www.youtube.com/channel/UCjg2kAW7dd0nmCmHrCSVUng")</f>
        <v>http://www.youtube.com/channel/UCjg2kAW7dd0nmCmHrCSVUng</v>
      </c>
      <c r="U161" s="80" t="s">
        <v>736</v>
      </c>
      <c r="V161" s="80" t="s">
        <v>785</v>
      </c>
      <c r="W161" s="82" t="str">
        <f>HYPERLINK("https://www.youtube.com/watch?v=akBaF-KDeSU")</f>
        <v>https://www.youtube.com/watch?v=akBaF-KDeSU</v>
      </c>
      <c r="X161" s="80" t="s">
        <v>794</v>
      </c>
      <c r="Y161" s="80">
        <v>0</v>
      </c>
      <c r="Z161" s="84">
        <v>44003.7977662037</v>
      </c>
      <c r="AA161" s="84">
        <v>44003.7977662037</v>
      </c>
      <c r="AB161" s="80" t="s">
        <v>806</v>
      </c>
      <c r="AC161" s="80" t="s">
        <v>819</v>
      </c>
      <c r="AD161" s="80"/>
      <c r="AE161">
        <v>4</v>
      </c>
      <c r="AF161" s="79" t="str">
        <f>REPLACE(INDEX(GroupVertices[Group],MATCH(Edges[[#This Row],[Vertex 1]],GroupVertices[Vertex],0)),1,1,"")</f>
        <v>3</v>
      </c>
      <c r="AG161" s="79" t="str">
        <f>REPLACE(INDEX(GroupVertices[Group],MATCH(Edges[[#This Row],[Vertex 2]],GroupVertices[Vertex],0)),1,1,"")</f>
        <v>3</v>
      </c>
      <c r="AH161" s="48">
        <v>0</v>
      </c>
      <c r="AI161" s="49">
        <v>0</v>
      </c>
      <c r="AJ161" s="48">
        <v>0</v>
      </c>
      <c r="AK161" s="49">
        <v>0</v>
      </c>
      <c r="AL161" s="48">
        <v>0</v>
      </c>
      <c r="AM161" s="49">
        <v>0</v>
      </c>
      <c r="AN161" s="48">
        <v>31</v>
      </c>
      <c r="AO161" s="49">
        <v>100</v>
      </c>
      <c r="AP161" s="48">
        <v>31</v>
      </c>
    </row>
    <row r="162" spans="1:42" ht="15">
      <c r="A162" s="65" t="s">
        <v>280</v>
      </c>
      <c r="B162" s="65" t="s">
        <v>297</v>
      </c>
      <c r="C162" s="66" t="s">
        <v>1900</v>
      </c>
      <c r="D162" s="67">
        <v>10</v>
      </c>
      <c r="E162" s="68"/>
      <c r="F162" s="69">
        <v>20</v>
      </c>
      <c r="G162" s="66"/>
      <c r="H162" s="70"/>
      <c r="I162" s="71"/>
      <c r="J162" s="71"/>
      <c r="K162" s="34" t="s">
        <v>66</v>
      </c>
      <c r="L162" s="78">
        <v>162</v>
      </c>
      <c r="M162" s="78"/>
      <c r="N162" s="73"/>
      <c r="O162" s="80" t="s">
        <v>332</v>
      </c>
      <c r="P162" s="80" t="s">
        <v>198</v>
      </c>
      <c r="Q162" s="80" t="s">
        <v>489</v>
      </c>
      <c r="R162" s="80" t="s">
        <v>280</v>
      </c>
      <c r="S162" s="80" t="s">
        <v>621</v>
      </c>
      <c r="T162" s="82" t="str">
        <f>HYPERLINK("http://www.youtube.com/channel/UCxmSF_xV8EqQkoPYJL0bQLA")</f>
        <v>http://www.youtube.com/channel/UCxmSF_xV8EqQkoPYJL0bQLA</v>
      </c>
      <c r="U162" s="80"/>
      <c r="V162" s="80" t="s">
        <v>785</v>
      </c>
      <c r="W162" s="82" t="str">
        <f>HYPERLINK("https://www.youtube.com/watch?v=akBaF-KDeSU")</f>
        <v>https://www.youtube.com/watch?v=akBaF-KDeSU</v>
      </c>
      <c r="X162" s="80" t="s">
        <v>794</v>
      </c>
      <c r="Y162" s="80">
        <v>0</v>
      </c>
      <c r="Z162" s="84">
        <v>44003.74667824074</v>
      </c>
      <c r="AA162" s="84">
        <v>44003.74667824074</v>
      </c>
      <c r="AB162" s="80"/>
      <c r="AC162" s="80"/>
      <c r="AD162" s="80"/>
      <c r="AE162">
        <v>3</v>
      </c>
      <c r="AF162" s="79" t="str">
        <f>REPLACE(INDEX(GroupVertices[Group],MATCH(Edges[[#This Row],[Vertex 1]],GroupVertices[Vertex],0)),1,1,"")</f>
        <v>3</v>
      </c>
      <c r="AG162" s="79" t="str">
        <f>REPLACE(INDEX(GroupVertices[Group],MATCH(Edges[[#This Row],[Vertex 2]],GroupVertices[Vertex],0)),1,1,"")</f>
        <v>3</v>
      </c>
      <c r="AH162" s="48">
        <v>0</v>
      </c>
      <c r="AI162" s="49">
        <v>0</v>
      </c>
      <c r="AJ162" s="48">
        <v>0</v>
      </c>
      <c r="AK162" s="49">
        <v>0</v>
      </c>
      <c r="AL162" s="48">
        <v>0</v>
      </c>
      <c r="AM162" s="49">
        <v>0</v>
      </c>
      <c r="AN162" s="48">
        <v>2</v>
      </c>
      <c r="AO162" s="49">
        <v>100</v>
      </c>
      <c r="AP162" s="48">
        <v>2</v>
      </c>
    </row>
    <row r="163" spans="1:42" ht="15">
      <c r="A163" s="65" t="s">
        <v>280</v>
      </c>
      <c r="B163" s="65" t="s">
        <v>280</v>
      </c>
      <c r="C163" s="66" t="s">
        <v>1900</v>
      </c>
      <c r="D163" s="67">
        <v>10</v>
      </c>
      <c r="E163" s="68"/>
      <c r="F163" s="69">
        <v>20</v>
      </c>
      <c r="G163" s="66"/>
      <c r="H163" s="70"/>
      <c r="I163" s="71"/>
      <c r="J163" s="71"/>
      <c r="K163" s="34" t="s">
        <v>65</v>
      </c>
      <c r="L163" s="78">
        <v>163</v>
      </c>
      <c r="M163" s="78"/>
      <c r="N163" s="73"/>
      <c r="O163" s="80" t="s">
        <v>331</v>
      </c>
      <c r="P163" s="80" t="s">
        <v>333</v>
      </c>
      <c r="Q163" s="80" t="s">
        <v>490</v>
      </c>
      <c r="R163" s="80" t="s">
        <v>280</v>
      </c>
      <c r="S163" s="80" t="s">
        <v>621</v>
      </c>
      <c r="T163" s="82" t="str">
        <f>HYPERLINK("http://www.youtube.com/channel/UCxmSF_xV8EqQkoPYJL0bQLA")</f>
        <v>http://www.youtube.com/channel/UCxmSF_xV8EqQkoPYJL0bQLA</v>
      </c>
      <c r="U163" s="80" t="s">
        <v>719</v>
      </c>
      <c r="V163" s="80" t="s">
        <v>775</v>
      </c>
      <c r="W163" s="82" t="str">
        <f>HYPERLINK("https://www.youtube.com/watch?v=67NAObstdUs")</f>
        <v>https://www.youtube.com/watch?v=67NAObstdUs</v>
      </c>
      <c r="X163" s="80" t="s">
        <v>794</v>
      </c>
      <c r="Y163" s="80">
        <v>0</v>
      </c>
      <c r="Z163" s="84">
        <v>44003.981875</v>
      </c>
      <c r="AA163" s="84">
        <v>44003.981875</v>
      </c>
      <c r="AB163" s="80"/>
      <c r="AC163" s="80"/>
      <c r="AD163" s="80"/>
      <c r="AE163">
        <v>2</v>
      </c>
      <c r="AF163" s="79" t="str">
        <f>REPLACE(INDEX(GroupVertices[Group],MATCH(Edges[[#This Row],[Vertex 1]],GroupVertices[Vertex],0)),1,1,"")</f>
        <v>3</v>
      </c>
      <c r="AG163" s="79" t="str">
        <f>REPLACE(INDEX(GroupVertices[Group],MATCH(Edges[[#This Row],[Vertex 2]],GroupVertices[Vertex],0)),1,1,"")</f>
        <v>3</v>
      </c>
      <c r="AH163" s="48">
        <v>1</v>
      </c>
      <c r="AI163" s="49">
        <v>2.5</v>
      </c>
      <c r="AJ163" s="48">
        <v>0</v>
      </c>
      <c r="AK163" s="49">
        <v>0</v>
      </c>
      <c r="AL163" s="48">
        <v>0</v>
      </c>
      <c r="AM163" s="49">
        <v>0</v>
      </c>
      <c r="AN163" s="48">
        <v>39</v>
      </c>
      <c r="AO163" s="49">
        <v>97.5</v>
      </c>
      <c r="AP163" s="48">
        <v>40</v>
      </c>
    </row>
    <row r="164" spans="1:42" ht="15">
      <c r="A164" s="65" t="s">
        <v>280</v>
      </c>
      <c r="B164" s="65" t="s">
        <v>280</v>
      </c>
      <c r="C164" s="66" t="s">
        <v>1900</v>
      </c>
      <c r="D164" s="67">
        <v>10</v>
      </c>
      <c r="E164" s="68"/>
      <c r="F164" s="69">
        <v>20</v>
      </c>
      <c r="G164" s="66"/>
      <c r="H164" s="70"/>
      <c r="I164" s="71"/>
      <c r="J164" s="71"/>
      <c r="K164" s="34" t="s">
        <v>65</v>
      </c>
      <c r="L164" s="78">
        <v>164</v>
      </c>
      <c r="M164" s="78"/>
      <c r="N164" s="73"/>
      <c r="O164" s="80" t="s">
        <v>331</v>
      </c>
      <c r="P164" s="80" t="s">
        <v>333</v>
      </c>
      <c r="Q164" s="80" t="s">
        <v>491</v>
      </c>
      <c r="R164" s="80" t="s">
        <v>280</v>
      </c>
      <c r="S164" s="80" t="s">
        <v>621</v>
      </c>
      <c r="T164" s="82" t="str">
        <f>HYPERLINK("http://www.youtube.com/channel/UCxmSF_xV8EqQkoPYJL0bQLA")</f>
        <v>http://www.youtube.com/channel/UCxmSF_xV8EqQkoPYJL0bQLA</v>
      </c>
      <c r="U164" s="80" t="s">
        <v>721</v>
      </c>
      <c r="V164" s="80" t="s">
        <v>779</v>
      </c>
      <c r="W164" s="82" t="str">
        <f>HYPERLINK("https://www.youtube.com/watch?v=E5HCiZeB9zw")</f>
        <v>https://www.youtube.com/watch?v=E5HCiZeB9zw</v>
      </c>
      <c r="X164" s="80" t="s">
        <v>794</v>
      </c>
      <c r="Y164" s="80">
        <v>0</v>
      </c>
      <c r="Z164" s="84">
        <v>44004.556446759256</v>
      </c>
      <c r="AA164" s="84">
        <v>44004.556446759256</v>
      </c>
      <c r="AB164" s="80"/>
      <c r="AC164" s="80"/>
      <c r="AD164" s="80"/>
      <c r="AE164">
        <v>2</v>
      </c>
      <c r="AF164" s="79" t="str">
        <f>REPLACE(INDEX(GroupVertices[Group],MATCH(Edges[[#This Row],[Vertex 1]],GroupVertices[Vertex],0)),1,1,"")</f>
        <v>3</v>
      </c>
      <c r="AG164" s="79" t="str">
        <f>REPLACE(INDEX(GroupVertices[Group],MATCH(Edges[[#This Row],[Vertex 2]],GroupVertices[Vertex],0)),1,1,"")</f>
        <v>3</v>
      </c>
      <c r="AH164" s="48">
        <v>0</v>
      </c>
      <c r="AI164" s="49">
        <v>0</v>
      </c>
      <c r="AJ164" s="48">
        <v>0</v>
      </c>
      <c r="AK164" s="49">
        <v>0</v>
      </c>
      <c r="AL164" s="48">
        <v>0</v>
      </c>
      <c r="AM164" s="49">
        <v>0</v>
      </c>
      <c r="AN164" s="48">
        <v>16</v>
      </c>
      <c r="AO164" s="49">
        <v>100</v>
      </c>
      <c r="AP164" s="48">
        <v>16</v>
      </c>
    </row>
    <row r="165" spans="1:42" ht="15">
      <c r="A165" s="65" t="s">
        <v>297</v>
      </c>
      <c r="B165" s="65" t="s">
        <v>280</v>
      </c>
      <c r="C165" s="66" t="s">
        <v>1900</v>
      </c>
      <c r="D165" s="67">
        <v>10</v>
      </c>
      <c r="E165" s="68"/>
      <c r="F165" s="69">
        <v>20</v>
      </c>
      <c r="G165" s="66"/>
      <c r="H165" s="70"/>
      <c r="I165" s="71"/>
      <c r="J165" s="71"/>
      <c r="K165" s="34" t="s">
        <v>66</v>
      </c>
      <c r="L165" s="78">
        <v>165</v>
      </c>
      <c r="M165" s="78"/>
      <c r="N165" s="73"/>
      <c r="O165" s="80" t="s">
        <v>331</v>
      </c>
      <c r="P165" s="80" t="s">
        <v>333</v>
      </c>
      <c r="Q165" s="80" t="s">
        <v>492</v>
      </c>
      <c r="R165" s="80" t="s">
        <v>297</v>
      </c>
      <c r="S165" s="80" t="s">
        <v>638</v>
      </c>
      <c r="T165" s="82" t="str">
        <f>HYPERLINK("http://www.youtube.com/channel/UCjg2kAW7dd0nmCmHrCSVUng")</f>
        <v>http://www.youtube.com/channel/UCjg2kAW7dd0nmCmHrCSVUng</v>
      </c>
      <c r="U165" s="80" t="s">
        <v>737</v>
      </c>
      <c r="V165" s="80" t="s">
        <v>786</v>
      </c>
      <c r="W165" s="82" t="str">
        <f>HYPERLINK("https://www.youtube.com/watch?v=W3TncA8v4gE")</f>
        <v>https://www.youtube.com/watch?v=W3TncA8v4gE</v>
      </c>
      <c r="X165" s="80" t="s">
        <v>794</v>
      </c>
      <c r="Y165" s="80">
        <v>0</v>
      </c>
      <c r="Z165" s="84">
        <v>44005.49611111111</v>
      </c>
      <c r="AA165" s="84">
        <v>44005.49611111111</v>
      </c>
      <c r="AB165" s="80" t="s">
        <v>806</v>
      </c>
      <c r="AC165" s="80" t="s">
        <v>819</v>
      </c>
      <c r="AD165" s="80"/>
      <c r="AE165">
        <v>4</v>
      </c>
      <c r="AF165" s="79" t="str">
        <f>REPLACE(INDEX(GroupVertices[Group],MATCH(Edges[[#This Row],[Vertex 1]],GroupVertices[Vertex],0)),1,1,"")</f>
        <v>3</v>
      </c>
      <c r="AG165" s="79" t="str">
        <f>REPLACE(INDEX(GroupVertices[Group],MATCH(Edges[[#This Row],[Vertex 2]],GroupVertices[Vertex],0)),1,1,"")</f>
        <v>3</v>
      </c>
      <c r="AH165" s="48">
        <v>0</v>
      </c>
      <c r="AI165" s="49">
        <v>0</v>
      </c>
      <c r="AJ165" s="48">
        <v>0</v>
      </c>
      <c r="AK165" s="49">
        <v>0</v>
      </c>
      <c r="AL165" s="48">
        <v>0</v>
      </c>
      <c r="AM165" s="49">
        <v>0</v>
      </c>
      <c r="AN165" s="48">
        <v>27</v>
      </c>
      <c r="AO165" s="49">
        <v>100</v>
      </c>
      <c r="AP165" s="48">
        <v>27</v>
      </c>
    </row>
    <row r="166" spans="1:42" ht="15">
      <c r="A166" s="65" t="s">
        <v>280</v>
      </c>
      <c r="B166" s="65" t="s">
        <v>297</v>
      </c>
      <c r="C166" s="66" t="s">
        <v>1900</v>
      </c>
      <c r="D166" s="67">
        <v>10</v>
      </c>
      <c r="E166" s="68"/>
      <c r="F166" s="69">
        <v>20</v>
      </c>
      <c r="G166" s="66"/>
      <c r="H166" s="70"/>
      <c r="I166" s="71"/>
      <c r="J166" s="71"/>
      <c r="K166" s="34" t="s">
        <v>66</v>
      </c>
      <c r="L166" s="78">
        <v>166</v>
      </c>
      <c r="M166" s="78"/>
      <c r="N166" s="73"/>
      <c r="O166" s="80" t="s">
        <v>332</v>
      </c>
      <c r="P166" s="80" t="s">
        <v>198</v>
      </c>
      <c r="Q166" s="80" t="s">
        <v>493</v>
      </c>
      <c r="R166" s="80" t="s">
        <v>280</v>
      </c>
      <c r="S166" s="80" t="s">
        <v>621</v>
      </c>
      <c r="T166" s="82" t="str">
        <f>HYPERLINK("http://www.youtube.com/channel/UCxmSF_xV8EqQkoPYJL0bQLA")</f>
        <v>http://www.youtube.com/channel/UCxmSF_xV8EqQkoPYJL0bQLA</v>
      </c>
      <c r="U166" s="80"/>
      <c r="V166" s="80" t="s">
        <v>786</v>
      </c>
      <c r="W166" s="82" t="str">
        <f>HYPERLINK("https://www.youtube.com/watch?v=W3TncA8v4gE")</f>
        <v>https://www.youtube.com/watch?v=W3TncA8v4gE</v>
      </c>
      <c r="X166" s="80" t="s">
        <v>794</v>
      </c>
      <c r="Y166" s="80">
        <v>0</v>
      </c>
      <c r="Z166" s="84">
        <v>44005.48226851852</v>
      </c>
      <c r="AA166" s="84">
        <v>44005.48226851852</v>
      </c>
      <c r="AB166" s="80"/>
      <c r="AC166" s="80"/>
      <c r="AD166" s="80"/>
      <c r="AE166">
        <v>3</v>
      </c>
      <c r="AF166" s="79" t="str">
        <f>REPLACE(INDEX(GroupVertices[Group],MATCH(Edges[[#This Row],[Vertex 1]],GroupVertices[Vertex],0)),1,1,"")</f>
        <v>3</v>
      </c>
      <c r="AG166" s="79" t="str">
        <f>REPLACE(INDEX(GroupVertices[Group],MATCH(Edges[[#This Row],[Vertex 2]],GroupVertices[Vertex],0)),1,1,"")</f>
        <v>3</v>
      </c>
      <c r="AH166" s="48">
        <v>0</v>
      </c>
      <c r="AI166" s="49">
        <v>0</v>
      </c>
      <c r="AJ166" s="48">
        <v>0</v>
      </c>
      <c r="AK166" s="49">
        <v>0</v>
      </c>
      <c r="AL166" s="48">
        <v>0</v>
      </c>
      <c r="AM166" s="49">
        <v>0</v>
      </c>
      <c r="AN166" s="48">
        <v>4</v>
      </c>
      <c r="AO166" s="49">
        <v>100</v>
      </c>
      <c r="AP166" s="48">
        <v>4</v>
      </c>
    </row>
    <row r="167" spans="1:42" ht="15">
      <c r="A167" s="65" t="s">
        <v>299</v>
      </c>
      <c r="B167" s="65" t="s">
        <v>301</v>
      </c>
      <c r="C167" s="66" t="s">
        <v>1901</v>
      </c>
      <c r="D167" s="67">
        <v>3</v>
      </c>
      <c r="E167" s="68"/>
      <c r="F167" s="69">
        <v>50</v>
      </c>
      <c r="G167" s="66"/>
      <c r="H167" s="70"/>
      <c r="I167" s="71"/>
      <c r="J167" s="71"/>
      <c r="K167" s="34" t="s">
        <v>65</v>
      </c>
      <c r="L167" s="78">
        <v>167</v>
      </c>
      <c r="M167" s="78"/>
      <c r="N167" s="73"/>
      <c r="O167" s="80" t="s">
        <v>331</v>
      </c>
      <c r="P167" s="80" t="s">
        <v>333</v>
      </c>
      <c r="Q167" s="80" t="s">
        <v>494</v>
      </c>
      <c r="R167" s="80" t="s">
        <v>299</v>
      </c>
      <c r="S167" s="80" t="s">
        <v>640</v>
      </c>
      <c r="T167" s="82" t="str">
        <f>HYPERLINK("http://www.youtube.com/channel/UCXVUOdTY_30WBlCOAqsrSag")</f>
        <v>http://www.youtube.com/channel/UCXVUOdTY_30WBlCOAqsrSag</v>
      </c>
      <c r="U167" s="80" t="s">
        <v>738</v>
      </c>
      <c r="V167" s="80" t="s">
        <v>787</v>
      </c>
      <c r="W167" s="82" t="str">
        <f>HYPERLINK("https://www.youtube.com/watch?v=hhZ62IlTxYs")</f>
        <v>https://www.youtube.com/watch?v=hhZ62IlTxYs</v>
      </c>
      <c r="X167" s="80" t="s">
        <v>794</v>
      </c>
      <c r="Y167" s="80">
        <v>1</v>
      </c>
      <c r="Z167" s="84">
        <v>44005.40125</v>
      </c>
      <c r="AA167" s="84">
        <v>44005.40125</v>
      </c>
      <c r="AB167" s="80"/>
      <c r="AC167" s="80"/>
      <c r="AD167" s="80"/>
      <c r="AE167">
        <v>1</v>
      </c>
      <c r="AF167" s="79" t="str">
        <f>REPLACE(INDEX(GroupVertices[Group],MATCH(Edges[[#This Row],[Vertex 1]],GroupVertices[Vertex],0)),1,1,"")</f>
        <v>4</v>
      </c>
      <c r="AG167" s="79" t="str">
        <f>REPLACE(INDEX(GroupVertices[Group],MATCH(Edges[[#This Row],[Vertex 2]],GroupVertices[Vertex],0)),1,1,"")</f>
        <v>4</v>
      </c>
      <c r="AH167" s="48">
        <v>1</v>
      </c>
      <c r="AI167" s="49">
        <v>7.6923076923076925</v>
      </c>
      <c r="AJ167" s="48">
        <v>0</v>
      </c>
      <c r="AK167" s="49">
        <v>0</v>
      </c>
      <c r="AL167" s="48">
        <v>0</v>
      </c>
      <c r="AM167" s="49">
        <v>0</v>
      </c>
      <c r="AN167" s="48">
        <v>12</v>
      </c>
      <c r="AO167" s="49">
        <v>92.3076923076923</v>
      </c>
      <c r="AP167" s="48">
        <v>13</v>
      </c>
    </row>
    <row r="168" spans="1:42" ht="15">
      <c r="A168" s="65" t="s">
        <v>300</v>
      </c>
      <c r="B168" s="65" t="s">
        <v>301</v>
      </c>
      <c r="C168" s="66" t="s">
        <v>1901</v>
      </c>
      <c r="D168" s="67">
        <v>3</v>
      </c>
      <c r="E168" s="68"/>
      <c r="F168" s="69">
        <v>50</v>
      </c>
      <c r="G168" s="66"/>
      <c r="H168" s="70"/>
      <c r="I168" s="71"/>
      <c r="J168" s="71"/>
      <c r="K168" s="34" t="s">
        <v>66</v>
      </c>
      <c r="L168" s="78">
        <v>168</v>
      </c>
      <c r="M168" s="78"/>
      <c r="N168" s="73"/>
      <c r="O168" s="80" t="s">
        <v>331</v>
      </c>
      <c r="P168" s="80" t="s">
        <v>333</v>
      </c>
      <c r="Q168" s="80" t="s">
        <v>495</v>
      </c>
      <c r="R168" s="80" t="s">
        <v>300</v>
      </c>
      <c r="S168" s="80" t="s">
        <v>641</v>
      </c>
      <c r="T168" s="82" t="str">
        <f>HYPERLINK("http://www.youtube.com/channel/UCh9nVJoWXmFb7sLApWGcLPQ")</f>
        <v>http://www.youtube.com/channel/UCh9nVJoWXmFb7sLApWGcLPQ</v>
      </c>
      <c r="U168" s="80" t="s">
        <v>738</v>
      </c>
      <c r="V168" s="80" t="s">
        <v>787</v>
      </c>
      <c r="W168" s="82" t="str">
        <f>HYPERLINK("https://www.youtube.com/watch?v=hhZ62IlTxYs")</f>
        <v>https://www.youtube.com/watch?v=hhZ62IlTxYs</v>
      </c>
      <c r="X168" s="80" t="s">
        <v>794</v>
      </c>
      <c r="Y168" s="80">
        <v>2</v>
      </c>
      <c r="Z168" s="84">
        <v>44005.53361111111</v>
      </c>
      <c r="AA168" s="84">
        <v>44005.53361111111</v>
      </c>
      <c r="AB168" s="80"/>
      <c r="AC168" s="80"/>
      <c r="AD168" s="80"/>
      <c r="AE168">
        <v>1</v>
      </c>
      <c r="AF168" s="79" t="str">
        <f>REPLACE(INDEX(GroupVertices[Group],MATCH(Edges[[#This Row],[Vertex 1]],GroupVertices[Vertex],0)),1,1,"")</f>
        <v>4</v>
      </c>
      <c r="AG168" s="79" t="str">
        <f>REPLACE(INDEX(GroupVertices[Group],MATCH(Edges[[#This Row],[Vertex 2]],GroupVertices[Vertex],0)),1,1,"")</f>
        <v>4</v>
      </c>
      <c r="AH168" s="48">
        <v>0</v>
      </c>
      <c r="AI168" s="49">
        <v>0</v>
      </c>
      <c r="AJ168" s="48">
        <v>0</v>
      </c>
      <c r="AK168" s="49">
        <v>0</v>
      </c>
      <c r="AL168" s="48">
        <v>0</v>
      </c>
      <c r="AM168" s="49">
        <v>0</v>
      </c>
      <c r="AN168" s="48">
        <v>36</v>
      </c>
      <c r="AO168" s="49">
        <v>100</v>
      </c>
      <c r="AP168" s="48">
        <v>36</v>
      </c>
    </row>
    <row r="169" spans="1:42" ht="15">
      <c r="A169" s="65" t="s">
        <v>301</v>
      </c>
      <c r="B169" s="65" t="s">
        <v>300</v>
      </c>
      <c r="C169" s="66" t="s">
        <v>1901</v>
      </c>
      <c r="D169" s="67">
        <v>3</v>
      </c>
      <c r="E169" s="68"/>
      <c r="F169" s="69">
        <v>50</v>
      </c>
      <c r="G169" s="66"/>
      <c r="H169" s="70"/>
      <c r="I169" s="71"/>
      <c r="J169" s="71"/>
      <c r="K169" s="34" t="s">
        <v>66</v>
      </c>
      <c r="L169" s="78">
        <v>169</v>
      </c>
      <c r="M169" s="78"/>
      <c r="N169" s="73"/>
      <c r="O169" s="80" t="s">
        <v>332</v>
      </c>
      <c r="P169" s="80" t="s">
        <v>198</v>
      </c>
      <c r="Q169" s="80" t="s">
        <v>496</v>
      </c>
      <c r="R169" s="80" t="s">
        <v>301</v>
      </c>
      <c r="S169" s="80" t="s">
        <v>642</v>
      </c>
      <c r="T169" s="82" t="str">
        <f>HYPERLINK("http://www.youtube.com/channel/UCiIDkjBgs_Zm1Un3h22jxBQ")</f>
        <v>http://www.youtube.com/channel/UCiIDkjBgs_Zm1Un3h22jxBQ</v>
      </c>
      <c r="U169" s="80"/>
      <c r="V169" s="80" t="s">
        <v>787</v>
      </c>
      <c r="W169" s="82" t="str">
        <f>HYPERLINK("https://www.youtube.com/watch?v=hhZ62IlTxYs")</f>
        <v>https://www.youtube.com/watch?v=hhZ62IlTxYs</v>
      </c>
      <c r="X169" s="80" t="s">
        <v>794</v>
      </c>
      <c r="Y169" s="80">
        <v>0</v>
      </c>
      <c r="Z169" s="84">
        <v>44005.35700231481</v>
      </c>
      <c r="AA169" s="84">
        <v>44005.358148148145</v>
      </c>
      <c r="AB169" s="80"/>
      <c r="AC169" s="80"/>
      <c r="AD169" s="80"/>
      <c r="AE169">
        <v>1</v>
      </c>
      <c r="AF169" s="79" t="str">
        <f>REPLACE(INDEX(GroupVertices[Group],MATCH(Edges[[#This Row],[Vertex 1]],GroupVertices[Vertex],0)),1,1,"")</f>
        <v>4</v>
      </c>
      <c r="AG169" s="79" t="str">
        <f>REPLACE(INDEX(GroupVertices[Group],MATCH(Edges[[#This Row],[Vertex 2]],GroupVertices[Vertex],0)),1,1,"")</f>
        <v>4</v>
      </c>
      <c r="AH169" s="48">
        <v>0</v>
      </c>
      <c r="AI169" s="49">
        <v>0</v>
      </c>
      <c r="AJ169" s="48">
        <v>0</v>
      </c>
      <c r="AK169" s="49">
        <v>0</v>
      </c>
      <c r="AL169" s="48">
        <v>0</v>
      </c>
      <c r="AM169" s="49">
        <v>0</v>
      </c>
      <c r="AN169" s="48">
        <v>30</v>
      </c>
      <c r="AO169" s="49">
        <v>100</v>
      </c>
      <c r="AP169" s="48">
        <v>30</v>
      </c>
    </row>
    <row r="170" spans="1:42" ht="15">
      <c r="A170" s="65" t="s">
        <v>300</v>
      </c>
      <c r="B170" s="65" t="s">
        <v>302</v>
      </c>
      <c r="C170" s="66" t="s">
        <v>1901</v>
      </c>
      <c r="D170" s="67">
        <v>3</v>
      </c>
      <c r="E170" s="68"/>
      <c r="F170" s="69">
        <v>50</v>
      </c>
      <c r="G170" s="66"/>
      <c r="H170" s="70"/>
      <c r="I170" s="71"/>
      <c r="J170" s="71"/>
      <c r="K170" s="34" t="s">
        <v>66</v>
      </c>
      <c r="L170" s="78">
        <v>170</v>
      </c>
      <c r="M170" s="78"/>
      <c r="N170" s="73"/>
      <c r="O170" s="80" t="s">
        <v>331</v>
      </c>
      <c r="P170" s="80" t="s">
        <v>333</v>
      </c>
      <c r="Q170" s="80" t="s">
        <v>497</v>
      </c>
      <c r="R170" s="80" t="s">
        <v>300</v>
      </c>
      <c r="S170" s="80" t="s">
        <v>641</v>
      </c>
      <c r="T170" s="82" t="str">
        <f>HYPERLINK("http://www.youtube.com/channel/UCh9nVJoWXmFb7sLApWGcLPQ")</f>
        <v>http://www.youtube.com/channel/UCh9nVJoWXmFb7sLApWGcLPQ</v>
      </c>
      <c r="U170" s="80" t="s">
        <v>739</v>
      </c>
      <c r="V170" s="80" t="s">
        <v>787</v>
      </c>
      <c r="W170" s="82" t="str">
        <f>HYPERLINK("https://www.youtube.com/watch?v=hhZ62IlTxYs")</f>
        <v>https://www.youtube.com/watch?v=hhZ62IlTxYs</v>
      </c>
      <c r="X170" s="80" t="s">
        <v>794</v>
      </c>
      <c r="Y170" s="80">
        <v>1</v>
      </c>
      <c r="Z170" s="84">
        <v>44005.53269675926</v>
      </c>
      <c r="AA170" s="84">
        <v>44005.53269675926</v>
      </c>
      <c r="AB170" s="80"/>
      <c r="AC170" s="80"/>
      <c r="AD170" s="80"/>
      <c r="AE170">
        <v>1</v>
      </c>
      <c r="AF170" s="79" t="str">
        <f>REPLACE(INDEX(GroupVertices[Group],MATCH(Edges[[#This Row],[Vertex 1]],GroupVertices[Vertex],0)),1,1,"")</f>
        <v>4</v>
      </c>
      <c r="AG170" s="79" t="str">
        <f>REPLACE(INDEX(GroupVertices[Group],MATCH(Edges[[#This Row],[Vertex 2]],GroupVertices[Vertex],0)),1,1,"")</f>
        <v>4</v>
      </c>
      <c r="AH170" s="48">
        <v>0</v>
      </c>
      <c r="AI170" s="49">
        <v>0</v>
      </c>
      <c r="AJ170" s="48">
        <v>0</v>
      </c>
      <c r="AK170" s="49">
        <v>0</v>
      </c>
      <c r="AL170" s="48">
        <v>0</v>
      </c>
      <c r="AM170" s="49">
        <v>0</v>
      </c>
      <c r="AN170" s="48">
        <v>16</v>
      </c>
      <c r="AO170" s="49">
        <v>100</v>
      </c>
      <c r="AP170" s="48">
        <v>16</v>
      </c>
    </row>
    <row r="171" spans="1:42" ht="15">
      <c r="A171" s="65" t="s">
        <v>302</v>
      </c>
      <c r="B171" s="65" t="s">
        <v>300</v>
      </c>
      <c r="C171" s="66" t="s">
        <v>1901</v>
      </c>
      <c r="D171" s="67">
        <v>3</v>
      </c>
      <c r="E171" s="68"/>
      <c r="F171" s="69">
        <v>50</v>
      </c>
      <c r="G171" s="66"/>
      <c r="H171" s="70"/>
      <c r="I171" s="71"/>
      <c r="J171" s="71"/>
      <c r="K171" s="34" t="s">
        <v>66</v>
      </c>
      <c r="L171" s="78">
        <v>171</v>
      </c>
      <c r="M171" s="78"/>
      <c r="N171" s="73"/>
      <c r="O171" s="80" t="s">
        <v>332</v>
      </c>
      <c r="P171" s="80" t="s">
        <v>198</v>
      </c>
      <c r="Q171" s="80" t="s">
        <v>498</v>
      </c>
      <c r="R171" s="80" t="s">
        <v>302</v>
      </c>
      <c r="S171" s="80" t="s">
        <v>643</v>
      </c>
      <c r="T171" s="82" t="str">
        <f>HYPERLINK("http://www.youtube.com/channel/UCJMTQogNChI1UHqWT3Zvbew")</f>
        <v>http://www.youtube.com/channel/UCJMTQogNChI1UHqWT3Zvbew</v>
      </c>
      <c r="U171" s="80"/>
      <c r="V171" s="80" t="s">
        <v>787</v>
      </c>
      <c r="W171" s="82" t="str">
        <f>HYPERLINK("https://www.youtube.com/watch?v=hhZ62IlTxYs")</f>
        <v>https://www.youtube.com/watch?v=hhZ62IlTxYs</v>
      </c>
      <c r="X171" s="80" t="s">
        <v>794</v>
      </c>
      <c r="Y171" s="80">
        <v>0</v>
      </c>
      <c r="Z171" s="84">
        <v>44005.378287037034</v>
      </c>
      <c r="AA171" s="84">
        <v>44005.378287037034</v>
      </c>
      <c r="AB171" s="80"/>
      <c r="AC171" s="80"/>
      <c r="AD171" s="80"/>
      <c r="AE171">
        <v>1</v>
      </c>
      <c r="AF171" s="79" t="str">
        <f>REPLACE(INDEX(GroupVertices[Group],MATCH(Edges[[#This Row],[Vertex 1]],GroupVertices[Vertex],0)),1,1,"")</f>
        <v>4</v>
      </c>
      <c r="AG171" s="79" t="str">
        <f>REPLACE(INDEX(GroupVertices[Group],MATCH(Edges[[#This Row],[Vertex 2]],GroupVertices[Vertex],0)),1,1,"")</f>
        <v>4</v>
      </c>
      <c r="AH171" s="48">
        <v>1</v>
      </c>
      <c r="AI171" s="49">
        <v>5.882352941176471</v>
      </c>
      <c r="AJ171" s="48">
        <v>0</v>
      </c>
      <c r="AK171" s="49">
        <v>0</v>
      </c>
      <c r="AL171" s="48">
        <v>0</v>
      </c>
      <c r="AM171" s="49">
        <v>0</v>
      </c>
      <c r="AN171" s="48">
        <v>16</v>
      </c>
      <c r="AO171" s="49">
        <v>94.11764705882354</v>
      </c>
      <c r="AP171" s="48">
        <v>17</v>
      </c>
    </row>
    <row r="172" spans="1:42" ht="15">
      <c r="A172" s="65" t="s">
        <v>303</v>
      </c>
      <c r="B172" s="65" t="s">
        <v>304</v>
      </c>
      <c r="C172" s="66" t="s">
        <v>1901</v>
      </c>
      <c r="D172" s="67">
        <v>3</v>
      </c>
      <c r="E172" s="68"/>
      <c r="F172" s="69">
        <v>50</v>
      </c>
      <c r="G172" s="66"/>
      <c r="H172" s="70"/>
      <c r="I172" s="71"/>
      <c r="J172" s="71"/>
      <c r="K172" s="34" t="s">
        <v>65</v>
      </c>
      <c r="L172" s="78">
        <v>172</v>
      </c>
      <c r="M172" s="78"/>
      <c r="N172" s="73"/>
      <c r="O172" s="80" t="s">
        <v>331</v>
      </c>
      <c r="P172" s="80" t="s">
        <v>333</v>
      </c>
      <c r="Q172" s="80" t="s">
        <v>499</v>
      </c>
      <c r="R172" s="80" t="s">
        <v>303</v>
      </c>
      <c r="S172" s="80" t="s">
        <v>644</v>
      </c>
      <c r="T172" s="82" t="str">
        <f>HYPERLINK("http://www.youtube.com/channel/UCvCl2Tlsxc1QLs7kDTfNY2g")</f>
        <v>http://www.youtube.com/channel/UCvCl2Tlsxc1QLs7kDTfNY2g</v>
      </c>
      <c r="U172" s="80" t="s">
        <v>740</v>
      </c>
      <c r="V172" s="80" t="s">
        <v>787</v>
      </c>
      <c r="W172" s="82" t="str">
        <f>HYPERLINK("https://www.youtube.com/watch?v=hhZ62IlTxYs")</f>
        <v>https://www.youtube.com/watch?v=hhZ62IlTxYs</v>
      </c>
      <c r="X172" s="80" t="s">
        <v>794</v>
      </c>
      <c r="Y172" s="80">
        <v>1</v>
      </c>
      <c r="Z172" s="84">
        <v>44005.6878125</v>
      </c>
      <c r="AA172" s="84">
        <v>44005.6878125</v>
      </c>
      <c r="AB172" s="80" t="s">
        <v>807</v>
      </c>
      <c r="AC172" s="80" t="s">
        <v>812</v>
      </c>
      <c r="AD172" s="80"/>
      <c r="AE172">
        <v>1</v>
      </c>
      <c r="AF172" s="79" t="str">
        <f>REPLACE(INDEX(GroupVertices[Group],MATCH(Edges[[#This Row],[Vertex 1]],GroupVertices[Vertex],0)),1,1,"")</f>
        <v>4</v>
      </c>
      <c r="AG172" s="79" t="str">
        <f>REPLACE(INDEX(GroupVertices[Group],MATCH(Edges[[#This Row],[Vertex 2]],GroupVertices[Vertex],0)),1,1,"")</f>
        <v>4</v>
      </c>
      <c r="AH172" s="48">
        <v>3</v>
      </c>
      <c r="AI172" s="49">
        <v>6.382978723404255</v>
      </c>
      <c r="AJ172" s="48">
        <v>0</v>
      </c>
      <c r="AK172" s="49">
        <v>0</v>
      </c>
      <c r="AL172" s="48">
        <v>0</v>
      </c>
      <c r="AM172" s="49">
        <v>0</v>
      </c>
      <c r="AN172" s="48">
        <v>44</v>
      </c>
      <c r="AO172" s="49">
        <v>93.61702127659575</v>
      </c>
      <c r="AP172" s="48">
        <v>47</v>
      </c>
    </row>
    <row r="173" spans="1:42" ht="15">
      <c r="A173" s="65" t="s">
        <v>304</v>
      </c>
      <c r="B173" s="65" t="s">
        <v>300</v>
      </c>
      <c r="C173" s="66" t="s">
        <v>1901</v>
      </c>
      <c r="D173" s="67">
        <v>3</v>
      </c>
      <c r="E173" s="68"/>
      <c r="F173" s="69">
        <v>50</v>
      </c>
      <c r="G173" s="66"/>
      <c r="H173" s="70"/>
      <c r="I173" s="71"/>
      <c r="J173" s="71"/>
      <c r="K173" s="34" t="s">
        <v>65</v>
      </c>
      <c r="L173" s="78">
        <v>173</v>
      </c>
      <c r="M173" s="78"/>
      <c r="N173" s="73"/>
      <c r="O173" s="80" t="s">
        <v>332</v>
      </c>
      <c r="P173" s="80" t="s">
        <v>198</v>
      </c>
      <c r="Q173" s="80" t="s">
        <v>500</v>
      </c>
      <c r="R173" s="80" t="s">
        <v>304</v>
      </c>
      <c r="S173" s="80" t="s">
        <v>645</v>
      </c>
      <c r="T173" s="82" t="str">
        <f>HYPERLINK("http://www.youtube.com/channel/UC9ALNzhWRFgVrV0OAg_AmVw")</f>
        <v>http://www.youtube.com/channel/UC9ALNzhWRFgVrV0OAg_AmVw</v>
      </c>
      <c r="U173" s="80"/>
      <c r="V173" s="80" t="s">
        <v>787</v>
      </c>
      <c r="W173" s="82" t="str">
        <f>HYPERLINK("https://www.youtube.com/watch?v=hhZ62IlTxYs")</f>
        <v>https://www.youtube.com/watch?v=hhZ62IlTxYs</v>
      </c>
      <c r="X173" s="80" t="s">
        <v>794</v>
      </c>
      <c r="Y173" s="80">
        <v>0</v>
      </c>
      <c r="Z173" s="84">
        <v>44005.58672453704</v>
      </c>
      <c r="AA173" s="84">
        <v>44005.58672453704</v>
      </c>
      <c r="AB173" s="80"/>
      <c r="AC173" s="80"/>
      <c r="AD173" s="80"/>
      <c r="AE173">
        <v>1</v>
      </c>
      <c r="AF173" s="79" t="str">
        <f>REPLACE(INDEX(GroupVertices[Group],MATCH(Edges[[#This Row],[Vertex 1]],GroupVertices[Vertex],0)),1,1,"")</f>
        <v>4</v>
      </c>
      <c r="AG173" s="79" t="str">
        <f>REPLACE(INDEX(GroupVertices[Group],MATCH(Edges[[#This Row],[Vertex 2]],GroupVertices[Vertex],0)),1,1,"")</f>
        <v>4</v>
      </c>
      <c r="AH173" s="48">
        <v>0</v>
      </c>
      <c r="AI173" s="49">
        <v>0</v>
      </c>
      <c r="AJ173" s="48">
        <v>0</v>
      </c>
      <c r="AK173" s="49">
        <v>0</v>
      </c>
      <c r="AL173" s="48">
        <v>0</v>
      </c>
      <c r="AM173" s="49">
        <v>0</v>
      </c>
      <c r="AN173" s="48">
        <v>7</v>
      </c>
      <c r="AO173" s="49">
        <v>100</v>
      </c>
      <c r="AP173" s="48">
        <v>7</v>
      </c>
    </row>
    <row r="174" spans="1:42" ht="15">
      <c r="A174" s="65" t="s">
        <v>300</v>
      </c>
      <c r="B174" s="65" t="s">
        <v>305</v>
      </c>
      <c r="C174" s="66" t="s">
        <v>1901</v>
      </c>
      <c r="D174" s="67">
        <v>3</v>
      </c>
      <c r="E174" s="68"/>
      <c r="F174" s="69">
        <v>50</v>
      </c>
      <c r="G174" s="66"/>
      <c r="H174" s="70"/>
      <c r="I174" s="71"/>
      <c r="J174" s="71"/>
      <c r="K174" s="34" t="s">
        <v>66</v>
      </c>
      <c r="L174" s="78">
        <v>174</v>
      </c>
      <c r="M174" s="78"/>
      <c r="N174" s="73"/>
      <c r="O174" s="80" t="s">
        <v>331</v>
      </c>
      <c r="P174" s="80" t="s">
        <v>333</v>
      </c>
      <c r="Q174" s="80" t="s">
        <v>501</v>
      </c>
      <c r="R174" s="80" t="s">
        <v>300</v>
      </c>
      <c r="S174" s="80" t="s">
        <v>641</v>
      </c>
      <c r="T174" s="82" t="str">
        <f>HYPERLINK("http://www.youtube.com/channel/UCh9nVJoWXmFb7sLApWGcLPQ")</f>
        <v>http://www.youtube.com/channel/UCh9nVJoWXmFb7sLApWGcLPQ</v>
      </c>
      <c r="U174" s="80" t="s">
        <v>741</v>
      </c>
      <c r="V174" s="80" t="s">
        <v>787</v>
      </c>
      <c r="W174" s="82" t="str">
        <f>HYPERLINK("https://www.youtube.com/watch?v=hhZ62IlTxYs")</f>
        <v>https://www.youtube.com/watch?v=hhZ62IlTxYs</v>
      </c>
      <c r="X174" s="80" t="s">
        <v>794</v>
      </c>
      <c r="Y174" s="80">
        <v>2</v>
      </c>
      <c r="Z174" s="84">
        <v>44005.74508101852</v>
      </c>
      <c r="AA174" s="84">
        <v>44005.74508101852</v>
      </c>
      <c r="AB174" s="80"/>
      <c r="AC174" s="80"/>
      <c r="AD174" s="80"/>
      <c r="AE174">
        <v>1</v>
      </c>
      <c r="AF174" s="79" t="str">
        <f>REPLACE(INDEX(GroupVertices[Group],MATCH(Edges[[#This Row],[Vertex 1]],GroupVertices[Vertex],0)),1,1,"")</f>
        <v>4</v>
      </c>
      <c r="AG174" s="79" t="str">
        <f>REPLACE(INDEX(GroupVertices[Group],MATCH(Edges[[#This Row],[Vertex 2]],GroupVertices[Vertex],0)),1,1,"")</f>
        <v>4</v>
      </c>
      <c r="AH174" s="48">
        <v>0</v>
      </c>
      <c r="AI174" s="49">
        <v>0</v>
      </c>
      <c r="AJ174" s="48">
        <v>0</v>
      </c>
      <c r="AK174" s="49">
        <v>0</v>
      </c>
      <c r="AL174" s="48">
        <v>0</v>
      </c>
      <c r="AM174" s="49">
        <v>0</v>
      </c>
      <c r="AN174" s="48">
        <v>11</v>
      </c>
      <c r="AO174" s="49">
        <v>100</v>
      </c>
      <c r="AP174" s="48">
        <v>11</v>
      </c>
    </row>
    <row r="175" spans="1:42" ht="15">
      <c r="A175" s="65" t="s">
        <v>305</v>
      </c>
      <c r="B175" s="65" t="s">
        <v>300</v>
      </c>
      <c r="C175" s="66" t="s">
        <v>1901</v>
      </c>
      <c r="D175" s="67">
        <v>3</v>
      </c>
      <c r="E175" s="68"/>
      <c r="F175" s="69">
        <v>50</v>
      </c>
      <c r="G175" s="66"/>
      <c r="H175" s="70"/>
      <c r="I175" s="71"/>
      <c r="J175" s="71"/>
      <c r="K175" s="34" t="s">
        <v>66</v>
      </c>
      <c r="L175" s="78">
        <v>175</v>
      </c>
      <c r="M175" s="78"/>
      <c r="N175" s="73"/>
      <c r="O175" s="80" t="s">
        <v>332</v>
      </c>
      <c r="P175" s="80" t="s">
        <v>198</v>
      </c>
      <c r="Q175" s="80" t="s">
        <v>502</v>
      </c>
      <c r="R175" s="80" t="s">
        <v>305</v>
      </c>
      <c r="S175" s="80" t="s">
        <v>646</v>
      </c>
      <c r="T175" s="82" t="str">
        <f>HYPERLINK("http://www.youtube.com/channel/UCY0421BUY-kaz8BnYPI3LhQ")</f>
        <v>http://www.youtube.com/channel/UCY0421BUY-kaz8BnYPI3LhQ</v>
      </c>
      <c r="U175" s="80"/>
      <c r="V175" s="80" t="s">
        <v>787</v>
      </c>
      <c r="W175" s="82" t="str">
        <f>HYPERLINK("https://www.youtube.com/watch?v=hhZ62IlTxYs")</f>
        <v>https://www.youtube.com/watch?v=hhZ62IlTxYs</v>
      </c>
      <c r="X175" s="80" t="s">
        <v>794</v>
      </c>
      <c r="Y175" s="80">
        <v>0</v>
      </c>
      <c r="Z175" s="84">
        <v>44005.64303240741</v>
      </c>
      <c r="AA175" s="84">
        <v>44005.64303240741</v>
      </c>
      <c r="AB175" s="80"/>
      <c r="AC175" s="80"/>
      <c r="AD175" s="80"/>
      <c r="AE175">
        <v>1</v>
      </c>
      <c r="AF175" s="79" t="str">
        <f>REPLACE(INDEX(GroupVertices[Group],MATCH(Edges[[#This Row],[Vertex 1]],GroupVertices[Vertex],0)),1,1,"")</f>
        <v>4</v>
      </c>
      <c r="AG175" s="79" t="str">
        <f>REPLACE(INDEX(GroupVertices[Group],MATCH(Edges[[#This Row],[Vertex 2]],GroupVertices[Vertex],0)),1,1,"")</f>
        <v>4</v>
      </c>
      <c r="AH175" s="48">
        <v>4</v>
      </c>
      <c r="AI175" s="49">
        <v>10.256410256410257</v>
      </c>
      <c r="AJ175" s="48">
        <v>0</v>
      </c>
      <c r="AK175" s="49">
        <v>0</v>
      </c>
      <c r="AL175" s="48">
        <v>0</v>
      </c>
      <c r="AM175" s="49">
        <v>0</v>
      </c>
      <c r="AN175" s="48">
        <v>35</v>
      </c>
      <c r="AO175" s="49">
        <v>89.74358974358974</v>
      </c>
      <c r="AP175" s="48">
        <v>39</v>
      </c>
    </row>
    <row r="176" spans="1:42" ht="15">
      <c r="A176" s="65" t="s">
        <v>300</v>
      </c>
      <c r="B176" s="65" t="s">
        <v>299</v>
      </c>
      <c r="C176" s="66" t="s">
        <v>1901</v>
      </c>
      <c r="D176" s="67">
        <v>3</v>
      </c>
      <c r="E176" s="68"/>
      <c r="F176" s="69">
        <v>50</v>
      </c>
      <c r="G176" s="66"/>
      <c r="H176" s="70"/>
      <c r="I176" s="71"/>
      <c r="J176" s="71"/>
      <c r="K176" s="34" t="s">
        <v>66</v>
      </c>
      <c r="L176" s="78">
        <v>176</v>
      </c>
      <c r="M176" s="78"/>
      <c r="N176" s="73"/>
      <c r="O176" s="80" t="s">
        <v>331</v>
      </c>
      <c r="P176" s="80" t="s">
        <v>333</v>
      </c>
      <c r="Q176" s="80" t="s">
        <v>503</v>
      </c>
      <c r="R176" s="80" t="s">
        <v>300</v>
      </c>
      <c r="S176" s="80" t="s">
        <v>641</v>
      </c>
      <c r="T176" s="82" t="str">
        <f>HYPERLINK("http://www.youtube.com/channel/UCh9nVJoWXmFb7sLApWGcLPQ")</f>
        <v>http://www.youtube.com/channel/UCh9nVJoWXmFb7sLApWGcLPQ</v>
      </c>
      <c r="U176" s="80" t="s">
        <v>742</v>
      </c>
      <c r="V176" s="80" t="s">
        <v>787</v>
      </c>
      <c r="W176" s="82" t="str">
        <f>HYPERLINK("https://www.youtube.com/watch?v=hhZ62IlTxYs")</f>
        <v>https://www.youtube.com/watch?v=hhZ62IlTxYs</v>
      </c>
      <c r="X176" s="80" t="s">
        <v>794</v>
      </c>
      <c r="Y176" s="80">
        <v>0</v>
      </c>
      <c r="Z176" s="84">
        <v>44005.862395833334</v>
      </c>
      <c r="AA176" s="84">
        <v>44005.862395833334</v>
      </c>
      <c r="AB176" s="80"/>
      <c r="AC176" s="80"/>
      <c r="AD176" s="80"/>
      <c r="AE176">
        <v>1</v>
      </c>
      <c r="AF176" s="79" t="str">
        <f>REPLACE(INDEX(GroupVertices[Group],MATCH(Edges[[#This Row],[Vertex 1]],GroupVertices[Vertex],0)),1,1,"")</f>
        <v>4</v>
      </c>
      <c r="AG176" s="79" t="str">
        <f>REPLACE(INDEX(GroupVertices[Group],MATCH(Edges[[#This Row],[Vertex 2]],GroupVertices[Vertex],0)),1,1,"")</f>
        <v>4</v>
      </c>
      <c r="AH176" s="48">
        <v>1</v>
      </c>
      <c r="AI176" s="49">
        <v>5.555555555555555</v>
      </c>
      <c r="AJ176" s="48">
        <v>0</v>
      </c>
      <c r="AK176" s="49">
        <v>0</v>
      </c>
      <c r="AL176" s="48">
        <v>0</v>
      </c>
      <c r="AM176" s="49">
        <v>0</v>
      </c>
      <c r="AN176" s="48">
        <v>17</v>
      </c>
      <c r="AO176" s="49">
        <v>94.44444444444444</v>
      </c>
      <c r="AP176" s="48">
        <v>18</v>
      </c>
    </row>
    <row r="177" spans="1:42" ht="15">
      <c r="A177" s="65" t="s">
        <v>299</v>
      </c>
      <c r="B177" s="65" t="s">
        <v>300</v>
      </c>
      <c r="C177" s="66" t="s">
        <v>1901</v>
      </c>
      <c r="D177" s="67">
        <v>3</v>
      </c>
      <c r="E177" s="68"/>
      <c r="F177" s="69">
        <v>50</v>
      </c>
      <c r="G177" s="66"/>
      <c r="H177" s="70"/>
      <c r="I177" s="71"/>
      <c r="J177" s="71"/>
      <c r="K177" s="34" t="s">
        <v>66</v>
      </c>
      <c r="L177" s="78">
        <v>177</v>
      </c>
      <c r="M177" s="78"/>
      <c r="N177" s="73"/>
      <c r="O177" s="80" t="s">
        <v>332</v>
      </c>
      <c r="P177" s="80" t="s">
        <v>198</v>
      </c>
      <c r="Q177" s="80" t="s">
        <v>504</v>
      </c>
      <c r="R177" s="80" t="s">
        <v>299</v>
      </c>
      <c r="S177" s="80" t="s">
        <v>640</v>
      </c>
      <c r="T177" s="82" t="str">
        <f>HYPERLINK("http://www.youtube.com/channel/UCXVUOdTY_30WBlCOAqsrSag")</f>
        <v>http://www.youtube.com/channel/UCXVUOdTY_30WBlCOAqsrSag</v>
      </c>
      <c r="U177" s="80"/>
      <c r="V177" s="80" t="s">
        <v>787</v>
      </c>
      <c r="W177" s="82" t="str">
        <f>HYPERLINK("https://www.youtube.com/watch?v=hhZ62IlTxYs")</f>
        <v>https://www.youtube.com/watch?v=hhZ62IlTxYs</v>
      </c>
      <c r="X177" s="80" t="s">
        <v>794</v>
      </c>
      <c r="Y177" s="80">
        <v>0</v>
      </c>
      <c r="Z177" s="84">
        <v>44005.6453125</v>
      </c>
      <c r="AA177" s="84">
        <v>44005.6453125</v>
      </c>
      <c r="AB177" s="80"/>
      <c r="AC177" s="80"/>
      <c r="AD177" s="80"/>
      <c r="AE177">
        <v>1</v>
      </c>
      <c r="AF177" s="79" t="str">
        <f>REPLACE(INDEX(GroupVertices[Group],MATCH(Edges[[#This Row],[Vertex 1]],GroupVertices[Vertex],0)),1,1,"")</f>
        <v>4</v>
      </c>
      <c r="AG177" s="79" t="str">
        <f>REPLACE(INDEX(GroupVertices[Group],MATCH(Edges[[#This Row],[Vertex 2]],GroupVertices[Vertex],0)),1,1,"")</f>
        <v>4</v>
      </c>
      <c r="AH177" s="48">
        <v>1</v>
      </c>
      <c r="AI177" s="49">
        <v>4.3478260869565215</v>
      </c>
      <c r="AJ177" s="48">
        <v>2</v>
      </c>
      <c r="AK177" s="49">
        <v>8.695652173913043</v>
      </c>
      <c r="AL177" s="48">
        <v>0</v>
      </c>
      <c r="AM177" s="49">
        <v>0</v>
      </c>
      <c r="AN177" s="48">
        <v>20</v>
      </c>
      <c r="AO177" s="49">
        <v>86.95652173913044</v>
      </c>
      <c r="AP177" s="48">
        <v>23</v>
      </c>
    </row>
    <row r="178" spans="1:42" ht="15">
      <c r="A178" s="65" t="s">
        <v>300</v>
      </c>
      <c r="B178" s="65" t="s">
        <v>306</v>
      </c>
      <c r="C178" s="66" t="s">
        <v>1901</v>
      </c>
      <c r="D178" s="67">
        <v>3</v>
      </c>
      <c r="E178" s="68"/>
      <c r="F178" s="69">
        <v>50</v>
      </c>
      <c r="G178" s="66"/>
      <c r="H178" s="70"/>
      <c r="I178" s="71"/>
      <c r="J178" s="71"/>
      <c r="K178" s="34" t="s">
        <v>66</v>
      </c>
      <c r="L178" s="78">
        <v>178</v>
      </c>
      <c r="M178" s="78"/>
      <c r="N178" s="73"/>
      <c r="O178" s="80" t="s">
        <v>331</v>
      </c>
      <c r="P178" s="80" t="s">
        <v>333</v>
      </c>
      <c r="Q178" s="80" t="s">
        <v>505</v>
      </c>
      <c r="R178" s="80" t="s">
        <v>300</v>
      </c>
      <c r="S178" s="80" t="s">
        <v>641</v>
      </c>
      <c r="T178" s="82" t="str">
        <f>HYPERLINK("http://www.youtube.com/channel/UCh9nVJoWXmFb7sLApWGcLPQ")</f>
        <v>http://www.youtube.com/channel/UCh9nVJoWXmFb7sLApWGcLPQ</v>
      </c>
      <c r="U178" s="80" t="s">
        <v>743</v>
      </c>
      <c r="V178" s="80" t="s">
        <v>787</v>
      </c>
      <c r="W178" s="82" t="str">
        <f>HYPERLINK("https://www.youtube.com/watch?v=hhZ62IlTxYs")</f>
        <v>https://www.youtube.com/watch?v=hhZ62IlTxYs</v>
      </c>
      <c r="X178" s="80" t="s">
        <v>794</v>
      </c>
      <c r="Y178" s="80">
        <v>0</v>
      </c>
      <c r="Z178" s="84">
        <v>44005.745416666665</v>
      </c>
      <c r="AA178" s="84">
        <v>44005.745416666665</v>
      </c>
      <c r="AB178" s="80"/>
      <c r="AC178" s="80"/>
      <c r="AD178" s="80"/>
      <c r="AE178">
        <v>1</v>
      </c>
      <c r="AF178" s="79" t="str">
        <f>REPLACE(INDEX(GroupVertices[Group],MATCH(Edges[[#This Row],[Vertex 1]],GroupVertices[Vertex],0)),1,1,"")</f>
        <v>4</v>
      </c>
      <c r="AG178" s="79" t="str">
        <f>REPLACE(INDEX(GroupVertices[Group],MATCH(Edges[[#This Row],[Vertex 2]],GroupVertices[Vertex],0)),1,1,"")</f>
        <v>4</v>
      </c>
      <c r="AH178" s="48">
        <v>0</v>
      </c>
      <c r="AI178" s="49">
        <v>0</v>
      </c>
      <c r="AJ178" s="48">
        <v>0</v>
      </c>
      <c r="AK178" s="49">
        <v>0</v>
      </c>
      <c r="AL178" s="48">
        <v>0</v>
      </c>
      <c r="AM178" s="49">
        <v>0</v>
      </c>
      <c r="AN178" s="48">
        <v>5</v>
      </c>
      <c r="AO178" s="49">
        <v>100</v>
      </c>
      <c r="AP178" s="48">
        <v>5</v>
      </c>
    </row>
    <row r="179" spans="1:42" ht="15">
      <c r="A179" s="65" t="s">
        <v>306</v>
      </c>
      <c r="B179" s="65" t="s">
        <v>300</v>
      </c>
      <c r="C179" s="66" t="s">
        <v>1901</v>
      </c>
      <c r="D179" s="67">
        <v>3</v>
      </c>
      <c r="E179" s="68"/>
      <c r="F179" s="69">
        <v>50</v>
      </c>
      <c r="G179" s="66"/>
      <c r="H179" s="70"/>
      <c r="I179" s="71"/>
      <c r="J179" s="71"/>
      <c r="K179" s="34" t="s">
        <v>66</v>
      </c>
      <c r="L179" s="78">
        <v>179</v>
      </c>
      <c r="M179" s="78"/>
      <c r="N179" s="73"/>
      <c r="O179" s="80" t="s">
        <v>332</v>
      </c>
      <c r="P179" s="80" t="s">
        <v>198</v>
      </c>
      <c r="Q179" s="80" t="s">
        <v>506</v>
      </c>
      <c r="R179" s="80" t="s">
        <v>306</v>
      </c>
      <c r="S179" s="80" t="s">
        <v>647</v>
      </c>
      <c r="T179" s="82" t="str">
        <f>HYPERLINK("http://www.youtube.com/channel/UCyqTrRZ04SxeiFtYRkWmnUA")</f>
        <v>http://www.youtube.com/channel/UCyqTrRZ04SxeiFtYRkWmnUA</v>
      </c>
      <c r="U179" s="80"/>
      <c r="V179" s="80" t="s">
        <v>787</v>
      </c>
      <c r="W179" s="82" t="str">
        <f>HYPERLINK("https://www.youtube.com/watch?v=hhZ62IlTxYs")</f>
        <v>https://www.youtube.com/watch?v=hhZ62IlTxYs</v>
      </c>
      <c r="X179" s="80" t="s">
        <v>794</v>
      </c>
      <c r="Y179" s="80">
        <v>0</v>
      </c>
      <c r="Z179" s="84">
        <v>44005.670439814814</v>
      </c>
      <c r="AA179" s="84">
        <v>44005.670439814814</v>
      </c>
      <c r="AB179" s="80"/>
      <c r="AC179" s="80"/>
      <c r="AD179" s="80"/>
      <c r="AE179">
        <v>1</v>
      </c>
      <c r="AF179" s="79" t="str">
        <f>REPLACE(INDEX(GroupVertices[Group],MATCH(Edges[[#This Row],[Vertex 1]],GroupVertices[Vertex],0)),1,1,"")</f>
        <v>4</v>
      </c>
      <c r="AG179" s="79" t="str">
        <f>REPLACE(INDEX(GroupVertices[Group],MATCH(Edges[[#This Row],[Vertex 2]],GroupVertices[Vertex],0)),1,1,"")</f>
        <v>4</v>
      </c>
      <c r="AH179" s="48">
        <v>0</v>
      </c>
      <c r="AI179" s="49">
        <v>0</v>
      </c>
      <c r="AJ179" s="48">
        <v>0</v>
      </c>
      <c r="AK179" s="49">
        <v>0</v>
      </c>
      <c r="AL179" s="48">
        <v>0</v>
      </c>
      <c r="AM179" s="49">
        <v>0</v>
      </c>
      <c r="AN179" s="48">
        <v>7</v>
      </c>
      <c r="AO179" s="49">
        <v>100</v>
      </c>
      <c r="AP179" s="48">
        <v>7</v>
      </c>
    </row>
    <row r="180" spans="1:42" ht="15">
      <c r="A180" s="65" t="s">
        <v>300</v>
      </c>
      <c r="B180" s="65" t="s">
        <v>307</v>
      </c>
      <c r="C180" s="66" t="s">
        <v>1901</v>
      </c>
      <c r="D180" s="67">
        <v>3</v>
      </c>
      <c r="E180" s="68"/>
      <c r="F180" s="69">
        <v>50</v>
      </c>
      <c r="G180" s="66"/>
      <c r="H180" s="70"/>
      <c r="I180" s="71"/>
      <c r="J180" s="71"/>
      <c r="K180" s="34" t="s">
        <v>66</v>
      </c>
      <c r="L180" s="78">
        <v>180</v>
      </c>
      <c r="M180" s="78"/>
      <c r="N180" s="73"/>
      <c r="O180" s="80" t="s">
        <v>331</v>
      </c>
      <c r="P180" s="80" t="s">
        <v>333</v>
      </c>
      <c r="Q180" s="80" t="s">
        <v>507</v>
      </c>
      <c r="R180" s="80" t="s">
        <v>300</v>
      </c>
      <c r="S180" s="80" t="s">
        <v>641</v>
      </c>
      <c r="T180" s="82" t="str">
        <f>HYPERLINK("http://www.youtube.com/channel/UCh9nVJoWXmFb7sLApWGcLPQ")</f>
        <v>http://www.youtube.com/channel/UCh9nVJoWXmFb7sLApWGcLPQ</v>
      </c>
      <c r="U180" s="80" t="s">
        <v>744</v>
      </c>
      <c r="V180" s="80" t="s">
        <v>787</v>
      </c>
      <c r="W180" s="82" t="str">
        <f>HYPERLINK("https://www.youtube.com/watch?v=hhZ62IlTxYs")</f>
        <v>https://www.youtube.com/watch?v=hhZ62IlTxYs</v>
      </c>
      <c r="X180" s="80" t="s">
        <v>794</v>
      </c>
      <c r="Y180" s="80">
        <v>0</v>
      </c>
      <c r="Z180" s="84">
        <v>44006.4665625</v>
      </c>
      <c r="AA180" s="84">
        <v>44006.4665625</v>
      </c>
      <c r="AB180" s="80"/>
      <c r="AC180" s="80"/>
      <c r="AD180" s="80"/>
      <c r="AE180">
        <v>1</v>
      </c>
      <c r="AF180" s="79" t="str">
        <f>REPLACE(INDEX(GroupVertices[Group],MATCH(Edges[[#This Row],[Vertex 1]],GroupVertices[Vertex],0)),1,1,"")</f>
        <v>4</v>
      </c>
      <c r="AG180" s="79" t="str">
        <f>REPLACE(INDEX(GroupVertices[Group],MATCH(Edges[[#This Row],[Vertex 2]],GroupVertices[Vertex],0)),1,1,"")</f>
        <v>4</v>
      </c>
      <c r="AH180" s="48">
        <v>0</v>
      </c>
      <c r="AI180" s="49">
        <v>0</v>
      </c>
      <c r="AJ180" s="48">
        <v>0</v>
      </c>
      <c r="AK180" s="49">
        <v>0</v>
      </c>
      <c r="AL180" s="48">
        <v>0</v>
      </c>
      <c r="AM180" s="49">
        <v>0</v>
      </c>
      <c r="AN180" s="48">
        <v>33</v>
      </c>
      <c r="AO180" s="49">
        <v>100</v>
      </c>
      <c r="AP180" s="48">
        <v>33</v>
      </c>
    </row>
    <row r="181" spans="1:42" ht="15">
      <c r="A181" s="65" t="s">
        <v>307</v>
      </c>
      <c r="B181" s="65" t="s">
        <v>300</v>
      </c>
      <c r="C181" s="66" t="s">
        <v>1901</v>
      </c>
      <c r="D181" s="67">
        <v>3</v>
      </c>
      <c r="E181" s="68"/>
      <c r="F181" s="69">
        <v>50</v>
      </c>
      <c r="G181" s="66"/>
      <c r="H181" s="70"/>
      <c r="I181" s="71"/>
      <c r="J181" s="71"/>
      <c r="K181" s="34" t="s">
        <v>66</v>
      </c>
      <c r="L181" s="78">
        <v>181</v>
      </c>
      <c r="M181" s="78"/>
      <c r="N181" s="73"/>
      <c r="O181" s="80" t="s">
        <v>332</v>
      </c>
      <c r="P181" s="80" t="s">
        <v>198</v>
      </c>
      <c r="Q181" s="80" t="s">
        <v>508</v>
      </c>
      <c r="R181" s="80" t="s">
        <v>307</v>
      </c>
      <c r="S181" s="80" t="s">
        <v>648</v>
      </c>
      <c r="T181" s="82" t="str">
        <f>HYPERLINK("http://www.youtube.com/channel/UCMMs7TOs0jsoaZ5TdXOixaw")</f>
        <v>http://www.youtube.com/channel/UCMMs7TOs0jsoaZ5TdXOixaw</v>
      </c>
      <c r="U181" s="80"/>
      <c r="V181" s="80" t="s">
        <v>787</v>
      </c>
      <c r="W181" s="82" t="str">
        <f>HYPERLINK("https://www.youtube.com/watch?v=hhZ62IlTxYs")</f>
        <v>https://www.youtube.com/watch?v=hhZ62IlTxYs</v>
      </c>
      <c r="X181" s="80" t="s">
        <v>794</v>
      </c>
      <c r="Y181" s="80">
        <v>0</v>
      </c>
      <c r="Z181" s="84">
        <v>44006.0255787037</v>
      </c>
      <c r="AA181" s="84">
        <v>44006.0255787037</v>
      </c>
      <c r="AB181" s="80"/>
      <c r="AC181" s="80"/>
      <c r="AD181" s="80"/>
      <c r="AE181">
        <v>1</v>
      </c>
      <c r="AF181" s="79" t="str">
        <f>REPLACE(INDEX(GroupVertices[Group],MATCH(Edges[[#This Row],[Vertex 1]],GroupVertices[Vertex],0)),1,1,"")</f>
        <v>4</v>
      </c>
      <c r="AG181" s="79" t="str">
        <f>REPLACE(INDEX(GroupVertices[Group],MATCH(Edges[[#This Row],[Vertex 2]],GroupVertices[Vertex],0)),1,1,"")</f>
        <v>4</v>
      </c>
      <c r="AH181" s="48">
        <v>2</v>
      </c>
      <c r="AI181" s="49">
        <v>6.451612903225806</v>
      </c>
      <c r="AJ181" s="48">
        <v>0</v>
      </c>
      <c r="AK181" s="49">
        <v>0</v>
      </c>
      <c r="AL181" s="48">
        <v>0</v>
      </c>
      <c r="AM181" s="49">
        <v>0</v>
      </c>
      <c r="AN181" s="48">
        <v>29</v>
      </c>
      <c r="AO181" s="49">
        <v>93.54838709677419</v>
      </c>
      <c r="AP181" s="48">
        <v>31</v>
      </c>
    </row>
    <row r="182" spans="1:42" ht="15">
      <c r="A182" s="65" t="s">
        <v>300</v>
      </c>
      <c r="B182" s="65" t="s">
        <v>308</v>
      </c>
      <c r="C182" s="66" t="s">
        <v>1901</v>
      </c>
      <c r="D182" s="67">
        <v>3</v>
      </c>
      <c r="E182" s="68"/>
      <c r="F182" s="69">
        <v>50</v>
      </c>
      <c r="G182" s="66"/>
      <c r="H182" s="70"/>
      <c r="I182" s="71"/>
      <c r="J182" s="71"/>
      <c r="K182" s="34" t="s">
        <v>66</v>
      </c>
      <c r="L182" s="78">
        <v>182</v>
      </c>
      <c r="M182" s="78"/>
      <c r="N182" s="73"/>
      <c r="O182" s="80" t="s">
        <v>331</v>
      </c>
      <c r="P182" s="80" t="s">
        <v>333</v>
      </c>
      <c r="Q182" s="80" t="s">
        <v>509</v>
      </c>
      <c r="R182" s="80" t="s">
        <v>300</v>
      </c>
      <c r="S182" s="80" t="s">
        <v>641</v>
      </c>
      <c r="T182" s="82" t="str">
        <f>HYPERLINK("http://www.youtube.com/channel/UCh9nVJoWXmFb7sLApWGcLPQ")</f>
        <v>http://www.youtube.com/channel/UCh9nVJoWXmFb7sLApWGcLPQ</v>
      </c>
      <c r="U182" s="80" t="s">
        <v>745</v>
      </c>
      <c r="V182" s="80" t="s">
        <v>787</v>
      </c>
      <c r="W182" s="82" t="str">
        <f>HYPERLINK("https://www.youtube.com/watch?v=hhZ62IlTxYs")</f>
        <v>https://www.youtube.com/watch?v=hhZ62IlTxYs</v>
      </c>
      <c r="X182" s="80" t="s">
        <v>794</v>
      </c>
      <c r="Y182" s="80">
        <v>0</v>
      </c>
      <c r="Z182" s="84">
        <v>44006.46545138889</v>
      </c>
      <c r="AA182" s="84">
        <v>44006.46545138889</v>
      </c>
      <c r="AB182" s="80"/>
      <c r="AC182" s="80"/>
      <c r="AD182" s="80"/>
      <c r="AE182">
        <v>1</v>
      </c>
      <c r="AF182" s="79" t="str">
        <f>REPLACE(INDEX(GroupVertices[Group],MATCH(Edges[[#This Row],[Vertex 1]],GroupVertices[Vertex],0)),1,1,"")</f>
        <v>4</v>
      </c>
      <c r="AG182" s="79" t="str">
        <f>REPLACE(INDEX(GroupVertices[Group],MATCH(Edges[[#This Row],[Vertex 2]],GroupVertices[Vertex],0)),1,1,"")</f>
        <v>4</v>
      </c>
      <c r="AH182" s="48">
        <v>0</v>
      </c>
      <c r="AI182" s="49">
        <v>0</v>
      </c>
      <c r="AJ182" s="48">
        <v>0</v>
      </c>
      <c r="AK182" s="49">
        <v>0</v>
      </c>
      <c r="AL182" s="48">
        <v>0</v>
      </c>
      <c r="AM182" s="49">
        <v>0</v>
      </c>
      <c r="AN182" s="48">
        <v>12</v>
      </c>
      <c r="AO182" s="49">
        <v>100</v>
      </c>
      <c r="AP182" s="48">
        <v>12</v>
      </c>
    </row>
    <row r="183" spans="1:42" ht="15">
      <c r="A183" s="65" t="s">
        <v>308</v>
      </c>
      <c r="B183" s="65" t="s">
        <v>308</v>
      </c>
      <c r="C183" s="66" t="s">
        <v>1901</v>
      </c>
      <c r="D183" s="67">
        <v>3</v>
      </c>
      <c r="E183" s="68"/>
      <c r="F183" s="69">
        <v>50</v>
      </c>
      <c r="G183" s="66"/>
      <c r="H183" s="70"/>
      <c r="I183" s="71"/>
      <c r="J183" s="71"/>
      <c r="K183" s="34" t="s">
        <v>65</v>
      </c>
      <c r="L183" s="78">
        <v>183</v>
      </c>
      <c r="M183" s="78"/>
      <c r="N183" s="73"/>
      <c r="O183" s="80" t="s">
        <v>331</v>
      </c>
      <c r="P183" s="80" t="s">
        <v>333</v>
      </c>
      <c r="Q183" s="80" t="s">
        <v>510</v>
      </c>
      <c r="R183" s="80" t="s">
        <v>308</v>
      </c>
      <c r="S183" s="80" t="s">
        <v>649</v>
      </c>
      <c r="T183" s="82" t="str">
        <f>HYPERLINK("http://www.youtube.com/channel/UCLTL0rIRyH694XlOLtVr63Q")</f>
        <v>http://www.youtube.com/channel/UCLTL0rIRyH694XlOLtVr63Q</v>
      </c>
      <c r="U183" s="80" t="s">
        <v>745</v>
      </c>
      <c r="V183" s="80" t="s">
        <v>787</v>
      </c>
      <c r="W183" s="82" t="str">
        <f>HYPERLINK("https://www.youtube.com/watch?v=hhZ62IlTxYs")</f>
        <v>https://www.youtube.com/watch?v=hhZ62IlTxYs</v>
      </c>
      <c r="X183" s="80" t="s">
        <v>794</v>
      </c>
      <c r="Y183" s="80">
        <v>0</v>
      </c>
      <c r="Z183" s="84">
        <v>44006.505324074074</v>
      </c>
      <c r="AA183" s="84">
        <v>44006.505324074074</v>
      </c>
      <c r="AB183" s="80"/>
      <c r="AC183" s="80"/>
      <c r="AD183" s="80"/>
      <c r="AE183">
        <v>1</v>
      </c>
      <c r="AF183" s="79" t="str">
        <f>REPLACE(INDEX(GroupVertices[Group],MATCH(Edges[[#This Row],[Vertex 1]],GroupVertices[Vertex],0)),1,1,"")</f>
        <v>4</v>
      </c>
      <c r="AG183" s="79" t="str">
        <f>REPLACE(INDEX(GroupVertices[Group],MATCH(Edges[[#This Row],[Vertex 2]],GroupVertices[Vertex],0)),1,1,"")</f>
        <v>4</v>
      </c>
      <c r="AH183" s="48">
        <v>1</v>
      </c>
      <c r="AI183" s="49">
        <v>33.333333333333336</v>
      </c>
      <c r="AJ183" s="48">
        <v>0</v>
      </c>
      <c r="AK183" s="49">
        <v>0</v>
      </c>
      <c r="AL183" s="48">
        <v>0</v>
      </c>
      <c r="AM183" s="49">
        <v>0</v>
      </c>
      <c r="AN183" s="48">
        <v>2</v>
      </c>
      <c r="AO183" s="49">
        <v>66.66666666666667</v>
      </c>
      <c r="AP183" s="48">
        <v>3</v>
      </c>
    </row>
    <row r="184" spans="1:42" ht="15">
      <c r="A184" s="65" t="s">
        <v>308</v>
      </c>
      <c r="B184" s="65" t="s">
        <v>300</v>
      </c>
      <c r="C184" s="66" t="s">
        <v>1901</v>
      </c>
      <c r="D184" s="67">
        <v>3</v>
      </c>
      <c r="E184" s="68"/>
      <c r="F184" s="69">
        <v>50</v>
      </c>
      <c r="G184" s="66"/>
      <c r="H184" s="70"/>
      <c r="I184" s="71"/>
      <c r="J184" s="71"/>
      <c r="K184" s="34" t="s">
        <v>66</v>
      </c>
      <c r="L184" s="78">
        <v>184</v>
      </c>
      <c r="M184" s="78"/>
      <c r="N184" s="73"/>
      <c r="O184" s="80" t="s">
        <v>332</v>
      </c>
      <c r="P184" s="80" t="s">
        <v>198</v>
      </c>
      <c r="Q184" s="80" t="s">
        <v>511</v>
      </c>
      <c r="R184" s="80" t="s">
        <v>308</v>
      </c>
      <c r="S184" s="80" t="s">
        <v>649</v>
      </c>
      <c r="T184" s="82" t="str">
        <f>HYPERLINK("http://www.youtube.com/channel/UCLTL0rIRyH694XlOLtVr63Q")</f>
        <v>http://www.youtube.com/channel/UCLTL0rIRyH694XlOLtVr63Q</v>
      </c>
      <c r="U184" s="80"/>
      <c r="V184" s="80" t="s">
        <v>787</v>
      </c>
      <c r="W184" s="82" t="str">
        <f>HYPERLINK("https://www.youtube.com/watch?v=hhZ62IlTxYs")</f>
        <v>https://www.youtube.com/watch?v=hhZ62IlTxYs</v>
      </c>
      <c r="X184" s="80" t="s">
        <v>794</v>
      </c>
      <c r="Y184" s="80">
        <v>0</v>
      </c>
      <c r="Z184" s="84">
        <v>44006.21523148148</v>
      </c>
      <c r="AA184" s="84">
        <v>44006.21523148148</v>
      </c>
      <c r="AB184" s="80"/>
      <c r="AC184" s="80"/>
      <c r="AD184" s="80"/>
      <c r="AE184">
        <v>1</v>
      </c>
      <c r="AF184" s="79" t="str">
        <f>REPLACE(INDEX(GroupVertices[Group],MATCH(Edges[[#This Row],[Vertex 1]],GroupVertices[Vertex],0)),1,1,"")</f>
        <v>4</v>
      </c>
      <c r="AG184" s="79" t="str">
        <f>REPLACE(INDEX(GroupVertices[Group],MATCH(Edges[[#This Row],[Vertex 2]],GroupVertices[Vertex],0)),1,1,"")</f>
        <v>4</v>
      </c>
      <c r="AH184" s="48">
        <v>1</v>
      </c>
      <c r="AI184" s="49">
        <v>6.25</v>
      </c>
      <c r="AJ184" s="48">
        <v>0</v>
      </c>
      <c r="AK184" s="49">
        <v>0</v>
      </c>
      <c r="AL184" s="48">
        <v>0</v>
      </c>
      <c r="AM184" s="49">
        <v>0</v>
      </c>
      <c r="AN184" s="48">
        <v>15</v>
      </c>
      <c r="AO184" s="49">
        <v>93.75</v>
      </c>
      <c r="AP184" s="48">
        <v>16</v>
      </c>
    </row>
    <row r="185" spans="1:42" ht="15">
      <c r="A185" s="65" t="s">
        <v>300</v>
      </c>
      <c r="B185" s="65" t="s">
        <v>309</v>
      </c>
      <c r="C185" s="66" t="s">
        <v>1901</v>
      </c>
      <c r="D185" s="67">
        <v>3</v>
      </c>
      <c r="E185" s="68"/>
      <c r="F185" s="69">
        <v>50</v>
      </c>
      <c r="G185" s="66"/>
      <c r="H185" s="70"/>
      <c r="I185" s="71"/>
      <c r="J185" s="71"/>
      <c r="K185" s="34" t="s">
        <v>66</v>
      </c>
      <c r="L185" s="78">
        <v>185</v>
      </c>
      <c r="M185" s="78"/>
      <c r="N185" s="73"/>
      <c r="O185" s="80" t="s">
        <v>331</v>
      </c>
      <c r="P185" s="80" t="s">
        <v>333</v>
      </c>
      <c r="Q185" s="80" t="s">
        <v>512</v>
      </c>
      <c r="R185" s="80" t="s">
        <v>300</v>
      </c>
      <c r="S185" s="80" t="s">
        <v>641</v>
      </c>
      <c r="T185" s="82" t="str">
        <f>HYPERLINK("http://www.youtube.com/channel/UCh9nVJoWXmFb7sLApWGcLPQ")</f>
        <v>http://www.youtube.com/channel/UCh9nVJoWXmFb7sLApWGcLPQ</v>
      </c>
      <c r="U185" s="80" t="s">
        <v>746</v>
      </c>
      <c r="V185" s="80" t="s">
        <v>787</v>
      </c>
      <c r="W185" s="82" t="str">
        <f>HYPERLINK("https://www.youtube.com/watch?v=hhZ62IlTxYs")</f>
        <v>https://www.youtube.com/watch?v=hhZ62IlTxYs</v>
      </c>
      <c r="X185" s="80" t="s">
        <v>794</v>
      </c>
      <c r="Y185" s="80">
        <v>0</v>
      </c>
      <c r="Z185" s="84">
        <v>44006.47170138889</v>
      </c>
      <c r="AA185" s="84">
        <v>44006.47170138889</v>
      </c>
      <c r="AB185" s="80"/>
      <c r="AC185" s="80"/>
      <c r="AD185" s="80"/>
      <c r="AE185">
        <v>1</v>
      </c>
      <c r="AF185" s="79" t="str">
        <f>REPLACE(INDEX(GroupVertices[Group],MATCH(Edges[[#This Row],[Vertex 1]],GroupVertices[Vertex],0)),1,1,"")</f>
        <v>4</v>
      </c>
      <c r="AG185" s="79" t="str">
        <f>REPLACE(INDEX(GroupVertices[Group],MATCH(Edges[[#This Row],[Vertex 2]],GroupVertices[Vertex],0)),1,1,"")</f>
        <v>4</v>
      </c>
      <c r="AH185" s="48">
        <v>1</v>
      </c>
      <c r="AI185" s="49">
        <v>7.6923076923076925</v>
      </c>
      <c r="AJ185" s="48">
        <v>0</v>
      </c>
      <c r="AK185" s="49">
        <v>0</v>
      </c>
      <c r="AL185" s="48">
        <v>0</v>
      </c>
      <c r="AM185" s="49">
        <v>0</v>
      </c>
      <c r="AN185" s="48">
        <v>12</v>
      </c>
      <c r="AO185" s="49">
        <v>92.3076923076923</v>
      </c>
      <c r="AP185" s="48">
        <v>13</v>
      </c>
    </row>
    <row r="186" spans="1:42" ht="15">
      <c r="A186" s="65" t="s">
        <v>309</v>
      </c>
      <c r="B186" s="65" t="s">
        <v>300</v>
      </c>
      <c r="C186" s="66" t="s">
        <v>1901</v>
      </c>
      <c r="D186" s="67">
        <v>3</v>
      </c>
      <c r="E186" s="68"/>
      <c r="F186" s="69">
        <v>50</v>
      </c>
      <c r="G186" s="66"/>
      <c r="H186" s="70"/>
      <c r="I186" s="71"/>
      <c r="J186" s="71"/>
      <c r="K186" s="34" t="s">
        <v>66</v>
      </c>
      <c r="L186" s="78">
        <v>186</v>
      </c>
      <c r="M186" s="78"/>
      <c r="N186" s="73"/>
      <c r="O186" s="80" t="s">
        <v>332</v>
      </c>
      <c r="P186" s="80" t="s">
        <v>198</v>
      </c>
      <c r="Q186" s="80" t="s">
        <v>513</v>
      </c>
      <c r="R186" s="80" t="s">
        <v>309</v>
      </c>
      <c r="S186" s="80" t="s">
        <v>650</v>
      </c>
      <c r="T186" s="82" t="str">
        <f>HYPERLINK("http://www.youtube.com/channel/UCkTfNFxLWpU1bsaNRynVZgQ")</f>
        <v>http://www.youtube.com/channel/UCkTfNFxLWpU1bsaNRynVZgQ</v>
      </c>
      <c r="U186" s="80"/>
      <c r="V186" s="80" t="s">
        <v>787</v>
      </c>
      <c r="W186" s="82" t="str">
        <f>HYPERLINK("https://www.youtube.com/watch?v=hhZ62IlTxYs")</f>
        <v>https://www.youtube.com/watch?v=hhZ62IlTxYs</v>
      </c>
      <c r="X186" s="80" t="s">
        <v>794</v>
      </c>
      <c r="Y186" s="80">
        <v>1</v>
      </c>
      <c r="Z186" s="84">
        <v>44006.41105324074</v>
      </c>
      <c r="AA186" s="84">
        <v>44006.41105324074</v>
      </c>
      <c r="AB186" s="80"/>
      <c r="AC186" s="80"/>
      <c r="AD186" s="80"/>
      <c r="AE186">
        <v>1</v>
      </c>
      <c r="AF186" s="79" t="str">
        <f>REPLACE(INDEX(GroupVertices[Group],MATCH(Edges[[#This Row],[Vertex 1]],GroupVertices[Vertex],0)),1,1,"")</f>
        <v>4</v>
      </c>
      <c r="AG186" s="79" t="str">
        <f>REPLACE(INDEX(GroupVertices[Group],MATCH(Edges[[#This Row],[Vertex 2]],GroupVertices[Vertex],0)),1,1,"")</f>
        <v>4</v>
      </c>
      <c r="AH186" s="48">
        <v>1</v>
      </c>
      <c r="AI186" s="49">
        <v>5</v>
      </c>
      <c r="AJ186" s="48">
        <v>1</v>
      </c>
      <c r="AK186" s="49">
        <v>5</v>
      </c>
      <c r="AL186" s="48">
        <v>0</v>
      </c>
      <c r="AM186" s="49">
        <v>0</v>
      </c>
      <c r="AN186" s="48">
        <v>18</v>
      </c>
      <c r="AO186" s="49">
        <v>90</v>
      </c>
      <c r="AP186" s="48">
        <v>20</v>
      </c>
    </row>
    <row r="187" spans="1:42" ht="15">
      <c r="A187" s="65" t="s">
        <v>297</v>
      </c>
      <c r="B187" s="65" t="s">
        <v>310</v>
      </c>
      <c r="C187" s="66" t="s">
        <v>1900</v>
      </c>
      <c r="D187" s="67">
        <v>10</v>
      </c>
      <c r="E187" s="68"/>
      <c r="F187" s="69">
        <v>20</v>
      </c>
      <c r="G187" s="66"/>
      <c r="H187" s="70"/>
      <c r="I187" s="71"/>
      <c r="J187" s="71"/>
      <c r="K187" s="34" t="s">
        <v>66</v>
      </c>
      <c r="L187" s="78">
        <v>187</v>
      </c>
      <c r="M187" s="78"/>
      <c r="N187" s="73"/>
      <c r="O187" s="80" t="s">
        <v>331</v>
      </c>
      <c r="P187" s="80" t="s">
        <v>333</v>
      </c>
      <c r="Q187" s="80" t="s">
        <v>514</v>
      </c>
      <c r="R187" s="80" t="s">
        <v>297</v>
      </c>
      <c r="S187" s="80" t="s">
        <v>638</v>
      </c>
      <c r="T187" s="82" t="str">
        <f>HYPERLINK("http://www.youtube.com/channel/UCjg2kAW7dd0nmCmHrCSVUng")</f>
        <v>http://www.youtube.com/channel/UCjg2kAW7dd0nmCmHrCSVUng</v>
      </c>
      <c r="U187" s="80" t="s">
        <v>747</v>
      </c>
      <c r="V187" s="80" t="s">
        <v>786</v>
      </c>
      <c r="W187" s="82" t="str">
        <f>HYPERLINK("https://www.youtube.com/watch?v=W3TncA8v4gE")</f>
        <v>https://www.youtube.com/watch?v=W3TncA8v4gE</v>
      </c>
      <c r="X187" s="80" t="s">
        <v>794</v>
      </c>
      <c r="Y187" s="80">
        <v>0</v>
      </c>
      <c r="Z187" s="84">
        <v>44006.40565972222</v>
      </c>
      <c r="AA187" s="84">
        <v>44006.40565972222</v>
      </c>
      <c r="AB187" s="80"/>
      <c r="AC187" s="80"/>
      <c r="AD187" s="80"/>
      <c r="AE187">
        <v>2</v>
      </c>
      <c r="AF187" s="79" t="str">
        <f>REPLACE(INDEX(GroupVertices[Group],MATCH(Edges[[#This Row],[Vertex 1]],GroupVertices[Vertex],0)),1,1,"")</f>
        <v>3</v>
      </c>
      <c r="AG187" s="79" t="str">
        <f>REPLACE(INDEX(GroupVertices[Group],MATCH(Edges[[#This Row],[Vertex 2]],GroupVertices[Vertex],0)),1,1,"")</f>
        <v>3</v>
      </c>
      <c r="AH187" s="48">
        <v>0</v>
      </c>
      <c r="AI187" s="49">
        <v>0</v>
      </c>
      <c r="AJ187" s="48">
        <v>1</v>
      </c>
      <c r="AK187" s="49">
        <v>14.285714285714286</v>
      </c>
      <c r="AL187" s="48">
        <v>0</v>
      </c>
      <c r="AM187" s="49">
        <v>0</v>
      </c>
      <c r="AN187" s="48">
        <v>6</v>
      </c>
      <c r="AO187" s="49">
        <v>85.71428571428571</v>
      </c>
      <c r="AP187" s="48">
        <v>7</v>
      </c>
    </row>
    <row r="188" spans="1:42" ht="15">
      <c r="A188" s="65" t="s">
        <v>310</v>
      </c>
      <c r="B188" s="65" t="s">
        <v>297</v>
      </c>
      <c r="C188" s="66" t="s">
        <v>1900</v>
      </c>
      <c r="D188" s="67">
        <v>10</v>
      </c>
      <c r="E188" s="68"/>
      <c r="F188" s="69">
        <v>20</v>
      </c>
      <c r="G188" s="66"/>
      <c r="H188" s="70"/>
      <c r="I188" s="71"/>
      <c r="J188" s="71"/>
      <c r="K188" s="34" t="s">
        <v>66</v>
      </c>
      <c r="L188" s="78">
        <v>188</v>
      </c>
      <c r="M188" s="78"/>
      <c r="N188" s="73"/>
      <c r="O188" s="80" t="s">
        <v>332</v>
      </c>
      <c r="P188" s="80" t="s">
        <v>198</v>
      </c>
      <c r="Q188" s="80" t="s">
        <v>515</v>
      </c>
      <c r="R188" s="80" t="s">
        <v>310</v>
      </c>
      <c r="S188" s="80" t="s">
        <v>651</v>
      </c>
      <c r="T188" s="82" t="str">
        <f>HYPERLINK("http://www.youtube.com/channel/UCw9VbBLCPPDHCU8ocVaYbyQ")</f>
        <v>http://www.youtube.com/channel/UCw9VbBLCPPDHCU8ocVaYbyQ</v>
      </c>
      <c r="U188" s="80"/>
      <c r="V188" s="80" t="s">
        <v>786</v>
      </c>
      <c r="W188" s="82" t="str">
        <f>HYPERLINK("https://www.youtube.com/watch?v=W3TncA8v4gE")</f>
        <v>https://www.youtube.com/watch?v=W3TncA8v4gE</v>
      </c>
      <c r="X188" s="80" t="s">
        <v>794</v>
      </c>
      <c r="Y188" s="80">
        <v>0</v>
      </c>
      <c r="Z188" s="84">
        <v>44006.38615740741</v>
      </c>
      <c r="AA188" s="84">
        <v>44006.38615740741</v>
      </c>
      <c r="AB188" s="80"/>
      <c r="AC188" s="80"/>
      <c r="AD188" s="80"/>
      <c r="AE188">
        <v>2</v>
      </c>
      <c r="AF188" s="79" t="str">
        <f>REPLACE(INDEX(GroupVertices[Group],MATCH(Edges[[#This Row],[Vertex 1]],GroupVertices[Vertex],0)),1,1,"")</f>
        <v>3</v>
      </c>
      <c r="AG188" s="79" t="str">
        <f>REPLACE(INDEX(GroupVertices[Group],MATCH(Edges[[#This Row],[Vertex 2]],GroupVertices[Vertex],0)),1,1,"")</f>
        <v>3</v>
      </c>
      <c r="AH188" s="48">
        <v>0</v>
      </c>
      <c r="AI188" s="49">
        <v>0</v>
      </c>
      <c r="AJ188" s="48">
        <v>0</v>
      </c>
      <c r="AK188" s="49">
        <v>0</v>
      </c>
      <c r="AL188" s="48">
        <v>0</v>
      </c>
      <c r="AM188" s="49">
        <v>0</v>
      </c>
      <c r="AN188" s="48">
        <v>35</v>
      </c>
      <c r="AO188" s="49">
        <v>100</v>
      </c>
      <c r="AP188" s="48">
        <v>35</v>
      </c>
    </row>
    <row r="189" spans="1:42" ht="15">
      <c r="A189" s="65" t="s">
        <v>297</v>
      </c>
      <c r="B189" s="65" t="s">
        <v>310</v>
      </c>
      <c r="C189" s="66" t="s">
        <v>1900</v>
      </c>
      <c r="D189" s="67">
        <v>10</v>
      </c>
      <c r="E189" s="68"/>
      <c r="F189" s="69">
        <v>20</v>
      </c>
      <c r="G189" s="66"/>
      <c r="H189" s="70"/>
      <c r="I189" s="71"/>
      <c r="J189" s="71"/>
      <c r="K189" s="34" t="s">
        <v>66</v>
      </c>
      <c r="L189" s="78">
        <v>189</v>
      </c>
      <c r="M189" s="78"/>
      <c r="N189" s="73"/>
      <c r="O189" s="80" t="s">
        <v>331</v>
      </c>
      <c r="P189" s="80" t="s">
        <v>333</v>
      </c>
      <c r="Q189" s="80" t="s">
        <v>516</v>
      </c>
      <c r="R189" s="80" t="s">
        <v>297</v>
      </c>
      <c r="S189" s="80" t="s">
        <v>638</v>
      </c>
      <c r="T189" s="82" t="str">
        <f>HYPERLINK("http://www.youtube.com/channel/UCjg2kAW7dd0nmCmHrCSVUng")</f>
        <v>http://www.youtube.com/channel/UCjg2kAW7dd0nmCmHrCSVUng</v>
      </c>
      <c r="U189" s="80" t="s">
        <v>748</v>
      </c>
      <c r="V189" s="80" t="s">
        <v>786</v>
      </c>
      <c r="W189" s="82" t="str">
        <f>HYPERLINK("https://www.youtube.com/watch?v=W3TncA8v4gE")</f>
        <v>https://www.youtube.com/watch?v=W3TncA8v4gE</v>
      </c>
      <c r="X189" s="80" t="s">
        <v>794</v>
      </c>
      <c r="Y189" s="80">
        <v>1</v>
      </c>
      <c r="Z189" s="84">
        <v>44006.39467592593</v>
      </c>
      <c r="AA189" s="84">
        <v>44006.39467592593</v>
      </c>
      <c r="AB189" s="80"/>
      <c r="AC189" s="80"/>
      <c r="AD189" s="80"/>
      <c r="AE189">
        <v>2</v>
      </c>
      <c r="AF189" s="79" t="str">
        <f>REPLACE(INDEX(GroupVertices[Group],MATCH(Edges[[#This Row],[Vertex 1]],GroupVertices[Vertex],0)),1,1,"")</f>
        <v>3</v>
      </c>
      <c r="AG189" s="79" t="str">
        <f>REPLACE(INDEX(GroupVertices[Group],MATCH(Edges[[#This Row],[Vertex 2]],GroupVertices[Vertex],0)),1,1,"")</f>
        <v>3</v>
      </c>
      <c r="AH189" s="48">
        <v>1</v>
      </c>
      <c r="AI189" s="49">
        <v>1.9230769230769231</v>
      </c>
      <c r="AJ189" s="48">
        <v>0</v>
      </c>
      <c r="AK189" s="49">
        <v>0</v>
      </c>
      <c r="AL189" s="48">
        <v>0</v>
      </c>
      <c r="AM189" s="49">
        <v>0</v>
      </c>
      <c r="AN189" s="48">
        <v>51</v>
      </c>
      <c r="AO189" s="49">
        <v>98.07692307692308</v>
      </c>
      <c r="AP189" s="48">
        <v>52</v>
      </c>
    </row>
    <row r="190" spans="1:42" ht="15">
      <c r="A190" s="65" t="s">
        <v>310</v>
      </c>
      <c r="B190" s="65" t="s">
        <v>297</v>
      </c>
      <c r="C190" s="66" t="s">
        <v>1900</v>
      </c>
      <c r="D190" s="67">
        <v>10</v>
      </c>
      <c r="E190" s="68"/>
      <c r="F190" s="69">
        <v>20</v>
      </c>
      <c r="G190" s="66"/>
      <c r="H190" s="70"/>
      <c r="I190" s="71"/>
      <c r="J190" s="71"/>
      <c r="K190" s="34" t="s">
        <v>66</v>
      </c>
      <c r="L190" s="78">
        <v>190</v>
      </c>
      <c r="M190" s="78"/>
      <c r="N190" s="73"/>
      <c r="O190" s="80" t="s">
        <v>332</v>
      </c>
      <c r="P190" s="80" t="s">
        <v>198</v>
      </c>
      <c r="Q190" s="80" t="s">
        <v>517</v>
      </c>
      <c r="R190" s="80" t="s">
        <v>310</v>
      </c>
      <c r="S190" s="80" t="s">
        <v>651</v>
      </c>
      <c r="T190" s="82" t="str">
        <f>HYPERLINK("http://www.youtube.com/channel/UCw9VbBLCPPDHCU8ocVaYbyQ")</f>
        <v>http://www.youtube.com/channel/UCw9VbBLCPPDHCU8ocVaYbyQ</v>
      </c>
      <c r="U190" s="80"/>
      <c r="V190" s="80" t="s">
        <v>786</v>
      </c>
      <c r="W190" s="82" t="str">
        <f>HYPERLINK("https://www.youtube.com/watch?v=W3TncA8v4gE")</f>
        <v>https://www.youtube.com/watch?v=W3TncA8v4gE</v>
      </c>
      <c r="X190" s="80" t="s">
        <v>794</v>
      </c>
      <c r="Y190" s="80">
        <v>0</v>
      </c>
      <c r="Z190" s="84">
        <v>44006.389074074075</v>
      </c>
      <c r="AA190" s="84">
        <v>44006.389074074075</v>
      </c>
      <c r="AB190" s="80"/>
      <c r="AC190" s="80"/>
      <c r="AD190" s="80"/>
      <c r="AE190">
        <v>2</v>
      </c>
      <c r="AF190" s="79" t="str">
        <f>REPLACE(INDEX(GroupVertices[Group],MATCH(Edges[[#This Row],[Vertex 1]],GroupVertices[Vertex],0)),1,1,"")</f>
        <v>3</v>
      </c>
      <c r="AG190" s="79" t="str">
        <f>REPLACE(INDEX(GroupVertices[Group],MATCH(Edges[[#This Row],[Vertex 2]],GroupVertices[Vertex],0)),1,1,"")</f>
        <v>3</v>
      </c>
      <c r="AH190" s="48">
        <v>1</v>
      </c>
      <c r="AI190" s="49">
        <v>3.7037037037037037</v>
      </c>
      <c r="AJ190" s="48">
        <v>0</v>
      </c>
      <c r="AK190" s="49">
        <v>0</v>
      </c>
      <c r="AL190" s="48">
        <v>0</v>
      </c>
      <c r="AM190" s="49">
        <v>0</v>
      </c>
      <c r="AN190" s="48">
        <v>26</v>
      </c>
      <c r="AO190" s="49">
        <v>96.29629629629629</v>
      </c>
      <c r="AP190" s="48">
        <v>27</v>
      </c>
    </row>
    <row r="191" spans="1:42" ht="15">
      <c r="A191" s="65" t="s">
        <v>297</v>
      </c>
      <c r="B191" s="65" t="s">
        <v>298</v>
      </c>
      <c r="C191" s="66" t="s">
        <v>1901</v>
      </c>
      <c r="D191" s="67">
        <v>3</v>
      </c>
      <c r="E191" s="68"/>
      <c r="F191" s="69">
        <v>50</v>
      </c>
      <c r="G191" s="66"/>
      <c r="H191" s="70"/>
      <c r="I191" s="71"/>
      <c r="J191" s="71"/>
      <c r="K191" s="34" t="s">
        <v>66</v>
      </c>
      <c r="L191" s="78">
        <v>191</v>
      </c>
      <c r="M191" s="78"/>
      <c r="N191" s="73"/>
      <c r="O191" s="80" t="s">
        <v>331</v>
      </c>
      <c r="P191" s="80" t="s">
        <v>333</v>
      </c>
      <c r="Q191" s="80" t="s">
        <v>518</v>
      </c>
      <c r="R191" s="80" t="s">
        <v>297</v>
      </c>
      <c r="S191" s="80" t="s">
        <v>638</v>
      </c>
      <c r="T191" s="82" t="str">
        <f>HYPERLINK("http://www.youtube.com/channel/UCjg2kAW7dd0nmCmHrCSVUng")</f>
        <v>http://www.youtube.com/channel/UCjg2kAW7dd0nmCmHrCSVUng</v>
      </c>
      <c r="U191" s="80" t="s">
        <v>749</v>
      </c>
      <c r="V191" s="80" t="s">
        <v>788</v>
      </c>
      <c r="W191" s="82" t="str">
        <f>HYPERLINK("https://www.youtube.com/watch?v=CyURbZ6M6ks")</f>
        <v>https://www.youtube.com/watch?v=CyURbZ6M6ks</v>
      </c>
      <c r="X191" s="80" t="s">
        <v>794</v>
      </c>
      <c r="Y191" s="80">
        <v>0</v>
      </c>
      <c r="Z191" s="84">
        <v>44005.912465277775</v>
      </c>
      <c r="AA191" s="84">
        <v>44005.912465277775</v>
      </c>
      <c r="AB191" s="80"/>
      <c r="AC191" s="80"/>
      <c r="AD191" s="80"/>
      <c r="AE191">
        <v>1</v>
      </c>
      <c r="AF191" s="79" t="str">
        <f>REPLACE(INDEX(GroupVertices[Group],MATCH(Edges[[#This Row],[Vertex 1]],GroupVertices[Vertex],0)),1,1,"")</f>
        <v>3</v>
      </c>
      <c r="AG191" s="79" t="str">
        <f>REPLACE(INDEX(GroupVertices[Group],MATCH(Edges[[#This Row],[Vertex 2]],GroupVertices[Vertex],0)),1,1,"")</f>
        <v>3</v>
      </c>
      <c r="AH191" s="48">
        <v>0</v>
      </c>
      <c r="AI191" s="49">
        <v>0</v>
      </c>
      <c r="AJ191" s="48">
        <v>0</v>
      </c>
      <c r="AK191" s="49">
        <v>0</v>
      </c>
      <c r="AL191" s="48">
        <v>0</v>
      </c>
      <c r="AM191" s="49">
        <v>0</v>
      </c>
      <c r="AN191" s="48">
        <v>18</v>
      </c>
      <c r="AO191" s="49">
        <v>100</v>
      </c>
      <c r="AP191" s="48">
        <v>18</v>
      </c>
    </row>
    <row r="192" spans="1:42" ht="15">
      <c r="A192" s="65" t="s">
        <v>298</v>
      </c>
      <c r="B192" s="65" t="s">
        <v>297</v>
      </c>
      <c r="C192" s="66" t="s">
        <v>1901</v>
      </c>
      <c r="D192" s="67">
        <v>3</v>
      </c>
      <c r="E192" s="68"/>
      <c r="F192" s="69">
        <v>50</v>
      </c>
      <c r="G192" s="66"/>
      <c r="H192" s="70"/>
      <c r="I192" s="71"/>
      <c r="J192" s="71"/>
      <c r="K192" s="34" t="s">
        <v>66</v>
      </c>
      <c r="L192" s="78">
        <v>192</v>
      </c>
      <c r="M192" s="78"/>
      <c r="N192" s="73"/>
      <c r="O192" s="80" t="s">
        <v>332</v>
      </c>
      <c r="P192" s="80" t="s">
        <v>198</v>
      </c>
      <c r="Q192" s="80" t="s">
        <v>519</v>
      </c>
      <c r="R192" s="80" t="s">
        <v>298</v>
      </c>
      <c r="S192" s="80" t="s">
        <v>639</v>
      </c>
      <c r="T192" s="82" t="str">
        <f>HYPERLINK("http://www.youtube.com/channel/UC1rRu-VgjGKeuGQmoEs_oag")</f>
        <v>http://www.youtube.com/channel/UC1rRu-VgjGKeuGQmoEs_oag</v>
      </c>
      <c r="U192" s="80"/>
      <c r="V192" s="80" t="s">
        <v>788</v>
      </c>
      <c r="W192" s="82" t="str">
        <f>HYPERLINK("https://www.youtube.com/watch?v=CyURbZ6M6ks")</f>
        <v>https://www.youtube.com/watch?v=CyURbZ6M6ks</v>
      </c>
      <c r="X192" s="80" t="s">
        <v>794</v>
      </c>
      <c r="Y192" s="80">
        <v>0</v>
      </c>
      <c r="Z192" s="84">
        <v>44005.81712962963</v>
      </c>
      <c r="AA192" s="84">
        <v>44005.81712962963</v>
      </c>
      <c r="AB192" s="80"/>
      <c r="AC192" s="80"/>
      <c r="AD192" s="80"/>
      <c r="AE192">
        <v>1</v>
      </c>
      <c r="AF192" s="79" t="str">
        <f>REPLACE(INDEX(GroupVertices[Group],MATCH(Edges[[#This Row],[Vertex 1]],GroupVertices[Vertex],0)),1,1,"")</f>
        <v>3</v>
      </c>
      <c r="AG192" s="79" t="str">
        <f>REPLACE(INDEX(GroupVertices[Group],MATCH(Edges[[#This Row],[Vertex 2]],GroupVertices[Vertex],0)),1,1,"")</f>
        <v>3</v>
      </c>
      <c r="AH192" s="48">
        <v>1</v>
      </c>
      <c r="AI192" s="49">
        <v>3.4482758620689653</v>
      </c>
      <c r="AJ192" s="48">
        <v>0</v>
      </c>
      <c r="AK192" s="49">
        <v>0</v>
      </c>
      <c r="AL192" s="48">
        <v>0</v>
      </c>
      <c r="AM192" s="49">
        <v>0</v>
      </c>
      <c r="AN192" s="48">
        <v>28</v>
      </c>
      <c r="AO192" s="49">
        <v>96.55172413793103</v>
      </c>
      <c r="AP192" s="48">
        <v>29</v>
      </c>
    </row>
    <row r="193" spans="1:42" ht="15">
      <c r="A193" s="65" t="s">
        <v>298</v>
      </c>
      <c r="B193" s="65" t="s">
        <v>298</v>
      </c>
      <c r="C193" s="66" t="s">
        <v>1900</v>
      </c>
      <c r="D193" s="67">
        <v>10</v>
      </c>
      <c r="E193" s="68"/>
      <c r="F193" s="69">
        <v>20</v>
      </c>
      <c r="G193" s="66"/>
      <c r="H193" s="70"/>
      <c r="I193" s="71"/>
      <c r="J193" s="71"/>
      <c r="K193" s="34" t="s">
        <v>65</v>
      </c>
      <c r="L193" s="78">
        <v>193</v>
      </c>
      <c r="M193" s="78"/>
      <c r="N193" s="73"/>
      <c r="O193" s="80" t="s">
        <v>331</v>
      </c>
      <c r="P193" s="80" t="s">
        <v>333</v>
      </c>
      <c r="Q193" s="80" t="s">
        <v>520</v>
      </c>
      <c r="R193" s="80" t="s">
        <v>298</v>
      </c>
      <c r="S193" s="80" t="s">
        <v>639</v>
      </c>
      <c r="T193" s="82" t="str">
        <f>HYPERLINK("http://www.youtube.com/channel/UC1rRu-VgjGKeuGQmoEs_oag")</f>
        <v>http://www.youtube.com/channel/UC1rRu-VgjGKeuGQmoEs_oag</v>
      </c>
      <c r="U193" s="80" t="s">
        <v>749</v>
      </c>
      <c r="V193" s="80" t="s">
        <v>788</v>
      </c>
      <c r="W193" s="82" t="str">
        <f>HYPERLINK("https://www.youtube.com/watch?v=CyURbZ6M6ks")</f>
        <v>https://www.youtube.com/watch?v=CyURbZ6M6ks</v>
      </c>
      <c r="X193" s="80" t="s">
        <v>794</v>
      </c>
      <c r="Y193" s="80">
        <v>0</v>
      </c>
      <c r="Z193" s="84">
        <v>44005.934583333335</v>
      </c>
      <c r="AA193" s="84">
        <v>44005.934583333335</v>
      </c>
      <c r="AB193" s="80"/>
      <c r="AC193" s="80"/>
      <c r="AD193" s="80"/>
      <c r="AE193">
        <v>2</v>
      </c>
      <c r="AF193" s="79" t="str">
        <f>REPLACE(INDEX(GroupVertices[Group],MATCH(Edges[[#This Row],[Vertex 1]],GroupVertices[Vertex],0)),1,1,"")</f>
        <v>3</v>
      </c>
      <c r="AG193" s="79" t="str">
        <f>REPLACE(INDEX(GroupVertices[Group],MATCH(Edges[[#This Row],[Vertex 2]],GroupVertices[Vertex],0)),1,1,"")</f>
        <v>3</v>
      </c>
      <c r="AH193" s="48">
        <v>0</v>
      </c>
      <c r="AI193" s="49">
        <v>0</v>
      </c>
      <c r="AJ193" s="48">
        <v>0</v>
      </c>
      <c r="AK193" s="49">
        <v>0</v>
      </c>
      <c r="AL193" s="48">
        <v>0</v>
      </c>
      <c r="AM193" s="49">
        <v>0</v>
      </c>
      <c r="AN193" s="48">
        <v>3</v>
      </c>
      <c r="AO193" s="49">
        <v>100</v>
      </c>
      <c r="AP193" s="48">
        <v>3</v>
      </c>
    </row>
    <row r="194" spans="1:42" ht="15">
      <c r="A194" s="65" t="s">
        <v>298</v>
      </c>
      <c r="B194" s="65" t="s">
        <v>298</v>
      </c>
      <c r="C194" s="66" t="s">
        <v>1900</v>
      </c>
      <c r="D194" s="67">
        <v>10</v>
      </c>
      <c r="E194" s="68"/>
      <c r="F194" s="69">
        <v>20</v>
      </c>
      <c r="G194" s="66"/>
      <c r="H194" s="70"/>
      <c r="I194" s="71"/>
      <c r="J194" s="71"/>
      <c r="K194" s="34" t="s">
        <v>65</v>
      </c>
      <c r="L194" s="78">
        <v>194</v>
      </c>
      <c r="M194" s="78"/>
      <c r="N194" s="73"/>
      <c r="O194" s="80" t="s">
        <v>331</v>
      </c>
      <c r="P194" s="80" t="s">
        <v>333</v>
      </c>
      <c r="Q194" s="80" t="s">
        <v>521</v>
      </c>
      <c r="R194" s="80" t="s">
        <v>298</v>
      </c>
      <c r="S194" s="80" t="s">
        <v>639</v>
      </c>
      <c r="T194" s="82" t="str">
        <f>HYPERLINK("http://www.youtube.com/channel/UC1rRu-VgjGKeuGQmoEs_oag")</f>
        <v>http://www.youtube.com/channel/UC1rRu-VgjGKeuGQmoEs_oag</v>
      </c>
      <c r="U194" s="80" t="s">
        <v>749</v>
      </c>
      <c r="V194" s="80" t="s">
        <v>788</v>
      </c>
      <c r="W194" s="82" t="str">
        <f>HYPERLINK("https://www.youtube.com/watch?v=CyURbZ6M6ks")</f>
        <v>https://www.youtube.com/watch?v=CyURbZ6M6ks</v>
      </c>
      <c r="X194" s="80" t="s">
        <v>794</v>
      </c>
      <c r="Y194" s="80">
        <v>0</v>
      </c>
      <c r="Z194" s="84">
        <v>44005.93475694444</v>
      </c>
      <c r="AA194" s="84">
        <v>44005.93475694444</v>
      </c>
      <c r="AB194" s="80"/>
      <c r="AC194" s="80"/>
      <c r="AD194" s="80"/>
      <c r="AE194">
        <v>2</v>
      </c>
      <c r="AF194" s="79" t="str">
        <f>REPLACE(INDEX(GroupVertices[Group],MATCH(Edges[[#This Row],[Vertex 1]],GroupVertices[Vertex],0)),1,1,"")</f>
        <v>3</v>
      </c>
      <c r="AG194" s="79" t="str">
        <f>REPLACE(INDEX(GroupVertices[Group],MATCH(Edges[[#This Row],[Vertex 2]],GroupVertices[Vertex],0)),1,1,"")</f>
        <v>3</v>
      </c>
      <c r="AH194" s="48">
        <v>0</v>
      </c>
      <c r="AI194" s="49">
        <v>0</v>
      </c>
      <c r="AJ194" s="48">
        <v>0</v>
      </c>
      <c r="AK194" s="49">
        <v>0</v>
      </c>
      <c r="AL194" s="48">
        <v>0</v>
      </c>
      <c r="AM194" s="49">
        <v>0</v>
      </c>
      <c r="AN194" s="48">
        <v>3</v>
      </c>
      <c r="AO194" s="49">
        <v>100</v>
      </c>
      <c r="AP194" s="48">
        <v>3</v>
      </c>
    </row>
    <row r="195" spans="1:42" ht="15">
      <c r="A195" s="65" t="s">
        <v>311</v>
      </c>
      <c r="B195" s="65" t="s">
        <v>312</v>
      </c>
      <c r="C195" s="66" t="s">
        <v>1901</v>
      </c>
      <c r="D195" s="67">
        <v>3</v>
      </c>
      <c r="E195" s="68"/>
      <c r="F195" s="69">
        <v>50</v>
      </c>
      <c r="G195" s="66"/>
      <c r="H195" s="70"/>
      <c r="I195" s="71"/>
      <c r="J195" s="71"/>
      <c r="K195" s="34" t="s">
        <v>66</v>
      </c>
      <c r="L195" s="78">
        <v>195</v>
      </c>
      <c r="M195" s="78"/>
      <c r="N195" s="73"/>
      <c r="O195" s="80" t="s">
        <v>331</v>
      </c>
      <c r="P195" s="80" t="s">
        <v>333</v>
      </c>
      <c r="Q195" s="80" t="s">
        <v>522</v>
      </c>
      <c r="R195" s="80" t="s">
        <v>311</v>
      </c>
      <c r="S195" s="80" t="s">
        <v>652</v>
      </c>
      <c r="T195" s="82" t="str">
        <f>HYPERLINK("http://www.youtube.com/channel/UC6DnLOwz8R0iZPmkZ3vMM1g")</f>
        <v>http://www.youtube.com/channel/UC6DnLOwz8R0iZPmkZ3vMM1g</v>
      </c>
      <c r="U195" s="80" t="s">
        <v>750</v>
      </c>
      <c r="V195" s="80" t="s">
        <v>789</v>
      </c>
      <c r="W195" s="82" t="str">
        <f>HYPERLINK("https://www.youtube.com/watch?v=zb0yO7pLZMg")</f>
        <v>https://www.youtube.com/watch?v=zb0yO7pLZMg</v>
      </c>
      <c r="X195" s="80" t="s">
        <v>794</v>
      </c>
      <c r="Y195" s="80">
        <v>0</v>
      </c>
      <c r="Z195" s="84">
        <v>44006.27804398148</v>
      </c>
      <c r="AA195" s="84">
        <v>44006.27804398148</v>
      </c>
      <c r="AB195" s="80"/>
      <c r="AC195" s="80"/>
      <c r="AD195" s="80"/>
      <c r="AE195">
        <v>1</v>
      </c>
      <c r="AF195" s="79" t="str">
        <f>REPLACE(INDEX(GroupVertices[Group],MATCH(Edges[[#This Row],[Vertex 1]],GroupVertices[Vertex],0)),1,1,"")</f>
        <v>20</v>
      </c>
      <c r="AG195" s="79" t="str">
        <f>REPLACE(INDEX(GroupVertices[Group],MATCH(Edges[[#This Row],[Vertex 2]],GroupVertices[Vertex],0)),1,1,"")</f>
        <v>20</v>
      </c>
      <c r="AH195" s="48">
        <v>0</v>
      </c>
      <c r="AI195" s="49">
        <v>0</v>
      </c>
      <c r="AJ195" s="48">
        <v>0</v>
      </c>
      <c r="AK195" s="49">
        <v>0</v>
      </c>
      <c r="AL195" s="48">
        <v>0</v>
      </c>
      <c r="AM195" s="49">
        <v>0</v>
      </c>
      <c r="AN195" s="48">
        <v>6</v>
      </c>
      <c r="AO195" s="49">
        <v>100</v>
      </c>
      <c r="AP195" s="48">
        <v>6</v>
      </c>
    </row>
    <row r="196" spans="1:42" ht="15">
      <c r="A196" s="65" t="s">
        <v>312</v>
      </c>
      <c r="B196" s="65" t="s">
        <v>311</v>
      </c>
      <c r="C196" s="66" t="s">
        <v>1901</v>
      </c>
      <c r="D196" s="67">
        <v>3</v>
      </c>
      <c r="E196" s="68"/>
      <c r="F196" s="69">
        <v>50</v>
      </c>
      <c r="G196" s="66"/>
      <c r="H196" s="70"/>
      <c r="I196" s="71"/>
      <c r="J196" s="71"/>
      <c r="K196" s="34" t="s">
        <v>66</v>
      </c>
      <c r="L196" s="78">
        <v>196</v>
      </c>
      <c r="M196" s="78"/>
      <c r="N196" s="73"/>
      <c r="O196" s="80" t="s">
        <v>332</v>
      </c>
      <c r="P196" s="80" t="s">
        <v>198</v>
      </c>
      <c r="Q196" s="80" t="s">
        <v>523</v>
      </c>
      <c r="R196" s="80" t="s">
        <v>312</v>
      </c>
      <c r="S196" s="80" t="s">
        <v>653</v>
      </c>
      <c r="T196" s="82" t="str">
        <f>HYPERLINK("http://www.youtube.com/channel/UC6w0Q41ERflRJf5blMy8c8g")</f>
        <v>http://www.youtube.com/channel/UC6w0Q41ERflRJf5blMy8c8g</v>
      </c>
      <c r="U196" s="80"/>
      <c r="V196" s="80" t="s">
        <v>789</v>
      </c>
      <c r="W196" s="82" t="str">
        <f>HYPERLINK("https://www.youtube.com/watch?v=zb0yO7pLZMg")</f>
        <v>https://www.youtube.com/watch?v=zb0yO7pLZMg</v>
      </c>
      <c r="X196" s="80" t="s">
        <v>794</v>
      </c>
      <c r="Y196" s="80">
        <v>1</v>
      </c>
      <c r="Z196" s="84">
        <v>44005.8184375</v>
      </c>
      <c r="AA196" s="84">
        <v>44005.82577546296</v>
      </c>
      <c r="AB196" s="80"/>
      <c r="AC196" s="80"/>
      <c r="AD196" s="80"/>
      <c r="AE196">
        <v>1</v>
      </c>
      <c r="AF196" s="79" t="str">
        <f>REPLACE(INDEX(GroupVertices[Group],MATCH(Edges[[#This Row],[Vertex 1]],GroupVertices[Vertex],0)),1,1,"")</f>
        <v>20</v>
      </c>
      <c r="AG196" s="79" t="str">
        <f>REPLACE(INDEX(GroupVertices[Group],MATCH(Edges[[#This Row],[Vertex 2]],GroupVertices[Vertex],0)),1,1,"")</f>
        <v>20</v>
      </c>
      <c r="AH196" s="48">
        <v>0</v>
      </c>
      <c r="AI196" s="49">
        <v>0</v>
      </c>
      <c r="AJ196" s="48">
        <v>0</v>
      </c>
      <c r="AK196" s="49">
        <v>0</v>
      </c>
      <c r="AL196" s="48">
        <v>0</v>
      </c>
      <c r="AM196" s="49">
        <v>0</v>
      </c>
      <c r="AN196" s="48">
        <v>57</v>
      </c>
      <c r="AO196" s="49">
        <v>100</v>
      </c>
      <c r="AP196" s="48">
        <v>57</v>
      </c>
    </row>
    <row r="197" spans="1:42" ht="15">
      <c r="A197" s="65" t="s">
        <v>313</v>
      </c>
      <c r="B197" s="65" t="s">
        <v>314</v>
      </c>
      <c r="C197" s="66" t="s">
        <v>1901</v>
      </c>
      <c r="D197" s="67">
        <v>3</v>
      </c>
      <c r="E197" s="68"/>
      <c r="F197" s="69">
        <v>50</v>
      </c>
      <c r="G197" s="66"/>
      <c r="H197" s="70"/>
      <c r="I197" s="71"/>
      <c r="J197" s="71"/>
      <c r="K197" s="34" t="s">
        <v>65</v>
      </c>
      <c r="L197" s="78">
        <v>197</v>
      </c>
      <c r="M197" s="78"/>
      <c r="N197" s="73"/>
      <c r="O197" s="80" t="s">
        <v>331</v>
      </c>
      <c r="P197" s="80" t="s">
        <v>333</v>
      </c>
      <c r="Q197" s="80" t="s">
        <v>524</v>
      </c>
      <c r="R197" s="80" t="s">
        <v>313</v>
      </c>
      <c r="S197" s="80" t="s">
        <v>654</v>
      </c>
      <c r="T197" s="82" t="str">
        <f>HYPERLINK("http://www.youtube.com/channel/UCObnhHbh2Y5aPYBuAUU4rEA")</f>
        <v>http://www.youtube.com/channel/UCObnhHbh2Y5aPYBuAUU4rEA</v>
      </c>
      <c r="U197" s="80" t="s">
        <v>751</v>
      </c>
      <c r="V197" s="80" t="s">
        <v>790</v>
      </c>
      <c r="W197" s="82" t="str">
        <f>HYPERLINK("https://www.youtube.com/watch?v=M1TZ5NCQKXo")</f>
        <v>https://www.youtube.com/watch?v=M1TZ5NCQKXo</v>
      </c>
      <c r="X197" s="80" t="s">
        <v>794</v>
      </c>
      <c r="Y197" s="80">
        <v>0</v>
      </c>
      <c r="Z197" s="84">
        <v>44006.25565972222</v>
      </c>
      <c r="AA197" s="84">
        <v>44006.25565972222</v>
      </c>
      <c r="AB197" s="80"/>
      <c r="AC197" s="80"/>
      <c r="AD197" s="80"/>
      <c r="AE197">
        <v>1</v>
      </c>
      <c r="AF197" s="79" t="str">
        <f>REPLACE(INDEX(GroupVertices[Group],MATCH(Edges[[#This Row],[Vertex 1]],GroupVertices[Vertex],0)),1,1,"")</f>
        <v>18</v>
      </c>
      <c r="AG197" s="79" t="str">
        <f>REPLACE(INDEX(GroupVertices[Group],MATCH(Edges[[#This Row],[Vertex 2]],GroupVertices[Vertex],0)),1,1,"")</f>
        <v>18</v>
      </c>
      <c r="AH197" s="48">
        <v>0</v>
      </c>
      <c r="AI197" s="49">
        <v>0</v>
      </c>
      <c r="AJ197" s="48">
        <v>0</v>
      </c>
      <c r="AK197" s="49">
        <v>0</v>
      </c>
      <c r="AL197" s="48">
        <v>0</v>
      </c>
      <c r="AM197" s="49">
        <v>0</v>
      </c>
      <c r="AN197" s="48">
        <v>18</v>
      </c>
      <c r="AO197" s="49">
        <v>100</v>
      </c>
      <c r="AP197" s="48">
        <v>18</v>
      </c>
    </row>
    <row r="198" spans="1:42" ht="15">
      <c r="A198" s="65" t="s">
        <v>314</v>
      </c>
      <c r="B198" s="65" t="s">
        <v>330</v>
      </c>
      <c r="C198" s="66" t="s">
        <v>1901</v>
      </c>
      <c r="D198" s="67">
        <v>3</v>
      </c>
      <c r="E198" s="68"/>
      <c r="F198" s="69">
        <v>50</v>
      </c>
      <c r="G198" s="66"/>
      <c r="H198" s="70"/>
      <c r="I198" s="71"/>
      <c r="J198" s="71"/>
      <c r="K198" s="34" t="s">
        <v>65</v>
      </c>
      <c r="L198" s="78">
        <v>198</v>
      </c>
      <c r="M198" s="78"/>
      <c r="N198" s="73"/>
      <c r="O198" s="80" t="s">
        <v>332</v>
      </c>
      <c r="P198" s="80" t="s">
        <v>198</v>
      </c>
      <c r="Q198" s="80" t="s">
        <v>525</v>
      </c>
      <c r="R198" s="80" t="s">
        <v>314</v>
      </c>
      <c r="S198" s="80" t="s">
        <v>655</v>
      </c>
      <c r="T198" s="82" t="str">
        <f>HYPERLINK("http://www.youtube.com/channel/UCFrlL2ETbR5Ut4zRY4rGlbA")</f>
        <v>http://www.youtube.com/channel/UCFrlL2ETbR5Ut4zRY4rGlbA</v>
      </c>
      <c r="U198" s="80"/>
      <c r="V198" s="80" t="s">
        <v>790</v>
      </c>
      <c r="W198" s="82" t="str">
        <f>HYPERLINK("https://www.youtube.com/watch?v=M1TZ5NCQKXo")</f>
        <v>https://www.youtube.com/watch?v=M1TZ5NCQKXo</v>
      </c>
      <c r="X198" s="80" t="s">
        <v>794</v>
      </c>
      <c r="Y198" s="80">
        <v>0</v>
      </c>
      <c r="Z198" s="84">
        <v>44006.09392361111</v>
      </c>
      <c r="AA198" s="84">
        <v>44006.09392361111</v>
      </c>
      <c r="AB198" s="80"/>
      <c r="AC198" s="80"/>
      <c r="AD198" s="80"/>
      <c r="AE198">
        <v>1</v>
      </c>
      <c r="AF198" s="79" t="str">
        <f>REPLACE(INDEX(GroupVertices[Group],MATCH(Edges[[#This Row],[Vertex 1]],GroupVertices[Vertex],0)),1,1,"")</f>
        <v>18</v>
      </c>
      <c r="AG198" s="79" t="str">
        <f>REPLACE(INDEX(GroupVertices[Group],MATCH(Edges[[#This Row],[Vertex 2]],GroupVertices[Vertex],0)),1,1,"")</f>
        <v>18</v>
      </c>
      <c r="AH198" s="48">
        <v>0</v>
      </c>
      <c r="AI198" s="49">
        <v>0</v>
      </c>
      <c r="AJ198" s="48">
        <v>0</v>
      </c>
      <c r="AK198" s="49">
        <v>0</v>
      </c>
      <c r="AL198" s="48">
        <v>0</v>
      </c>
      <c r="AM198" s="49">
        <v>0</v>
      </c>
      <c r="AN198" s="48">
        <v>37</v>
      </c>
      <c r="AO198" s="49">
        <v>100</v>
      </c>
      <c r="AP198" s="48">
        <v>37</v>
      </c>
    </row>
    <row r="199" spans="1:42" ht="15">
      <c r="A199" s="65" t="s">
        <v>315</v>
      </c>
      <c r="B199" s="65" t="s">
        <v>317</v>
      </c>
      <c r="C199" s="66" t="s">
        <v>1901</v>
      </c>
      <c r="D199" s="67">
        <v>3</v>
      </c>
      <c r="E199" s="68"/>
      <c r="F199" s="69">
        <v>50</v>
      </c>
      <c r="G199" s="66"/>
      <c r="H199" s="70"/>
      <c r="I199" s="71"/>
      <c r="J199" s="71"/>
      <c r="K199" s="34" t="s">
        <v>65</v>
      </c>
      <c r="L199" s="78">
        <v>199</v>
      </c>
      <c r="M199" s="78"/>
      <c r="N199" s="73"/>
      <c r="O199" s="80" t="s">
        <v>331</v>
      </c>
      <c r="P199" s="80" t="s">
        <v>333</v>
      </c>
      <c r="Q199" s="80" t="s">
        <v>526</v>
      </c>
      <c r="R199" s="80" t="s">
        <v>315</v>
      </c>
      <c r="S199" s="80" t="s">
        <v>656</v>
      </c>
      <c r="T199" s="82" t="str">
        <f>HYPERLINK("http://www.youtube.com/channel/UClvPWSa0aybaVolvU6WH1JQ")</f>
        <v>http://www.youtube.com/channel/UClvPWSa0aybaVolvU6WH1JQ</v>
      </c>
      <c r="U199" s="80" t="s">
        <v>752</v>
      </c>
      <c r="V199" s="80" t="s">
        <v>791</v>
      </c>
      <c r="W199" s="82" t="str">
        <f>HYPERLINK("https://www.youtube.com/watch?v=Qrx-9cBnp4A")</f>
        <v>https://www.youtube.com/watch?v=Qrx-9cBnp4A</v>
      </c>
      <c r="X199" s="80" t="s">
        <v>794</v>
      </c>
      <c r="Y199" s="80">
        <v>0</v>
      </c>
      <c r="Z199" s="84">
        <v>44006.124375</v>
      </c>
      <c r="AA199" s="84">
        <v>44006.124375</v>
      </c>
      <c r="AB199" s="80"/>
      <c r="AC199" s="80"/>
      <c r="AD199" s="80"/>
      <c r="AE199">
        <v>1</v>
      </c>
      <c r="AF199" s="79" t="str">
        <f>REPLACE(INDEX(GroupVertices[Group],MATCH(Edges[[#This Row],[Vertex 1]],GroupVertices[Vertex],0)),1,1,"")</f>
        <v>17</v>
      </c>
      <c r="AG199" s="79" t="str">
        <f>REPLACE(INDEX(GroupVertices[Group],MATCH(Edges[[#This Row],[Vertex 2]],GroupVertices[Vertex],0)),1,1,"")</f>
        <v>17</v>
      </c>
      <c r="AH199" s="48">
        <v>0</v>
      </c>
      <c r="AI199" s="49">
        <v>0</v>
      </c>
      <c r="AJ199" s="48">
        <v>0</v>
      </c>
      <c r="AK199" s="49">
        <v>0</v>
      </c>
      <c r="AL199" s="48">
        <v>0</v>
      </c>
      <c r="AM199" s="49">
        <v>0</v>
      </c>
      <c r="AN199" s="48">
        <v>12</v>
      </c>
      <c r="AO199" s="49">
        <v>100</v>
      </c>
      <c r="AP199" s="48">
        <v>12</v>
      </c>
    </row>
    <row r="200" spans="1:42" ht="15">
      <c r="A200" s="65" t="s">
        <v>316</v>
      </c>
      <c r="B200" s="65" t="s">
        <v>317</v>
      </c>
      <c r="C200" s="66" t="s">
        <v>1901</v>
      </c>
      <c r="D200" s="67">
        <v>3</v>
      </c>
      <c r="E200" s="68"/>
      <c r="F200" s="69">
        <v>50</v>
      </c>
      <c r="G200" s="66"/>
      <c r="H200" s="70"/>
      <c r="I200" s="71"/>
      <c r="J200" s="71"/>
      <c r="K200" s="34" t="s">
        <v>66</v>
      </c>
      <c r="L200" s="78">
        <v>200</v>
      </c>
      <c r="M200" s="78"/>
      <c r="N200" s="73"/>
      <c r="O200" s="80" t="s">
        <v>331</v>
      </c>
      <c r="P200" s="80" t="s">
        <v>333</v>
      </c>
      <c r="Q200" s="80" t="s">
        <v>527</v>
      </c>
      <c r="R200" s="80" t="s">
        <v>316</v>
      </c>
      <c r="S200" s="80" t="s">
        <v>657</v>
      </c>
      <c r="T200" s="82" t="str">
        <f>HYPERLINK("http://www.youtube.com/channel/UCxtIinrEU9jrFkjaZ_udq0Q")</f>
        <v>http://www.youtube.com/channel/UCxtIinrEU9jrFkjaZ_udq0Q</v>
      </c>
      <c r="U200" s="80" t="s">
        <v>752</v>
      </c>
      <c r="V200" s="80" t="s">
        <v>791</v>
      </c>
      <c r="W200" s="82" t="str">
        <f>HYPERLINK("https://www.youtube.com/watch?v=Qrx-9cBnp4A")</f>
        <v>https://www.youtube.com/watch?v=Qrx-9cBnp4A</v>
      </c>
      <c r="X200" s="80" t="s">
        <v>794</v>
      </c>
      <c r="Y200" s="80">
        <v>0</v>
      </c>
      <c r="Z200" s="84">
        <v>44006.07623842593</v>
      </c>
      <c r="AA200" s="84">
        <v>44006.07623842593</v>
      </c>
      <c r="AB200" s="80"/>
      <c r="AC200" s="80"/>
      <c r="AD200" s="80"/>
      <c r="AE200">
        <v>1</v>
      </c>
      <c r="AF200" s="79" t="str">
        <f>REPLACE(INDEX(GroupVertices[Group],MATCH(Edges[[#This Row],[Vertex 1]],GroupVertices[Vertex],0)),1,1,"")</f>
        <v>17</v>
      </c>
      <c r="AG200" s="79" t="str">
        <f>REPLACE(INDEX(GroupVertices[Group],MATCH(Edges[[#This Row],[Vertex 2]],GroupVertices[Vertex],0)),1,1,"")</f>
        <v>17</v>
      </c>
      <c r="AH200" s="48">
        <v>1</v>
      </c>
      <c r="AI200" s="49">
        <v>0.9803921568627451</v>
      </c>
      <c r="AJ200" s="48">
        <v>0</v>
      </c>
      <c r="AK200" s="49">
        <v>0</v>
      </c>
      <c r="AL200" s="48">
        <v>0</v>
      </c>
      <c r="AM200" s="49">
        <v>0</v>
      </c>
      <c r="AN200" s="48">
        <v>101</v>
      </c>
      <c r="AO200" s="49">
        <v>99.01960784313725</v>
      </c>
      <c r="AP200" s="48">
        <v>102</v>
      </c>
    </row>
    <row r="201" spans="1:42" ht="15">
      <c r="A201" s="65" t="s">
        <v>317</v>
      </c>
      <c r="B201" s="65" t="s">
        <v>316</v>
      </c>
      <c r="C201" s="66" t="s">
        <v>1901</v>
      </c>
      <c r="D201" s="67">
        <v>3</v>
      </c>
      <c r="E201" s="68"/>
      <c r="F201" s="69">
        <v>50</v>
      </c>
      <c r="G201" s="66"/>
      <c r="H201" s="70"/>
      <c r="I201" s="71"/>
      <c r="J201" s="71"/>
      <c r="K201" s="34" t="s">
        <v>66</v>
      </c>
      <c r="L201" s="78">
        <v>201</v>
      </c>
      <c r="M201" s="78"/>
      <c r="N201" s="73"/>
      <c r="O201" s="80" t="s">
        <v>332</v>
      </c>
      <c r="P201" s="80" t="s">
        <v>198</v>
      </c>
      <c r="Q201" s="80" t="s">
        <v>528</v>
      </c>
      <c r="R201" s="80" t="s">
        <v>317</v>
      </c>
      <c r="S201" s="80" t="s">
        <v>658</v>
      </c>
      <c r="T201" s="82" t="str">
        <f>HYPERLINK("http://www.youtube.com/channel/UCFcrsUy0gf9ZQ0K8UqZpGRg")</f>
        <v>http://www.youtube.com/channel/UCFcrsUy0gf9ZQ0K8UqZpGRg</v>
      </c>
      <c r="U201" s="80"/>
      <c r="V201" s="80" t="s">
        <v>791</v>
      </c>
      <c r="W201" s="82" t="str">
        <f>HYPERLINK("https://www.youtube.com/watch?v=Qrx-9cBnp4A")</f>
        <v>https://www.youtube.com/watch?v=Qrx-9cBnp4A</v>
      </c>
      <c r="X201" s="80" t="s">
        <v>794</v>
      </c>
      <c r="Y201" s="80">
        <v>1</v>
      </c>
      <c r="Z201" s="84">
        <v>44006.03512731481</v>
      </c>
      <c r="AA201" s="84">
        <v>44006.03512731481</v>
      </c>
      <c r="AB201" s="80"/>
      <c r="AC201" s="80"/>
      <c r="AD201" s="80"/>
      <c r="AE201">
        <v>1</v>
      </c>
      <c r="AF201" s="79" t="str">
        <f>REPLACE(INDEX(GroupVertices[Group],MATCH(Edges[[#This Row],[Vertex 1]],GroupVertices[Vertex],0)),1,1,"")</f>
        <v>17</v>
      </c>
      <c r="AG201" s="79" t="str">
        <f>REPLACE(INDEX(GroupVertices[Group],MATCH(Edges[[#This Row],[Vertex 2]],GroupVertices[Vertex],0)),1,1,"")</f>
        <v>17</v>
      </c>
      <c r="AH201" s="48">
        <v>0</v>
      </c>
      <c r="AI201" s="49">
        <v>0</v>
      </c>
      <c r="AJ201" s="48">
        <v>0</v>
      </c>
      <c r="AK201" s="49">
        <v>0</v>
      </c>
      <c r="AL201" s="48">
        <v>0</v>
      </c>
      <c r="AM201" s="49">
        <v>0</v>
      </c>
      <c r="AN201" s="48">
        <v>8</v>
      </c>
      <c r="AO201" s="49">
        <v>100</v>
      </c>
      <c r="AP201" s="48">
        <v>8</v>
      </c>
    </row>
    <row r="202" spans="1:42" ht="15">
      <c r="A202" s="65" t="s">
        <v>317</v>
      </c>
      <c r="B202" s="65" t="s">
        <v>317</v>
      </c>
      <c r="C202" s="66" t="s">
        <v>1901</v>
      </c>
      <c r="D202" s="67">
        <v>3</v>
      </c>
      <c r="E202" s="68"/>
      <c r="F202" s="69">
        <v>50</v>
      </c>
      <c r="G202" s="66"/>
      <c r="H202" s="70"/>
      <c r="I202" s="71"/>
      <c r="J202" s="71"/>
      <c r="K202" s="34" t="s">
        <v>65</v>
      </c>
      <c r="L202" s="78">
        <v>202</v>
      </c>
      <c r="M202" s="78"/>
      <c r="N202" s="73"/>
      <c r="O202" s="80" t="s">
        <v>331</v>
      </c>
      <c r="P202" s="80" t="s">
        <v>333</v>
      </c>
      <c r="Q202" s="80" t="s">
        <v>529</v>
      </c>
      <c r="R202" s="80" t="s">
        <v>317</v>
      </c>
      <c r="S202" s="80" t="s">
        <v>658</v>
      </c>
      <c r="T202" s="82" t="str">
        <f>HYPERLINK("http://www.youtube.com/channel/UCFcrsUy0gf9ZQ0K8UqZpGRg")</f>
        <v>http://www.youtube.com/channel/UCFcrsUy0gf9ZQ0K8UqZpGRg</v>
      </c>
      <c r="U202" s="80" t="s">
        <v>752</v>
      </c>
      <c r="V202" s="80" t="s">
        <v>791</v>
      </c>
      <c r="W202" s="82" t="str">
        <f>HYPERLINK("https://www.youtube.com/watch?v=Qrx-9cBnp4A")</f>
        <v>https://www.youtube.com/watch?v=Qrx-9cBnp4A</v>
      </c>
      <c r="X202" s="80" t="s">
        <v>794</v>
      </c>
      <c r="Y202" s="80">
        <v>1</v>
      </c>
      <c r="Z202" s="84">
        <v>44006.083136574074</v>
      </c>
      <c r="AA202" s="84">
        <v>44006.083136574074</v>
      </c>
      <c r="AB202" s="80"/>
      <c r="AC202" s="80"/>
      <c r="AD202" s="80"/>
      <c r="AE202">
        <v>1</v>
      </c>
      <c r="AF202" s="79" t="str">
        <f>REPLACE(INDEX(GroupVertices[Group],MATCH(Edges[[#This Row],[Vertex 1]],GroupVertices[Vertex],0)),1,1,"")</f>
        <v>17</v>
      </c>
      <c r="AG202" s="79" t="str">
        <f>REPLACE(INDEX(GroupVertices[Group],MATCH(Edges[[#This Row],[Vertex 2]],GroupVertices[Vertex],0)),1,1,"")</f>
        <v>17</v>
      </c>
      <c r="AH202" s="48">
        <v>1</v>
      </c>
      <c r="AI202" s="49">
        <v>7.6923076923076925</v>
      </c>
      <c r="AJ202" s="48">
        <v>0</v>
      </c>
      <c r="AK202" s="49">
        <v>0</v>
      </c>
      <c r="AL202" s="48">
        <v>0</v>
      </c>
      <c r="AM202" s="49">
        <v>0</v>
      </c>
      <c r="AN202" s="48">
        <v>12</v>
      </c>
      <c r="AO202" s="49">
        <v>92.3076923076923</v>
      </c>
      <c r="AP202" s="48">
        <v>13</v>
      </c>
    </row>
    <row r="203" spans="1:42" ht="15">
      <c r="A203" s="65" t="s">
        <v>318</v>
      </c>
      <c r="B203" s="65" t="s">
        <v>319</v>
      </c>
      <c r="C203" s="66" t="s">
        <v>1901</v>
      </c>
      <c r="D203" s="67">
        <v>3</v>
      </c>
      <c r="E203" s="68"/>
      <c r="F203" s="69">
        <v>50</v>
      </c>
      <c r="G203" s="66"/>
      <c r="H203" s="70"/>
      <c r="I203" s="71"/>
      <c r="J203" s="71"/>
      <c r="K203" s="34" t="s">
        <v>66</v>
      </c>
      <c r="L203" s="78">
        <v>203</v>
      </c>
      <c r="M203" s="78"/>
      <c r="N203" s="73"/>
      <c r="O203" s="80" t="s">
        <v>331</v>
      </c>
      <c r="P203" s="80" t="s">
        <v>333</v>
      </c>
      <c r="Q203" s="80" t="s">
        <v>530</v>
      </c>
      <c r="R203" s="80" t="s">
        <v>318</v>
      </c>
      <c r="S203" s="80" t="s">
        <v>659</v>
      </c>
      <c r="T203" s="82" t="str">
        <f>HYPERLINK("http://www.youtube.com/channel/UCNaIAElKPANu-d7ysRpLcUg")</f>
        <v>http://www.youtube.com/channel/UCNaIAElKPANu-d7ysRpLcUg</v>
      </c>
      <c r="U203" s="80" t="s">
        <v>753</v>
      </c>
      <c r="V203" s="80" t="s">
        <v>792</v>
      </c>
      <c r="W203" s="82" t="str">
        <f>HYPERLINK("https://www.youtube.com/watch?v=7VeYvnovMy0")</f>
        <v>https://www.youtube.com/watch?v=7VeYvnovMy0</v>
      </c>
      <c r="X203" s="80" t="s">
        <v>794</v>
      </c>
      <c r="Y203" s="80">
        <v>0</v>
      </c>
      <c r="Z203" s="84">
        <v>44006.00875</v>
      </c>
      <c r="AA203" s="84">
        <v>44006.00875</v>
      </c>
      <c r="AB203" s="80"/>
      <c r="AC203" s="80"/>
      <c r="AD203" s="80"/>
      <c r="AE203">
        <v>1</v>
      </c>
      <c r="AF203" s="79" t="str">
        <f>REPLACE(INDEX(GroupVertices[Group],MATCH(Edges[[#This Row],[Vertex 1]],GroupVertices[Vertex],0)),1,1,"")</f>
        <v>5</v>
      </c>
      <c r="AG203" s="79" t="str">
        <f>REPLACE(INDEX(GroupVertices[Group],MATCH(Edges[[#This Row],[Vertex 2]],GroupVertices[Vertex],0)),1,1,"")</f>
        <v>5</v>
      </c>
      <c r="AH203" s="48">
        <v>0</v>
      </c>
      <c r="AI203" s="49">
        <v>0</v>
      </c>
      <c r="AJ203" s="48">
        <v>0</v>
      </c>
      <c r="AK203" s="49">
        <v>0</v>
      </c>
      <c r="AL203" s="48">
        <v>0</v>
      </c>
      <c r="AM203" s="49">
        <v>0</v>
      </c>
      <c r="AN203" s="48">
        <v>2</v>
      </c>
      <c r="AO203" s="49">
        <v>100</v>
      </c>
      <c r="AP203" s="48">
        <v>2</v>
      </c>
    </row>
    <row r="204" spans="1:42" ht="15">
      <c r="A204" s="65" t="s">
        <v>319</v>
      </c>
      <c r="B204" s="65" t="s">
        <v>318</v>
      </c>
      <c r="C204" s="66" t="s">
        <v>1901</v>
      </c>
      <c r="D204" s="67">
        <v>3</v>
      </c>
      <c r="E204" s="68"/>
      <c r="F204" s="69">
        <v>50</v>
      </c>
      <c r="G204" s="66"/>
      <c r="H204" s="70"/>
      <c r="I204" s="71"/>
      <c r="J204" s="71"/>
      <c r="K204" s="34" t="s">
        <v>66</v>
      </c>
      <c r="L204" s="78">
        <v>204</v>
      </c>
      <c r="M204" s="78"/>
      <c r="N204" s="73"/>
      <c r="O204" s="80" t="s">
        <v>332</v>
      </c>
      <c r="P204" s="80" t="s">
        <v>198</v>
      </c>
      <c r="Q204" s="80" t="s">
        <v>531</v>
      </c>
      <c r="R204" s="80" t="s">
        <v>319</v>
      </c>
      <c r="S204" s="80" t="s">
        <v>660</v>
      </c>
      <c r="T204" s="82" t="str">
        <f>HYPERLINK("http://www.youtube.com/channel/UCRtSCIRujzmYEwCfeGosiLA")</f>
        <v>http://www.youtube.com/channel/UCRtSCIRujzmYEwCfeGosiLA</v>
      </c>
      <c r="U204" s="80"/>
      <c r="V204" s="80" t="s">
        <v>792</v>
      </c>
      <c r="W204" s="82" t="str">
        <f>HYPERLINK("https://www.youtube.com/watch?v=7VeYvnovMy0")</f>
        <v>https://www.youtube.com/watch?v=7VeYvnovMy0</v>
      </c>
      <c r="X204" s="80" t="s">
        <v>794</v>
      </c>
      <c r="Y204" s="80">
        <v>1</v>
      </c>
      <c r="Z204" s="84">
        <v>44006.0084375</v>
      </c>
      <c r="AA204" s="84">
        <v>44006.0084375</v>
      </c>
      <c r="AB204" s="80"/>
      <c r="AC204" s="80"/>
      <c r="AD204" s="80"/>
      <c r="AE204">
        <v>1</v>
      </c>
      <c r="AF204" s="79" t="str">
        <f>REPLACE(INDEX(GroupVertices[Group],MATCH(Edges[[#This Row],[Vertex 1]],GroupVertices[Vertex],0)),1,1,"")</f>
        <v>5</v>
      </c>
      <c r="AG204" s="79" t="str">
        <f>REPLACE(INDEX(GroupVertices[Group],MATCH(Edges[[#This Row],[Vertex 2]],GroupVertices[Vertex],0)),1,1,"")</f>
        <v>5</v>
      </c>
      <c r="AH204" s="48">
        <v>0</v>
      </c>
      <c r="AI204" s="49">
        <v>0</v>
      </c>
      <c r="AJ204" s="48">
        <v>0</v>
      </c>
      <c r="AK204" s="49">
        <v>0</v>
      </c>
      <c r="AL204" s="48">
        <v>0</v>
      </c>
      <c r="AM204" s="49">
        <v>0</v>
      </c>
      <c r="AN204" s="48">
        <v>5</v>
      </c>
      <c r="AO204" s="49">
        <v>100</v>
      </c>
      <c r="AP204" s="48">
        <v>5</v>
      </c>
    </row>
    <row r="205" spans="1:42" ht="15">
      <c r="A205" s="65" t="s">
        <v>318</v>
      </c>
      <c r="B205" s="65" t="s">
        <v>320</v>
      </c>
      <c r="C205" s="66" t="s">
        <v>1901</v>
      </c>
      <c r="D205" s="67">
        <v>3</v>
      </c>
      <c r="E205" s="68"/>
      <c r="F205" s="69">
        <v>50</v>
      </c>
      <c r="G205" s="66"/>
      <c r="H205" s="70"/>
      <c r="I205" s="71"/>
      <c r="J205" s="71"/>
      <c r="K205" s="34" t="s">
        <v>66</v>
      </c>
      <c r="L205" s="78">
        <v>205</v>
      </c>
      <c r="M205" s="78"/>
      <c r="N205" s="73"/>
      <c r="O205" s="80" t="s">
        <v>331</v>
      </c>
      <c r="P205" s="80" t="s">
        <v>333</v>
      </c>
      <c r="Q205" s="80" t="s">
        <v>532</v>
      </c>
      <c r="R205" s="80" t="s">
        <v>318</v>
      </c>
      <c r="S205" s="80" t="s">
        <v>659</v>
      </c>
      <c r="T205" s="82" t="str">
        <f>HYPERLINK("http://www.youtube.com/channel/UCNaIAElKPANu-d7ysRpLcUg")</f>
        <v>http://www.youtube.com/channel/UCNaIAElKPANu-d7ysRpLcUg</v>
      </c>
      <c r="U205" s="80" t="s">
        <v>754</v>
      </c>
      <c r="V205" s="80" t="s">
        <v>792</v>
      </c>
      <c r="W205" s="82" t="str">
        <f>HYPERLINK("https://www.youtube.com/watch?v=7VeYvnovMy0")</f>
        <v>https://www.youtube.com/watch?v=7VeYvnovMy0</v>
      </c>
      <c r="X205" s="80" t="s">
        <v>794</v>
      </c>
      <c r="Y205" s="80">
        <v>0</v>
      </c>
      <c r="Z205" s="84">
        <v>44006.026192129626</v>
      </c>
      <c r="AA205" s="84">
        <v>44006.026192129626</v>
      </c>
      <c r="AB205" s="80"/>
      <c r="AC205" s="80"/>
      <c r="AD205" s="80"/>
      <c r="AE205">
        <v>1</v>
      </c>
      <c r="AF205" s="79" t="str">
        <f>REPLACE(INDEX(GroupVertices[Group],MATCH(Edges[[#This Row],[Vertex 1]],GroupVertices[Vertex],0)),1,1,"")</f>
        <v>5</v>
      </c>
      <c r="AG205" s="79" t="str">
        <f>REPLACE(INDEX(GroupVertices[Group],MATCH(Edges[[#This Row],[Vertex 2]],GroupVertices[Vertex],0)),1,1,"")</f>
        <v>5</v>
      </c>
      <c r="AH205" s="48">
        <v>0</v>
      </c>
      <c r="AI205" s="49">
        <v>0</v>
      </c>
      <c r="AJ205" s="48">
        <v>0</v>
      </c>
      <c r="AK205" s="49">
        <v>0</v>
      </c>
      <c r="AL205" s="48">
        <v>0</v>
      </c>
      <c r="AM205" s="49">
        <v>0</v>
      </c>
      <c r="AN205" s="48">
        <v>2</v>
      </c>
      <c r="AO205" s="49">
        <v>100</v>
      </c>
      <c r="AP205" s="48">
        <v>2</v>
      </c>
    </row>
    <row r="206" spans="1:42" ht="15">
      <c r="A206" s="65" t="s">
        <v>320</v>
      </c>
      <c r="B206" s="65" t="s">
        <v>318</v>
      </c>
      <c r="C206" s="66" t="s">
        <v>1901</v>
      </c>
      <c r="D206" s="67">
        <v>3</v>
      </c>
      <c r="E206" s="68"/>
      <c r="F206" s="69">
        <v>50</v>
      </c>
      <c r="G206" s="66"/>
      <c r="H206" s="70"/>
      <c r="I206" s="71"/>
      <c r="J206" s="71"/>
      <c r="K206" s="34" t="s">
        <v>66</v>
      </c>
      <c r="L206" s="78">
        <v>206</v>
      </c>
      <c r="M206" s="78"/>
      <c r="N206" s="73"/>
      <c r="O206" s="80" t="s">
        <v>332</v>
      </c>
      <c r="P206" s="80" t="s">
        <v>198</v>
      </c>
      <c r="Q206" s="80" t="s">
        <v>533</v>
      </c>
      <c r="R206" s="80" t="s">
        <v>320</v>
      </c>
      <c r="S206" s="80" t="s">
        <v>661</v>
      </c>
      <c r="T206" s="82" t="str">
        <f>HYPERLINK("http://www.youtube.com/channel/UCxeH47zPVeMZmOZXjpgrjrA")</f>
        <v>http://www.youtube.com/channel/UCxeH47zPVeMZmOZXjpgrjrA</v>
      </c>
      <c r="U206" s="80"/>
      <c r="V206" s="80" t="s">
        <v>792</v>
      </c>
      <c r="W206" s="82" t="str">
        <f>HYPERLINK("https://www.youtube.com/watch?v=7VeYvnovMy0")</f>
        <v>https://www.youtube.com/watch?v=7VeYvnovMy0</v>
      </c>
      <c r="X206" s="80" t="s">
        <v>794</v>
      </c>
      <c r="Y206" s="80">
        <v>1</v>
      </c>
      <c r="Z206" s="84">
        <v>44006.01719907407</v>
      </c>
      <c r="AA206" s="84">
        <v>44006.01719907407</v>
      </c>
      <c r="AB206" s="80"/>
      <c r="AC206" s="80"/>
      <c r="AD206" s="80"/>
      <c r="AE206">
        <v>1</v>
      </c>
      <c r="AF206" s="79" t="str">
        <f>REPLACE(INDEX(GroupVertices[Group],MATCH(Edges[[#This Row],[Vertex 1]],GroupVertices[Vertex],0)),1,1,"")</f>
        <v>5</v>
      </c>
      <c r="AG206" s="79" t="str">
        <f>REPLACE(INDEX(GroupVertices[Group],MATCH(Edges[[#This Row],[Vertex 2]],GroupVertices[Vertex],0)),1,1,"")</f>
        <v>5</v>
      </c>
      <c r="AH206" s="48">
        <v>1</v>
      </c>
      <c r="AI206" s="49">
        <v>7.6923076923076925</v>
      </c>
      <c r="AJ206" s="48">
        <v>0</v>
      </c>
      <c r="AK206" s="49">
        <v>0</v>
      </c>
      <c r="AL206" s="48">
        <v>0</v>
      </c>
      <c r="AM206" s="49">
        <v>0</v>
      </c>
      <c r="AN206" s="48">
        <v>12</v>
      </c>
      <c r="AO206" s="49">
        <v>92.3076923076923</v>
      </c>
      <c r="AP206" s="48">
        <v>13</v>
      </c>
    </row>
    <row r="207" spans="1:42" ht="15">
      <c r="A207" s="65" t="s">
        <v>318</v>
      </c>
      <c r="B207" s="65" t="s">
        <v>321</v>
      </c>
      <c r="C207" s="66" t="s">
        <v>1901</v>
      </c>
      <c r="D207" s="67">
        <v>3</v>
      </c>
      <c r="E207" s="68"/>
      <c r="F207" s="69">
        <v>50</v>
      </c>
      <c r="G207" s="66"/>
      <c r="H207" s="70"/>
      <c r="I207" s="71"/>
      <c r="J207" s="71"/>
      <c r="K207" s="34" t="s">
        <v>66</v>
      </c>
      <c r="L207" s="78">
        <v>207</v>
      </c>
      <c r="M207" s="78"/>
      <c r="N207" s="73"/>
      <c r="O207" s="80" t="s">
        <v>331</v>
      </c>
      <c r="P207" s="80" t="s">
        <v>333</v>
      </c>
      <c r="Q207" s="80" t="s">
        <v>534</v>
      </c>
      <c r="R207" s="80" t="s">
        <v>318</v>
      </c>
      <c r="S207" s="80" t="s">
        <v>659</v>
      </c>
      <c r="T207" s="82" t="str">
        <f>HYPERLINK("http://www.youtube.com/channel/UCNaIAElKPANu-d7ysRpLcUg")</f>
        <v>http://www.youtube.com/channel/UCNaIAElKPANu-d7ysRpLcUg</v>
      </c>
      <c r="U207" s="80" t="s">
        <v>755</v>
      </c>
      <c r="V207" s="80" t="s">
        <v>792</v>
      </c>
      <c r="W207" s="82" t="str">
        <f>HYPERLINK("https://www.youtube.com/watch?v=7VeYvnovMy0")</f>
        <v>https://www.youtube.com/watch?v=7VeYvnovMy0</v>
      </c>
      <c r="X207" s="80" t="s">
        <v>794</v>
      </c>
      <c r="Y207" s="80">
        <v>0</v>
      </c>
      <c r="Z207" s="84">
        <v>44006.02774305556</v>
      </c>
      <c r="AA207" s="84">
        <v>44006.02774305556</v>
      </c>
      <c r="AB207" s="80"/>
      <c r="AC207" s="80"/>
      <c r="AD207" s="80"/>
      <c r="AE207">
        <v>1</v>
      </c>
      <c r="AF207" s="79" t="str">
        <f>REPLACE(INDEX(GroupVertices[Group],MATCH(Edges[[#This Row],[Vertex 1]],GroupVertices[Vertex],0)),1,1,"")</f>
        <v>5</v>
      </c>
      <c r="AG207" s="79" t="str">
        <f>REPLACE(INDEX(GroupVertices[Group],MATCH(Edges[[#This Row],[Vertex 2]],GroupVertices[Vertex],0)),1,1,"")</f>
        <v>5</v>
      </c>
      <c r="AH207" s="48">
        <v>0</v>
      </c>
      <c r="AI207" s="49">
        <v>0</v>
      </c>
      <c r="AJ207" s="48">
        <v>0</v>
      </c>
      <c r="AK207" s="49">
        <v>0</v>
      </c>
      <c r="AL207" s="48">
        <v>0</v>
      </c>
      <c r="AM207" s="49">
        <v>0</v>
      </c>
      <c r="AN207" s="48">
        <v>8</v>
      </c>
      <c r="AO207" s="49">
        <v>100</v>
      </c>
      <c r="AP207" s="48">
        <v>8</v>
      </c>
    </row>
    <row r="208" spans="1:42" ht="15">
      <c r="A208" s="65" t="s">
        <v>321</v>
      </c>
      <c r="B208" s="65" t="s">
        <v>318</v>
      </c>
      <c r="C208" s="66" t="s">
        <v>1901</v>
      </c>
      <c r="D208" s="67">
        <v>3</v>
      </c>
      <c r="E208" s="68"/>
      <c r="F208" s="69">
        <v>50</v>
      </c>
      <c r="G208" s="66"/>
      <c r="H208" s="70"/>
      <c r="I208" s="71"/>
      <c r="J208" s="71"/>
      <c r="K208" s="34" t="s">
        <v>66</v>
      </c>
      <c r="L208" s="78">
        <v>208</v>
      </c>
      <c r="M208" s="78"/>
      <c r="N208" s="73"/>
      <c r="O208" s="80" t="s">
        <v>332</v>
      </c>
      <c r="P208" s="80" t="s">
        <v>198</v>
      </c>
      <c r="Q208" s="80" t="s">
        <v>535</v>
      </c>
      <c r="R208" s="80" t="s">
        <v>321</v>
      </c>
      <c r="S208" s="80" t="s">
        <v>662</v>
      </c>
      <c r="T208" s="82" t="str">
        <f>HYPERLINK("http://www.youtube.com/channel/UCzzE0_GewzpmYymSZ65B0eQ")</f>
        <v>http://www.youtube.com/channel/UCzzE0_GewzpmYymSZ65B0eQ</v>
      </c>
      <c r="U208" s="80"/>
      <c r="V208" s="80" t="s">
        <v>792</v>
      </c>
      <c r="W208" s="82" t="str">
        <f>HYPERLINK("https://www.youtube.com/watch?v=7VeYvnovMy0")</f>
        <v>https://www.youtube.com/watch?v=7VeYvnovMy0</v>
      </c>
      <c r="X208" s="80" t="s">
        <v>794</v>
      </c>
      <c r="Y208" s="80">
        <v>1</v>
      </c>
      <c r="Z208" s="84">
        <v>44006.0228587963</v>
      </c>
      <c r="AA208" s="84">
        <v>44006.0228587963</v>
      </c>
      <c r="AB208" s="80" t="s">
        <v>808</v>
      </c>
      <c r="AC208" s="80" t="s">
        <v>809</v>
      </c>
      <c r="AD208" s="80"/>
      <c r="AE208">
        <v>1</v>
      </c>
      <c r="AF208" s="79" t="str">
        <f>REPLACE(INDEX(GroupVertices[Group],MATCH(Edges[[#This Row],[Vertex 1]],GroupVertices[Vertex],0)),1,1,"")</f>
        <v>5</v>
      </c>
      <c r="AG208" s="79" t="str">
        <f>REPLACE(INDEX(GroupVertices[Group],MATCH(Edges[[#This Row],[Vertex 2]],GroupVertices[Vertex],0)),1,1,"")</f>
        <v>5</v>
      </c>
      <c r="AH208" s="48">
        <v>1</v>
      </c>
      <c r="AI208" s="49">
        <v>0.9523809523809523</v>
      </c>
      <c r="AJ208" s="48">
        <v>0</v>
      </c>
      <c r="AK208" s="49">
        <v>0</v>
      </c>
      <c r="AL208" s="48">
        <v>0</v>
      </c>
      <c r="AM208" s="49">
        <v>0</v>
      </c>
      <c r="AN208" s="48">
        <v>104</v>
      </c>
      <c r="AO208" s="49">
        <v>99.04761904761905</v>
      </c>
      <c r="AP208" s="48">
        <v>105</v>
      </c>
    </row>
    <row r="209" spans="1:42" ht="15">
      <c r="A209" s="65" t="s">
        <v>318</v>
      </c>
      <c r="B209" s="65" t="s">
        <v>322</v>
      </c>
      <c r="C209" s="66" t="s">
        <v>1901</v>
      </c>
      <c r="D209" s="67">
        <v>3</v>
      </c>
      <c r="E209" s="68"/>
      <c r="F209" s="69">
        <v>50</v>
      </c>
      <c r="G209" s="66"/>
      <c r="H209" s="70"/>
      <c r="I209" s="71"/>
      <c r="J209" s="71"/>
      <c r="K209" s="34" t="s">
        <v>66</v>
      </c>
      <c r="L209" s="78">
        <v>209</v>
      </c>
      <c r="M209" s="78"/>
      <c r="N209" s="73"/>
      <c r="O209" s="80" t="s">
        <v>331</v>
      </c>
      <c r="P209" s="80" t="s">
        <v>333</v>
      </c>
      <c r="Q209" s="80" t="s">
        <v>536</v>
      </c>
      <c r="R209" s="80" t="s">
        <v>318</v>
      </c>
      <c r="S209" s="80" t="s">
        <v>659</v>
      </c>
      <c r="T209" s="82" t="str">
        <f>HYPERLINK("http://www.youtube.com/channel/UCNaIAElKPANu-d7ysRpLcUg")</f>
        <v>http://www.youtube.com/channel/UCNaIAElKPANu-d7ysRpLcUg</v>
      </c>
      <c r="U209" s="80" t="s">
        <v>756</v>
      </c>
      <c r="V209" s="80" t="s">
        <v>792</v>
      </c>
      <c r="W209" s="82" t="str">
        <f>HYPERLINK("https://www.youtube.com/watch?v=7VeYvnovMy0")</f>
        <v>https://www.youtube.com/watch?v=7VeYvnovMy0</v>
      </c>
      <c r="X209" s="80" t="s">
        <v>794</v>
      </c>
      <c r="Y209" s="80">
        <v>0</v>
      </c>
      <c r="Z209" s="84">
        <v>44006.07990740741</v>
      </c>
      <c r="AA209" s="84">
        <v>44006.07990740741</v>
      </c>
      <c r="AB209" s="80"/>
      <c r="AC209" s="80"/>
      <c r="AD209" s="80"/>
      <c r="AE209">
        <v>1</v>
      </c>
      <c r="AF209" s="79" t="str">
        <f>REPLACE(INDEX(GroupVertices[Group],MATCH(Edges[[#This Row],[Vertex 1]],GroupVertices[Vertex],0)),1,1,"")</f>
        <v>5</v>
      </c>
      <c r="AG209" s="79" t="str">
        <f>REPLACE(INDEX(GroupVertices[Group],MATCH(Edges[[#This Row],[Vertex 2]],GroupVertices[Vertex],0)),1,1,"")</f>
        <v>5</v>
      </c>
      <c r="AH209" s="48">
        <v>0</v>
      </c>
      <c r="AI209" s="49">
        <v>0</v>
      </c>
      <c r="AJ209" s="48">
        <v>0</v>
      </c>
      <c r="AK209" s="49">
        <v>0</v>
      </c>
      <c r="AL209" s="48">
        <v>0</v>
      </c>
      <c r="AM209" s="49">
        <v>0</v>
      </c>
      <c r="AN209" s="48">
        <v>1</v>
      </c>
      <c r="AO209" s="49">
        <v>100</v>
      </c>
      <c r="AP209" s="48">
        <v>1</v>
      </c>
    </row>
    <row r="210" spans="1:42" ht="15">
      <c r="A210" s="65" t="s">
        <v>322</v>
      </c>
      <c r="B210" s="65" t="s">
        <v>318</v>
      </c>
      <c r="C210" s="66" t="s">
        <v>1901</v>
      </c>
      <c r="D210" s="67">
        <v>3</v>
      </c>
      <c r="E210" s="68"/>
      <c r="F210" s="69">
        <v>50</v>
      </c>
      <c r="G210" s="66"/>
      <c r="H210" s="70"/>
      <c r="I210" s="71"/>
      <c r="J210" s="71"/>
      <c r="K210" s="34" t="s">
        <v>66</v>
      </c>
      <c r="L210" s="78">
        <v>210</v>
      </c>
      <c r="M210" s="78"/>
      <c r="N210" s="73"/>
      <c r="O210" s="80" t="s">
        <v>332</v>
      </c>
      <c r="P210" s="80" t="s">
        <v>198</v>
      </c>
      <c r="Q210" s="80" t="s">
        <v>537</v>
      </c>
      <c r="R210" s="80" t="s">
        <v>322</v>
      </c>
      <c r="S210" s="80" t="s">
        <v>663</v>
      </c>
      <c r="T210" s="82" t="str">
        <f>HYPERLINK("http://www.youtube.com/channel/UCLP9rg296XvOznLwGaJVdew")</f>
        <v>http://www.youtube.com/channel/UCLP9rg296XvOznLwGaJVdew</v>
      </c>
      <c r="U210" s="80"/>
      <c r="V210" s="80" t="s">
        <v>792</v>
      </c>
      <c r="W210" s="82" t="str">
        <f>HYPERLINK("https://www.youtube.com/watch?v=7VeYvnovMy0")</f>
        <v>https://www.youtube.com/watch?v=7VeYvnovMy0</v>
      </c>
      <c r="X210" s="80" t="s">
        <v>794</v>
      </c>
      <c r="Y210" s="80">
        <v>1</v>
      </c>
      <c r="Z210" s="84">
        <v>44006.062372685185</v>
      </c>
      <c r="AA210" s="84">
        <v>44006.062372685185</v>
      </c>
      <c r="AB210" s="80"/>
      <c r="AC210" s="80"/>
      <c r="AD210" s="80"/>
      <c r="AE210">
        <v>1</v>
      </c>
      <c r="AF210" s="79" t="str">
        <f>REPLACE(INDEX(GroupVertices[Group],MATCH(Edges[[#This Row],[Vertex 1]],GroupVertices[Vertex],0)),1,1,"")</f>
        <v>5</v>
      </c>
      <c r="AG210" s="79" t="str">
        <f>REPLACE(INDEX(GroupVertices[Group],MATCH(Edges[[#This Row],[Vertex 2]],GroupVertices[Vertex],0)),1,1,"")</f>
        <v>5</v>
      </c>
      <c r="AH210" s="48">
        <v>0</v>
      </c>
      <c r="AI210" s="49">
        <v>0</v>
      </c>
      <c r="AJ210" s="48">
        <v>0</v>
      </c>
      <c r="AK210" s="49">
        <v>0</v>
      </c>
      <c r="AL210" s="48">
        <v>0</v>
      </c>
      <c r="AM210" s="49">
        <v>0</v>
      </c>
      <c r="AN210" s="48">
        <v>6</v>
      </c>
      <c r="AO210" s="49">
        <v>100</v>
      </c>
      <c r="AP210" s="48">
        <v>6</v>
      </c>
    </row>
    <row r="211" spans="1:42" ht="15">
      <c r="A211" s="65" t="s">
        <v>323</v>
      </c>
      <c r="B211" s="65" t="s">
        <v>324</v>
      </c>
      <c r="C211" s="66" t="s">
        <v>1901</v>
      </c>
      <c r="D211" s="67">
        <v>3</v>
      </c>
      <c r="E211" s="68"/>
      <c r="F211" s="69">
        <v>50</v>
      </c>
      <c r="G211" s="66"/>
      <c r="H211" s="70"/>
      <c r="I211" s="71"/>
      <c r="J211" s="71"/>
      <c r="K211" s="34" t="s">
        <v>65</v>
      </c>
      <c r="L211" s="78">
        <v>211</v>
      </c>
      <c r="M211" s="78"/>
      <c r="N211" s="73"/>
      <c r="O211" s="80" t="s">
        <v>331</v>
      </c>
      <c r="P211" s="80" t="s">
        <v>333</v>
      </c>
      <c r="Q211" s="80" t="s">
        <v>538</v>
      </c>
      <c r="R211" s="80" t="s">
        <v>323</v>
      </c>
      <c r="S211" s="80" t="s">
        <v>664</v>
      </c>
      <c r="T211" s="82" t="str">
        <f>HYPERLINK("http://www.youtube.com/channel/UCwHR-x4jQl_3foBBuSBPhHw")</f>
        <v>http://www.youtube.com/channel/UCwHR-x4jQl_3foBBuSBPhHw</v>
      </c>
      <c r="U211" s="80" t="s">
        <v>757</v>
      </c>
      <c r="V211" s="80" t="s">
        <v>792</v>
      </c>
      <c r="W211" s="82" t="str">
        <f>HYPERLINK("https://www.youtube.com/watch?v=7VeYvnovMy0")</f>
        <v>https://www.youtube.com/watch?v=7VeYvnovMy0</v>
      </c>
      <c r="X211" s="80" t="s">
        <v>794</v>
      </c>
      <c r="Y211" s="80">
        <v>0</v>
      </c>
      <c r="Z211" s="84">
        <v>44006.13554398148</v>
      </c>
      <c r="AA211" s="84">
        <v>44006.13554398148</v>
      </c>
      <c r="AB211" s="80"/>
      <c r="AC211" s="80"/>
      <c r="AD211" s="80"/>
      <c r="AE211">
        <v>1</v>
      </c>
      <c r="AF211" s="79" t="str">
        <f>REPLACE(INDEX(GroupVertices[Group],MATCH(Edges[[#This Row],[Vertex 1]],GroupVertices[Vertex],0)),1,1,"")</f>
        <v>5</v>
      </c>
      <c r="AG211" s="79" t="str">
        <f>REPLACE(INDEX(GroupVertices[Group],MATCH(Edges[[#This Row],[Vertex 2]],GroupVertices[Vertex],0)),1,1,"")</f>
        <v>5</v>
      </c>
      <c r="AH211" s="48">
        <v>0</v>
      </c>
      <c r="AI211" s="49">
        <v>0</v>
      </c>
      <c r="AJ211" s="48">
        <v>0</v>
      </c>
      <c r="AK211" s="49">
        <v>0</v>
      </c>
      <c r="AL211" s="48">
        <v>0</v>
      </c>
      <c r="AM211" s="49">
        <v>0</v>
      </c>
      <c r="AN211" s="48">
        <v>10</v>
      </c>
      <c r="AO211" s="49">
        <v>100</v>
      </c>
      <c r="AP211" s="48">
        <v>10</v>
      </c>
    </row>
    <row r="212" spans="1:42" ht="15">
      <c r="A212" s="65" t="s">
        <v>318</v>
      </c>
      <c r="B212" s="65" t="s">
        <v>324</v>
      </c>
      <c r="C212" s="66" t="s">
        <v>1901</v>
      </c>
      <c r="D212" s="67">
        <v>3</v>
      </c>
      <c r="E212" s="68"/>
      <c r="F212" s="69">
        <v>50</v>
      </c>
      <c r="G212" s="66"/>
      <c r="H212" s="70"/>
      <c r="I212" s="71"/>
      <c r="J212" s="71"/>
      <c r="K212" s="34" t="s">
        <v>66</v>
      </c>
      <c r="L212" s="78">
        <v>212</v>
      </c>
      <c r="M212" s="78"/>
      <c r="N212" s="73"/>
      <c r="O212" s="80" t="s">
        <v>331</v>
      </c>
      <c r="P212" s="80" t="s">
        <v>333</v>
      </c>
      <c r="Q212" s="80" t="s">
        <v>539</v>
      </c>
      <c r="R212" s="80" t="s">
        <v>318</v>
      </c>
      <c r="S212" s="80" t="s">
        <v>659</v>
      </c>
      <c r="T212" s="82" t="str">
        <f>HYPERLINK("http://www.youtube.com/channel/UCNaIAElKPANu-d7ysRpLcUg")</f>
        <v>http://www.youtube.com/channel/UCNaIAElKPANu-d7ysRpLcUg</v>
      </c>
      <c r="U212" s="80" t="s">
        <v>757</v>
      </c>
      <c r="V212" s="80" t="s">
        <v>792</v>
      </c>
      <c r="W212" s="82" t="str">
        <f>HYPERLINK("https://www.youtube.com/watch?v=7VeYvnovMy0")</f>
        <v>https://www.youtube.com/watch?v=7VeYvnovMy0</v>
      </c>
      <c r="X212" s="80" t="s">
        <v>794</v>
      </c>
      <c r="Y212" s="80">
        <v>0</v>
      </c>
      <c r="Z212" s="84">
        <v>44006.164351851854</v>
      </c>
      <c r="AA212" s="84">
        <v>44006.164351851854</v>
      </c>
      <c r="AB212" s="80"/>
      <c r="AC212" s="80"/>
      <c r="AD212" s="80"/>
      <c r="AE212">
        <v>1</v>
      </c>
      <c r="AF212" s="79" t="str">
        <f>REPLACE(INDEX(GroupVertices[Group],MATCH(Edges[[#This Row],[Vertex 1]],GroupVertices[Vertex],0)),1,1,"")</f>
        <v>5</v>
      </c>
      <c r="AG212" s="79" t="str">
        <f>REPLACE(INDEX(GroupVertices[Group],MATCH(Edges[[#This Row],[Vertex 2]],GroupVertices[Vertex],0)),1,1,"")</f>
        <v>5</v>
      </c>
      <c r="AH212" s="48">
        <v>0</v>
      </c>
      <c r="AI212" s="49">
        <v>0</v>
      </c>
      <c r="AJ212" s="48">
        <v>0</v>
      </c>
      <c r="AK212" s="49">
        <v>0</v>
      </c>
      <c r="AL212" s="48">
        <v>0</v>
      </c>
      <c r="AM212" s="49">
        <v>0</v>
      </c>
      <c r="AN212" s="48">
        <v>8</v>
      </c>
      <c r="AO212" s="49">
        <v>100</v>
      </c>
      <c r="AP212" s="48">
        <v>8</v>
      </c>
    </row>
    <row r="213" spans="1:42" ht="15">
      <c r="A213" s="65" t="s">
        <v>324</v>
      </c>
      <c r="B213" s="65" t="s">
        <v>318</v>
      </c>
      <c r="C213" s="66" t="s">
        <v>1901</v>
      </c>
      <c r="D213" s="67">
        <v>3</v>
      </c>
      <c r="E213" s="68"/>
      <c r="F213" s="69">
        <v>50</v>
      </c>
      <c r="G213" s="66"/>
      <c r="H213" s="70"/>
      <c r="I213" s="71"/>
      <c r="J213" s="71"/>
      <c r="K213" s="34" t="s">
        <v>66</v>
      </c>
      <c r="L213" s="78">
        <v>213</v>
      </c>
      <c r="M213" s="78"/>
      <c r="N213" s="73"/>
      <c r="O213" s="80" t="s">
        <v>332</v>
      </c>
      <c r="P213" s="80" t="s">
        <v>198</v>
      </c>
      <c r="Q213" s="80" t="s">
        <v>540</v>
      </c>
      <c r="R213" s="80" t="s">
        <v>324</v>
      </c>
      <c r="S213" s="80" t="s">
        <v>665</v>
      </c>
      <c r="T213" s="82" t="str">
        <f>HYPERLINK("http://www.youtube.com/channel/UCV-uhNsCQ0Ybu4twaEaj8CQ")</f>
        <v>http://www.youtube.com/channel/UCV-uhNsCQ0Ybu4twaEaj8CQ</v>
      </c>
      <c r="U213" s="80"/>
      <c r="V213" s="80" t="s">
        <v>792</v>
      </c>
      <c r="W213" s="82" t="str">
        <f>HYPERLINK("https://www.youtube.com/watch?v=7VeYvnovMy0")</f>
        <v>https://www.youtube.com/watch?v=7VeYvnovMy0</v>
      </c>
      <c r="X213" s="80" t="s">
        <v>794</v>
      </c>
      <c r="Y213" s="80">
        <v>1</v>
      </c>
      <c r="Z213" s="84">
        <v>44006.1280787037</v>
      </c>
      <c r="AA213" s="84">
        <v>44006.1280787037</v>
      </c>
      <c r="AB213" s="80"/>
      <c r="AC213" s="80"/>
      <c r="AD213" s="80"/>
      <c r="AE213">
        <v>1</v>
      </c>
      <c r="AF213" s="79" t="str">
        <f>REPLACE(INDEX(GroupVertices[Group],MATCH(Edges[[#This Row],[Vertex 1]],GroupVertices[Vertex],0)),1,1,"")</f>
        <v>5</v>
      </c>
      <c r="AG213" s="79" t="str">
        <f>REPLACE(INDEX(GroupVertices[Group],MATCH(Edges[[#This Row],[Vertex 2]],GroupVertices[Vertex],0)),1,1,"")</f>
        <v>5</v>
      </c>
      <c r="AH213" s="48">
        <v>0</v>
      </c>
      <c r="AI213" s="49">
        <v>0</v>
      </c>
      <c r="AJ213" s="48">
        <v>0</v>
      </c>
      <c r="AK213" s="49">
        <v>0</v>
      </c>
      <c r="AL213" s="48">
        <v>0</v>
      </c>
      <c r="AM213" s="49">
        <v>0</v>
      </c>
      <c r="AN213" s="48">
        <v>33</v>
      </c>
      <c r="AO213" s="49">
        <v>100</v>
      </c>
      <c r="AP213" s="48">
        <v>33</v>
      </c>
    </row>
    <row r="214" spans="1:42" ht="15">
      <c r="A214" s="65" t="s">
        <v>318</v>
      </c>
      <c r="B214" s="65" t="s">
        <v>323</v>
      </c>
      <c r="C214" s="66" t="s">
        <v>1901</v>
      </c>
      <c r="D214" s="67">
        <v>3</v>
      </c>
      <c r="E214" s="68"/>
      <c r="F214" s="69">
        <v>50</v>
      </c>
      <c r="G214" s="66"/>
      <c r="H214" s="70"/>
      <c r="I214" s="71"/>
      <c r="J214" s="71"/>
      <c r="K214" s="34" t="s">
        <v>66</v>
      </c>
      <c r="L214" s="78">
        <v>214</v>
      </c>
      <c r="M214" s="78"/>
      <c r="N214" s="73"/>
      <c r="O214" s="80" t="s">
        <v>331</v>
      </c>
      <c r="P214" s="80" t="s">
        <v>333</v>
      </c>
      <c r="Q214" s="80" t="s">
        <v>541</v>
      </c>
      <c r="R214" s="80" t="s">
        <v>318</v>
      </c>
      <c r="S214" s="80" t="s">
        <v>659</v>
      </c>
      <c r="T214" s="82" t="str">
        <f>HYPERLINK("http://www.youtube.com/channel/UCNaIAElKPANu-d7ysRpLcUg")</f>
        <v>http://www.youtube.com/channel/UCNaIAElKPANu-d7ysRpLcUg</v>
      </c>
      <c r="U214" s="80" t="s">
        <v>758</v>
      </c>
      <c r="V214" s="80" t="s">
        <v>792</v>
      </c>
      <c r="W214" s="82" t="str">
        <f>HYPERLINK("https://www.youtube.com/watch?v=7VeYvnovMy0")</f>
        <v>https://www.youtube.com/watch?v=7VeYvnovMy0</v>
      </c>
      <c r="X214" s="80" t="s">
        <v>794</v>
      </c>
      <c r="Y214" s="80">
        <v>0</v>
      </c>
      <c r="Z214" s="84">
        <v>44006.16388888889</v>
      </c>
      <c r="AA214" s="84">
        <v>44006.16388888889</v>
      </c>
      <c r="AB214" s="80"/>
      <c r="AC214" s="80"/>
      <c r="AD214" s="80"/>
      <c r="AE214">
        <v>1</v>
      </c>
      <c r="AF214" s="79" t="str">
        <f>REPLACE(INDEX(GroupVertices[Group],MATCH(Edges[[#This Row],[Vertex 1]],GroupVertices[Vertex],0)),1,1,"")</f>
        <v>5</v>
      </c>
      <c r="AG214" s="79" t="str">
        <f>REPLACE(INDEX(GroupVertices[Group],MATCH(Edges[[#This Row],[Vertex 2]],GroupVertices[Vertex],0)),1,1,"")</f>
        <v>5</v>
      </c>
      <c r="AH214" s="48">
        <v>0</v>
      </c>
      <c r="AI214" s="49">
        <v>0</v>
      </c>
      <c r="AJ214" s="48">
        <v>0</v>
      </c>
      <c r="AK214" s="49">
        <v>0</v>
      </c>
      <c r="AL214" s="48">
        <v>0</v>
      </c>
      <c r="AM214" s="49">
        <v>0</v>
      </c>
      <c r="AN214" s="48">
        <v>7</v>
      </c>
      <c r="AO214" s="49">
        <v>100</v>
      </c>
      <c r="AP214" s="48">
        <v>7</v>
      </c>
    </row>
    <row r="215" spans="1:42" ht="15">
      <c r="A215" s="65" t="s">
        <v>323</v>
      </c>
      <c r="B215" s="65" t="s">
        <v>318</v>
      </c>
      <c r="C215" s="66" t="s">
        <v>1901</v>
      </c>
      <c r="D215" s="67">
        <v>3</v>
      </c>
      <c r="E215" s="68"/>
      <c r="F215" s="69">
        <v>50</v>
      </c>
      <c r="G215" s="66"/>
      <c r="H215" s="70"/>
      <c r="I215" s="71"/>
      <c r="J215" s="71"/>
      <c r="K215" s="34" t="s">
        <v>66</v>
      </c>
      <c r="L215" s="78">
        <v>215</v>
      </c>
      <c r="M215" s="78"/>
      <c r="N215" s="73"/>
      <c r="O215" s="80" t="s">
        <v>332</v>
      </c>
      <c r="P215" s="80" t="s">
        <v>198</v>
      </c>
      <c r="Q215" s="80" t="s">
        <v>542</v>
      </c>
      <c r="R215" s="80" t="s">
        <v>323</v>
      </c>
      <c r="S215" s="80" t="s">
        <v>664</v>
      </c>
      <c r="T215" s="82" t="str">
        <f>HYPERLINK("http://www.youtube.com/channel/UCwHR-x4jQl_3foBBuSBPhHw")</f>
        <v>http://www.youtube.com/channel/UCwHR-x4jQl_3foBBuSBPhHw</v>
      </c>
      <c r="U215" s="80"/>
      <c r="V215" s="80" t="s">
        <v>792</v>
      </c>
      <c r="W215" s="82" t="str">
        <f>HYPERLINK("https://www.youtube.com/watch?v=7VeYvnovMy0")</f>
        <v>https://www.youtube.com/watch?v=7VeYvnovMy0</v>
      </c>
      <c r="X215" s="80" t="s">
        <v>794</v>
      </c>
      <c r="Y215" s="80">
        <v>1</v>
      </c>
      <c r="Z215" s="84">
        <v>44006.13662037037</v>
      </c>
      <c r="AA215" s="84">
        <v>44006.13662037037</v>
      </c>
      <c r="AB215" s="80"/>
      <c r="AC215" s="80"/>
      <c r="AD215" s="80"/>
      <c r="AE215">
        <v>1</v>
      </c>
      <c r="AF215" s="79" t="str">
        <f>REPLACE(INDEX(GroupVertices[Group],MATCH(Edges[[#This Row],[Vertex 1]],GroupVertices[Vertex],0)),1,1,"")</f>
        <v>5</v>
      </c>
      <c r="AG215" s="79" t="str">
        <f>REPLACE(INDEX(GroupVertices[Group],MATCH(Edges[[#This Row],[Vertex 2]],GroupVertices[Vertex],0)),1,1,"")</f>
        <v>5</v>
      </c>
      <c r="AH215" s="48">
        <v>0</v>
      </c>
      <c r="AI215" s="49">
        <v>0</v>
      </c>
      <c r="AJ215" s="48">
        <v>0</v>
      </c>
      <c r="AK215" s="49">
        <v>0</v>
      </c>
      <c r="AL215" s="48">
        <v>0</v>
      </c>
      <c r="AM215" s="49">
        <v>0</v>
      </c>
      <c r="AN215" s="48">
        <v>12</v>
      </c>
      <c r="AO215" s="49">
        <v>100</v>
      </c>
      <c r="AP215" s="48">
        <v>12</v>
      </c>
    </row>
    <row r="216" spans="1:42" ht="15">
      <c r="A216" s="65" t="s">
        <v>318</v>
      </c>
      <c r="B216" s="65" t="s">
        <v>325</v>
      </c>
      <c r="C216" s="66" t="s">
        <v>1901</v>
      </c>
      <c r="D216" s="67">
        <v>3</v>
      </c>
      <c r="E216" s="68"/>
      <c r="F216" s="69">
        <v>50</v>
      </c>
      <c r="G216" s="66"/>
      <c r="H216" s="70"/>
      <c r="I216" s="71"/>
      <c r="J216" s="71"/>
      <c r="K216" s="34" t="s">
        <v>66</v>
      </c>
      <c r="L216" s="78">
        <v>216</v>
      </c>
      <c r="M216" s="78"/>
      <c r="N216" s="73"/>
      <c r="O216" s="80" t="s">
        <v>331</v>
      </c>
      <c r="P216" s="80" t="s">
        <v>333</v>
      </c>
      <c r="Q216" s="80" t="s">
        <v>543</v>
      </c>
      <c r="R216" s="80" t="s">
        <v>318</v>
      </c>
      <c r="S216" s="80" t="s">
        <v>659</v>
      </c>
      <c r="T216" s="82" t="str">
        <f>HYPERLINK("http://www.youtube.com/channel/UCNaIAElKPANu-d7ysRpLcUg")</f>
        <v>http://www.youtube.com/channel/UCNaIAElKPANu-d7ysRpLcUg</v>
      </c>
      <c r="U216" s="80" t="s">
        <v>759</v>
      </c>
      <c r="V216" s="80" t="s">
        <v>792</v>
      </c>
      <c r="W216" s="82" t="str">
        <f>HYPERLINK("https://www.youtube.com/watch?v=7VeYvnovMy0")</f>
        <v>https://www.youtube.com/watch?v=7VeYvnovMy0</v>
      </c>
      <c r="X216" s="80" t="s">
        <v>794</v>
      </c>
      <c r="Y216" s="80">
        <v>0</v>
      </c>
      <c r="Z216" s="84">
        <v>44006.25429398148</v>
      </c>
      <c r="AA216" s="84">
        <v>44006.25429398148</v>
      </c>
      <c r="AB216" s="80"/>
      <c r="AC216" s="80"/>
      <c r="AD216" s="80"/>
      <c r="AE216">
        <v>1</v>
      </c>
      <c r="AF216" s="79" t="str">
        <f>REPLACE(INDEX(GroupVertices[Group],MATCH(Edges[[#This Row],[Vertex 1]],GroupVertices[Vertex],0)),1,1,"")</f>
        <v>5</v>
      </c>
      <c r="AG216" s="79" t="str">
        <f>REPLACE(INDEX(GroupVertices[Group],MATCH(Edges[[#This Row],[Vertex 2]],GroupVertices[Vertex],0)),1,1,"")</f>
        <v>5</v>
      </c>
      <c r="AH216" s="48">
        <v>0</v>
      </c>
      <c r="AI216" s="49">
        <v>0</v>
      </c>
      <c r="AJ216" s="48">
        <v>0</v>
      </c>
      <c r="AK216" s="49">
        <v>0</v>
      </c>
      <c r="AL216" s="48">
        <v>0</v>
      </c>
      <c r="AM216" s="49">
        <v>0</v>
      </c>
      <c r="AN216" s="48">
        <v>1</v>
      </c>
      <c r="AO216" s="49">
        <v>100</v>
      </c>
      <c r="AP216" s="48">
        <v>1</v>
      </c>
    </row>
    <row r="217" spans="1:42" ht="15">
      <c r="A217" s="65" t="s">
        <v>325</v>
      </c>
      <c r="B217" s="65" t="s">
        <v>318</v>
      </c>
      <c r="C217" s="66" t="s">
        <v>1901</v>
      </c>
      <c r="D217" s="67">
        <v>3</v>
      </c>
      <c r="E217" s="68"/>
      <c r="F217" s="69">
        <v>50</v>
      </c>
      <c r="G217" s="66"/>
      <c r="H217" s="70"/>
      <c r="I217" s="71"/>
      <c r="J217" s="71"/>
      <c r="K217" s="34" t="s">
        <v>66</v>
      </c>
      <c r="L217" s="78">
        <v>217</v>
      </c>
      <c r="M217" s="78"/>
      <c r="N217" s="73"/>
      <c r="O217" s="80" t="s">
        <v>332</v>
      </c>
      <c r="P217" s="80" t="s">
        <v>198</v>
      </c>
      <c r="Q217" s="80" t="s">
        <v>544</v>
      </c>
      <c r="R217" s="80" t="s">
        <v>325</v>
      </c>
      <c r="S217" s="80" t="s">
        <v>666</v>
      </c>
      <c r="T217" s="82" t="str">
        <f>HYPERLINK("http://www.youtube.com/channel/UCdO355gbRMlaZLqhaz-X84w")</f>
        <v>http://www.youtube.com/channel/UCdO355gbRMlaZLqhaz-X84w</v>
      </c>
      <c r="U217" s="80"/>
      <c r="V217" s="80" t="s">
        <v>792</v>
      </c>
      <c r="W217" s="82" t="str">
        <f>HYPERLINK("https://www.youtube.com/watch?v=7VeYvnovMy0")</f>
        <v>https://www.youtube.com/watch?v=7VeYvnovMy0</v>
      </c>
      <c r="X217" s="80" t="s">
        <v>794</v>
      </c>
      <c r="Y217" s="80">
        <v>1</v>
      </c>
      <c r="Z217" s="84">
        <v>44006.20460648148</v>
      </c>
      <c r="AA217" s="84">
        <v>44006.20460648148</v>
      </c>
      <c r="AB217" s="80"/>
      <c r="AC217" s="80"/>
      <c r="AD217" s="80"/>
      <c r="AE217">
        <v>1</v>
      </c>
      <c r="AF217" s="79" t="str">
        <f>REPLACE(INDEX(GroupVertices[Group],MATCH(Edges[[#This Row],[Vertex 1]],GroupVertices[Vertex],0)),1,1,"")</f>
        <v>5</v>
      </c>
      <c r="AG217" s="79" t="str">
        <f>REPLACE(INDEX(GroupVertices[Group],MATCH(Edges[[#This Row],[Vertex 2]],GroupVertices[Vertex],0)),1,1,"")</f>
        <v>5</v>
      </c>
      <c r="AH217" s="48">
        <v>0</v>
      </c>
      <c r="AI217" s="49">
        <v>0</v>
      </c>
      <c r="AJ217" s="48">
        <v>0</v>
      </c>
      <c r="AK217" s="49">
        <v>0</v>
      </c>
      <c r="AL217" s="48">
        <v>0</v>
      </c>
      <c r="AM217" s="49">
        <v>0</v>
      </c>
      <c r="AN217" s="48">
        <v>6</v>
      </c>
      <c r="AO217" s="49">
        <v>100</v>
      </c>
      <c r="AP217" s="48">
        <v>6</v>
      </c>
    </row>
    <row r="218" spans="1:42" ht="15">
      <c r="A218" s="65" t="s">
        <v>224</v>
      </c>
      <c r="B218" s="65" t="s">
        <v>326</v>
      </c>
      <c r="C218" s="66" t="s">
        <v>1900</v>
      </c>
      <c r="D218" s="67">
        <v>10</v>
      </c>
      <c r="E218" s="68"/>
      <c r="F218" s="69">
        <v>20</v>
      </c>
      <c r="G218" s="66"/>
      <c r="H218" s="70"/>
      <c r="I218" s="71"/>
      <c r="J218" s="71"/>
      <c r="K218" s="34" t="s">
        <v>66</v>
      </c>
      <c r="L218" s="78">
        <v>218</v>
      </c>
      <c r="M218" s="78"/>
      <c r="N218" s="73"/>
      <c r="O218" s="80" t="s">
        <v>331</v>
      </c>
      <c r="P218" s="80" t="s">
        <v>333</v>
      </c>
      <c r="Q218" s="80" t="s">
        <v>545</v>
      </c>
      <c r="R218" s="80" t="s">
        <v>224</v>
      </c>
      <c r="S218" s="80" t="s">
        <v>565</v>
      </c>
      <c r="T218" s="82" t="str">
        <f>HYPERLINK("http://www.youtube.com/channel/UCIUV3lP4RQEOqbY1funMH3w")</f>
        <v>http://www.youtube.com/channel/UCIUV3lP4RQEOqbY1funMH3w</v>
      </c>
      <c r="U218" s="80" t="s">
        <v>760</v>
      </c>
      <c r="V218" s="80" t="s">
        <v>764</v>
      </c>
      <c r="W218" s="82" t="str">
        <f>HYPERLINK("https://www.youtube.com/watch?v=IpwV3URrFOc")</f>
        <v>https://www.youtube.com/watch?v=IpwV3URrFOc</v>
      </c>
      <c r="X218" s="80" t="s">
        <v>794</v>
      </c>
      <c r="Y218" s="80">
        <v>0</v>
      </c>
      <c r="Z218" s="84">
        <v>44001.61070601852</v>
      </c>
      <c r="AA218" s="84">
        <v>44001.61070601852</v>
      </c>
      <c r="AB218" s="80"/>
      <c r="AC218" s="80"/>
      <c r="AD218" s="80"/>
      <c r="AE218">
        <v>2</v>
      </c>
      <c r="AF218" s="79" t="str">
        <f>REPLACE(INDEX(GroupVertices[Group],MATCH(Edges[[#This Row],[Vertex 1]],GroupVertices[Vertex],0)),1,1,"")</f>
        <v>3</v>
      </c>
      <c r="AG218" s="79" t="str">
        <f>REPLACE(INDEX(GroupVertices[Group],MATCH(Edges[[#This Row],[Vertex 2]],GroupVertices[Vertex],0)),1,1,"")</f>
        <v>3</v>
      </c>
      <c r="AH218" s="48">
        <v>0</v>
      </c>
      <c r="AI218" s="49">
        <v>0</v>
      </c>
      <c r="AJ218" s="48">
        <v>0</v>
      </c>
      <c r="AK218" s="49">
        <v>0</v>
      </c>
      <c r="AL218" s="48">
        <v>0</v>
      </c>
      <c r="AM218" s="49">
        <v>0</v>
      </c>
      <c r="AN218" s="48">
        <v>3</v>
      </c>
      <c r="AO218" s="49">
        <v>100</v>
      </c>
      <c r="AP218" s="48">
        <v>3</v>
      </c>
    </row>
    <row r="219" spans="1:42" ht="15">
      <c r="A219" s="65" t="s">
        <v>326</v>
      </c>
      <c r="B219" s="65" t="s">
        <v>224</v>
      </c>
      <c r="C219" s="66" t="s">
        <v>1900</v>
      </c>
      <c r="D219" s="67">
        <v>10</v>
      </c>
      <c r="E219" s="68"/>
      <c r="F219" s="69">
        <v>20</v>
      </c>
      <c r="G219" s="66"/>
      <c r="H219" s="70"/>
      <c r="I219" s="71"/>
      <c r="J219" s="71"/>
      <c r="K219" s="34" t="s">
        <v>66</v>
      </c>
      <c r="L219" s="78">
        <v>219</v>
      </c>
      <c r="M219" s="78"/>
      <c r="N219" s="73"/>
      <c r="O219" s="80" t="s">
        <v>332</v>
      </c>
      <c r="P219" s="80" t="s">
        <v>198</v>
      </c>
      <c r="Q219" s="80" t="s">
        <v>546</v>
      </c>
      <c r="R219" s="80" t="s">
        <v>326</v>
      </c>
      <c r="S219" s="80" t="s">
        <v>667</v>
      </c>
      <c r="T219" s="82" t="str">
        <f>HYPERLINK("http://www.youtube.com/channel/UC2YHRjs9y2Jy0mdzPR_gvdQ")</f>
        <v>http://www.youtube.com/channel/UC2YHRjs9y2Jy0mdzPR_gvdQ</v>
      </c>
      <c r="U219" s="80"/>
      <c r="V219" s="80" t="s">
        <v>764</v>
      </c>
      <c r="W219" s="82" t="str">
        <f>HYPERLINK("https://www.youtube.com/watch?v=IpwV3URrFOc")</f>
        <v>https://www.youtube.com/watch?v=IpwV3URrFOc</v>
      </c>
      <c r="X219" s="80" t="s">
        <v>794</v>
      </c>
      <c r="Y219" s="80">
        <v>0</v>
      </c>
      <c r="Z219" s="84">
        <v>44001.280798611115</v>
      </c>
      <c r="AA219" s="84">
        <v>44001.280798611115</v>
      </c>
      <c r="AB219" s="80"/>
      <c r="AC219" s="80"/>
      <c r="AD219" s="80"/>
      <c r="AE219">
        <v>2</v>
      </c>
      <c r="AF219" s="79" t="str">
        <f>REPLACE(INDEX(GroupVertices[Group],MATCH(Edges[[#This Row],[Vertex 1]],GroupVertices[Vertex],0)),1,1,"")</f>
        <v>3</v>
      </c>
      <c r="AG219" s="79" t="str">
        <f>REPLACE(INDEX(GroupVertices[Group],MATCH(Edges[[#This Row],[Vertex 2]],GroupVertices[Vertex],0)),1,1,"")</f>
        <v>3</v>
      </c>
      <c r="AH219" s="48">
        <v>1</v>
      </c>
      <c r="AI219" s="49">
        <v>9.090909090909092</v>
      </c>
      <c r="AJ219" s="48">
        <v>0</v>
      </c>
      <c r="AK219" s="49">
        <v>0</v>
      </c>
      <c r="AL219" s="48">
        <v>0</v>
      </c>
      <c r="AM219" s="49">
        <v>0</v>
      </c>
      <c r="AN219" s="48">
        <v>10</v>
      </c>
      <c r="AO219" s="49">
        <v>90.9090909090909</v>
      </c>
      <c r="AP219" s="48">
        <v>11</v>
      </c>
    </row>
    <row r="220" spans="1:42" ht="15">
      <c r="A220" s="65" t="s">
        <v>224</v>
      </c>
      <c r="B220" s="65" t="s">
        <v>326</v>
      </c>
      <c r="C220" s="66" t="s">
        <v>1900</v>
      </c>
      <c r="D220" s="67">
        <v>10</v>
      </c>
      <c r="E220" s="68"/>
      <c r="F220" s="69">
        <v>20</v>
      </c>
      <c r="G220" s="66"/>
      <c r="H220" s="70"/>
      <c r="I220" s="71"/>
      <c r="J220" s="71"/>
      <c r="K220" s="34" t="s">
        <v>66</v>
      </c>
      <c r="L220" s="78">
        <v>220</v>
      </c>
      <c r="M220" s="78"/>
      <c r="N220" s="73"/>
      <c r="O220" s="80" t="s">
        <v>331</v>
      </c>
      <c r="P220" s="80" t="s">
        <v>333</v>
      </c>
      <c r="Q220" s="80" t="s">
        <v>547</v>
      </c>
      <c r="R220" s="80" t="s">
        <v>224</v>
      </c>
      <c r="S220" s="80" t="s">
        <v>565</v>
      </c>
      <c r="T220" s="82" t="str">
        <f>HYPERLINK("http://www.youtube.com/channel/UCIUV3lP4RQEOqbY1funMH3w")</f>
        <v>http://www.youtube.com/channel/UCIUV3lP4RQEOqbY1funMH3w</v>
      </c>
      <c r="U220" s="80" t="s">
        <v>761</v>
      </c>
      <c r="V220" s="80" t="s">
        <v>793</v>
      </c>
      <c r="W220" s="82" t="str">
        <f>HYPERLINK("https://www.youtube.com/watch?v=u9spSr5jDtU")</f>
        <v>https://www.youtube.com/watch?v=u9spSr5jDtU</v>
      </c>
      <c r="X220" s="80" t="s">
        <v>794</v>
      </c>
      <c r="Y220" s="80">
        <v>0</v>
      </c>
      <c r="Z220" s="84">
        <v>44006.367268518516</v>
      </c>
      <c r="AA220" s="84">
        <v>44006.367268518516</v>
      </c>
      <c r="AB220" s="80"/>
      <c r="AC220" s="80"/>
      <c r="AD220" s="80"/>
      <c r="AE220">
        <v>2</v>
      </c>
      <c r="AF220" s="79" t="str">
        <f>REPLACE(INDEX(GroupVertices[Group],MATCH(Edges[[#This Row],[Vertex 1]],GroupVertices[Vertex],0)),1,1,"")</f>
        <v>3</v>
      </c>
      <c r="AG220" s="79" t="str">
        <f>REPLACE(INDEX(GroupVertices[Group],MATCH(Edges[[#This Row],[Vertex 2]],GroupVertices[Vertex],0)),1,1,"")</f>
        <v>3</v>
      </c>
      <c r="AH220" s="48">
        <v>1</v>
      </c>
      <c r="AI220" s="49">
        <v>33.333333333333336</v>
      </c>
      <c r="AJ220" s="48">
        <v>0</v>
      </c>
      <c r="AK220" s="49">
        <v>0</v>
      </c>
      <c r="AL220" s="48">
        <v>0</v>
      </c>
      <c r="AM220" s="49">
        <v>0</v>
      </c>
      <c r="AN220" s="48">
        <v>2</v>
      </c>
      <c r="AO220" s="49">
        <v>66.66666666666667</v>
      </c>
      <c r="AP220" s="48">
        <v>3</v>
      </c>
    </row>
    <row r="221" spans="1:42" ht="15">
      <c r="A221" s="65" t="s">
        <v>326</v>
      </c>
      <c r="B221" s="65" t="s">
        <v>224</v>
      </c>
      <c r="C221" s="66" t="s">
        <v>1900</v>
      </c>
      <c r="D221" s="67">
        <v>10</v>
      </c>
      <c r="E221" s="68"/>
      <c r="F221" s="69">
        <v>20</v>
      </c>
      <c r="G221" s="66"/>
      <c r="H221" s="70"/>
      <c r="I221" s="71"/>
      <c r="J221" s="71"/>
      <c r="K221" s="34" t="s">
        <v>66</v>
      </c>
      <c r="L221" s="78">
        <v>221</v>
      </c>
      <c r="M221" s="78"/>
      <c r="N221" s="73"/>
      <c r="O221" s="80" t="s">
        <v>332</v>
      </c>
      <c r="P221" s="80" t="s">
        <v>198</v>
      </c>
      <c r="Q221" s="80" t="s">
        <v>548</v>
      </c>
      <c r="R221" s="80" t="s">
        <v>326</v>
      </c>
      <c r="S221" s="80" t="s">
        <v>667</v>
      </c>
      <c r="T221" s="82" t="str">
        <f>HYPERLINK("http://www.youtube.com/channel/UC2YHRjs9y2Jy0mdzPR_gvdQ")</f>
        <v>http://www.youtube.com/channel/UC2YHRjs9y2Jy0mdzPR_gvdQ</v>
      </c>
      <c r="U221" s="80"/>
      <c r="V221" s="80" t="s">
        <v>793</v>
      </c>
      <c r="W221" s="82" t="str">
        <f>HYPERLINK("https://www.youtube.com/watch?v=u9spSr5jDtU")</f>
        <v>https://www.youtube.com/watch?v=u9spSr5jDtU</v>
      </c>
      <c r="X221" s="80" t="s">
        <v>794</v>
      </c>
      <c r="Y221" s="80">
        <v>3</v>
      </c>
      <c r="Z221" s="84">
        <v>44006.360451388886</v>
      </c>
      <c r="AA221" s="84">
        <v>44006.360451388886</v>
      </c>
      <c r="AB221" s="80"/>
      <c r="AC221" s="80"/>
      <c r="AD221" s="80"/>
      <c r="AE221">
        <v>2</v>
      </c>
      <c r="AF221" s="79" t="str">
        <f>REPLACE(INDEX(GroupVertices[Group],MATCH(Edges[[#This Row],[Vertex 1]],GroupVertices[Vertex],0)),1,1,"")</f>
        <v>3</v>
      </c>
      <c r="AG221" s="79" t="str">
        <f>REPLACE(INDEX(GroupVertices[Group],MATCH(Edges[[#This Row],[Vertex 2]],GroupVertices[Vertex],0)),1,1,"")</f>
        <v>3</v>
      </c>
      <c r="AH221" s="48">
        <v>3</v>
      </c>
      <c r="AI221" s="49">
        <v>33.333333333333336</v>
      </c>
      <c r="AJ221" s="48">
        <v>0</v>
      </c>
      <c r="AK221" s="49">
        <v>0</v>
      </c>
      <c r="AL221" s="48">
        <v>0</v>
      </c>
      <c r="AM221" s="49">
        <v>0</v>
      </c>
      <c r="AN221" s="48">
        <v>6</v>
      </c>
      <c r="AO221" s="49">
        <v>66.66666666666667</v>
      </c>
      <c r="AP221" s="48">
        <v>9</v>
      </c>
    </row>
    <row r="222" spans="1:42" ht="15">
      <c r="A222" s="65" t="s">
        <v>327</v>
      </c>
      <c r="B222" s="65" t="s">
        <v>310</v>
      </c>
      <c r="C222" s="66" t="s">
        <v>1901</v>
      </c>
      <c r="D222" s="67">
        <v>3</v>
      </c>
      <c r="E222" s="68"/>
      <c r="F222" s="69">
        <v>50</v>
      </c>
      <c r="G222" s="66"/>
      <c r="H222" s="70"/>
      <c r="I222" s="71"/>
      <c r="J222" s="71"/>
      <c r="K222" s="34" t="s">
        <v>65</v>
      </c>
      <c r="L222" s="78">
        <v>222</v>
      </c>
      <c r="M222" s="78"/>
      <c r="N222" s="73"/>
      <c r="O222" s="80" t="s">
        <v>331</v>
      </c>
      <c r="P222" s="80" t="s">
        <v>333</v>
      </c>
      <c r="Q222" s="80" t="s">
        <v>549</v>
      </c>
      <c r="R222" s="80" t="s">
        <v>327</v>
      </c>
      <c r="S222" s="80" t="s">
        <v>668</v>
      </c>
      <c r="T222" s="82" t="str">
        <f>HYPERLINK("http://www.youtube.com/channel/UCOkHNLgWs8h7Ga_QZU07ryA")</f>
        <v>http://www.youtube.com/channel/UCOkHNLgWs8h7Ga_QZU07ryA</v>
      </c>
      <c r="U222" s="80" t="s">
        <v>762</v>
      </c>
      <c r="V222" s="80" t="s">
        <v>793</v>
      </c>
      <c r="W222" s="82" t="str">
        <f>HYPERLINK("https://www.youtube.com/watch?v=u9spSr5jDtU")</f>
        <v>https://www.youtube.com/watch?v=u9spSr5jDtU</v>
      </c>
      <c r="X222" s="80" t="s">
        <v>794</v>
      </c>
      <c r="Y222" s="80">
        <v>0</v>
      </c>
      <c r="Z222" s="84">
        <v>44006.46532407407</v>
      </c>
      <c r="AA222" s="84">
        <v>44006.46532407407</v>
      </c>
      <c r="AB222" s="80"/>
      <c r="AC222" s="80"/>
      <c r="AD222" s="80"/>
      <c r="AE222">
        <v>1</v>
      </c>
      <c r="AF222" s="79" t="str">
        <f>REPLACE(INDEX(GroupVertices[Group],MATCH(Edges[[#This Row],[Vertex 1]],GroupVertices[Vertex],0)),1,1,"")</f>
        <v>3</v>
      </c>
      <c r="AG222" s="79" t="str">
        <f>REPLACE(INDEX(GroupVertices[Group],MATCH(Edges[[#This Row],[Vertex 2]],GroupVertices[Vertex],0)),1,1,"")</f>
        <v>3</v>
      </c>
      <c r="AH222" s="48">
        <v>0</v>
      </c>
      <c r="AI222" s="49">
        <v>0</v>
      </c>
      <c r="AJ222" s="48">
        <v>0</v>
      </c>
      <c r="AK222" s="49">
        <v>0</v>
      </c>
      <c r="AL222" s="48">
        <v>0</v>
      </c>
      <c r="AM222" s="49">
        <v>0</v>
      </c>
      <c r="AN222" s="48">
        <v>52</v>
      </c>
      <c r="AO222" s="49">
        <v>100</v>
      </c>
      <c r="AP222" s="48">
        <v>52</v>
      </c>
    </row>
    <row r="223" spans="1:42" ht="15">
      <c r="A223" s="65" t="s">
        <v>224</v>
      </c>
      <c r="B223" s="65" t="s">
        <v>310</v>
      </c>
      <c r="C223" s="66" t="s">
        <v>1901</v>
      </c>
      <c r="D223" s="67">
        <v>3</v>
      </c>
      <c r="E223" s="68"/>
      <c r="F223" s="69">
        <v>50</v>
      </c>
      <c r="G223" s="66"/>
      <c r="H223" s="70"/>
      <c r="I223" s="71"/>
      <c r="J223" s="71"/>
      <c r="K223" s="34" t="s">
        <v>66</v>
      </c>
      <c r="L223" s="78">
        <v>223</v>
      </c>
      <c r="M223" s="78"/>
      <c r="N223" s="73"/>
      <c r="O223" s="80" t="s">
        <v>331</v>
      </c>
      <c r="P223" s="80" t="s">
        <v>333</v>
      </c>
      <c r="Q223" s="80" t="s">
        <v>550</v>
      </c>
      <c r="R223" s="80" t="s">
        <v>224</v>
      </c>
      <c r="S223" s="80" t="s">
        <v>565</v>
      </c>
      <c r="T223" s="82" t="str">
        <f>HYPERLINK("http://www.youtube.com/channel/UCIUV3lP4RQEOqbY1funMH3w")</f>
        <v>http://www.youtube.com/channel/UCIUV3lP4RQEOqbY1funMH3w</v>
      </c>
      <c r="U223" s="80" t="s">
        <v>762</v>
      </c>
      <c r="V223" s="80" t="s">
        <v>793</v>
      </c>
      <c r="W223" s="82" t="str">
        <f>HYPERLINK("https://www.youtube.com/watch?v=u9spSr5jDtU")</f>
        <v>https://www.youtube.com/watch?v=u9spSr5jDtU</v>
      </c>
      <c r="X223" s="80" t="s">
        <v>794</v>
      </c>
      <c r="Y223" s="80">
        <v>0</v>
      </c>
      <c r="Z223" s="84">
        <v>44006.40974537037</v>
      </c>
      <c r="AA223" s="84">
        <v>44006.40974537037</v>
      </c>
      <c r="AB223" s="80"/>
      <c r="AC223" s="80"/>
      <c r="AD223" s="80"/>
      <c r="AE223">
        <v>1</v>
      </c>
      <c r="AF223" s="79" t="str">
        <f>REPLACE(INDEX(GroupVertices[Group],MATCH(Edges[[#This Row],[Vertex 1]],GroupVertices[Vertex],0)),1,1,"")</f>
        <v>3</v>
      </c>
      <c r="AG223" s="79" t="str">
        <f>REPLACE(INDEX(GroupVertices[Group],MATCH(Edges[[#This Row],[Vertex 2]],GroupVertices[Vertex],0)),1,1,"")</f>
        <v>3</v>
      </c>
      <c r="AH223" s="48">
        <v>1</v>
      </c>
      <c r="AI223" s="49">
        <v>11.11111111111111</v>
      </c>
      <c r="AJ223" s="48">
        <v>0</v>
      </c>
      <c r="AK223" s="49">
        <v>0</v>
      </c>
      <c r="AL223" s="48">
        <v>0</v>
      </c>
      <c r="AM223" s="49">
        <v>0</v>
      </c>
      <c r="AN223" s="48">
        <v>8</v>
      </c>
      <c r="AO223" s="49">
        <v>88.88888888888889</v>
      </c>
      <c r="AP223" s="48">
        <v>9</v>
      </c>
    </row>
    <row r="224" spans="1:42" ht="15">
      <c r="A224" s="65" t="s">
        <v>310</v>
      </c>
      <c r="B224" s="65" t="s">
        <v>224</v>
      </c>
      <c r="C224" s="66" t="s">
        <v>1901</v>
      </c>
      <c r="D224" s="67">
        <v>3</v>
      </c>
      <c r="E224" s="68"/>
      <c r="F224" s="69">
        <v>50</v>
      </c>
      <c r="G224" s="66"/>
      <c r="H224" s="70"/>
      <c r="I224" s="71"/>
      <c r="J224" s="71"/>
      <c r="K224" s="34" t="s">
        <v>66</v>
      </c>
      <c r="L224" s="78">
        <v>224</v>
      </c>
      <c r="M224" s="78"/>
      <c r="N224" s="73"/>
      <c r="O224" s="80" t="s">
        <v>332</v>
      </c>
      <c r="P224" s="80" t="s">
        <v>198</v>
      </c>
      <c r="Q224" s="80" t="s">
        <v>551</v>
      </c>
      <c r="R224" s="80" t="s">
        <v>310</v>
      </c>
      <c r="S224" s="80" t="s">
        <v>651</v>
      </c>
      <c r="T224" s="82" t="str">
        <f>HYPERLINK("http://www.youtube.com/channel/UCw9VbBLCPPDHCU8ocVaYbyQ")</f>
        <v>http://www.youtube.com/channel/UCw9VbBLCPPDHCU8ocVaYbyQ</v>
      </c>
      <c r="U224" s="80"/>
      <c r="V224" s="80" t="s">
        <v>793</v>
      </c>
      <c r="W224" s="82" t="str">
        <f>HYPERLINK("https://www.youtube.com/watch?v=u9spSr5jDtU")</f>
        <v>https://www.youtube.com/watch?v=u9spSr5jDtU</v>
      </c>
      <c r="X224" s="80" t="s">
        <v>794</v>
      </c>
      <c r="Y224" s="80">
        <v>0</v>
      </c>
      <c r="Z224" s="84">
        <v>44006.38199074074</v>
      </c>
      <c r="AA224" s="84">
        <v>44006.38199074074</v>
      </c>
      <c r="AB224" s="80"/>
      <c r="AC224" s="80"/>
      <c r="AD224" s="80"/>
      <c r="AE224">
        <v>1</v>
      </c>
      <c r="AF224" s="79" t="str">
        <f>REPLACE(INDEX(GroupVertices[Group],MATCH(Edges[[#This Row],[Vertex 1]],GroupVertices[Vertex],0)),1,1,"")</f>
        <v>3</v>
      </c>
      <c r="AG224" s="79" t="str">
        <f>REPLACE(INDEX(GroupVertices[Group],MATCH(Edges[[#This Row],[Vertex 2]],GroupVertices[Vertex],0)),1,1,"")</f>
        <v>3</v>
      </c>
      <c r="AH224" s="48">
        <v>1</v>
      </c>
      <c r="AI224" s="49">
        <v>2.272727272727273</v>
      </c>
      <c r="AJ224" s="48">
        <v>0</v>
      </c>
      <c r="AK224" s="49">
        <v>0</v>
      </c>
      <c r="AL224" s="48">
        <v>0</v>
      </c>
      <c r="AM224" s="49">
        <v>0</v>
      </c>
      <c r="AN224" s="48">
        <v>43</v>
      </c>
      <c r="AO224" s="49">
        <v>97.72727272727273</v>
      </c>
      <c r="AP224" s="48">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14699-12E9-4F45-9E45-29F6E5CBA7F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1420</v>
      </c>
      <c r="B2" s="119" t="s">
        <v>1421</v>
      </c>
      <c r="C2" s="52" t="s">
        <v>1422</v>
      </c>
    </row>
    <row r="3" spans="1:3" ht="15">
      <c r="A3" s="118" t="s">
        <v>1031</v>
      </c>
      <c r="B3" s="118" t="s">
        <v>1031</v>
      </c>
      <c r="C3" s="34">
        <v>28</v>
      </c>
    </row>
    <row r="4" spans="1:3" ht="15">
      <c r="A4" s="118" t="s">
        <v>1032</v>
      </c>
      <c r="B4" s="118" t="s">
        <v>1032</v>
      </c>
      <c r="C4" s="34">
        <v>43</v>
      </c>
    </row>
    <row r="5" spans="1:3" ht="15">
      <c r="A5" s="118" t="s">
        <v>1033</v>
      </c>
      <c r="B5" s="118" t="s">
        <v>1033</v>
      </c>
      <c r="C5" s="34">
        <v>20</v>
      </c>
    </row>
    <row r="6" spans="1:3" ht="15">
      <c r="A6" s="118" t="s">
        <v>1034</v>
      </c>
      <c r="B6" s="118" t="s">
        <v>1034</v>
      </c>
      <c r="C6" s="34">
        <v>15</v>
      </c>
    </row>
    <row r="7" spans="1:3" ht="15">
      <c r="A7" s="118" t="s">
        <v>1035</v>
      </c>
      <c r="B7" s="118" t="s">
        <v>1035</v>
      </c>
      <c r="C7" s="34">
        <v>19</v>
      </c>
    </row>
    <row r="8" spans="1:3" ht="15">
      <c r="A8" s="118" t="s">
        <v>1036</v>
      </c>
      <c r="B8" s="118" t="s">
        <v>1036</v>
      </c>
      <c r="C8" s="34">
        <v>8</v>
      </c>
    </row>
    <row r="9" spans="1:3" ht="15">
      <c r="A9" s="118" t="s">
        <v>1037</v>
      </c>
      <c r="B9" s="118" t="s">
        <v>1037</v>
      </c>
      <c r="C9" s="34">
        <v>14</v>
      </c>
    </row>
    <row r="10" spans="1:3" ht="15">
      <c r="A10" s="118" t="s">
        <v>1038</v>
      </c>
      <c r="B10" s="118" t="s">
        <v>1038</v>
      </c>
      <c r="C10" s="34">
        <v>12</v>
      </c>
    </row>
    <row r="11" spans="1:3" ht="15">
      <c r="A11" s="118" t="s">
        <v>1039</v>
      </c>
      <c r="B11" s="118" t="s">
        <v>1039</v>
      </c>
      <c r="C11" s="34">
        <v>9</v>
      </c>
    </row>
    <row r="12" spans="1:3" ht="15">
      <c r="A12" s="118" t="s">
        <v>1040</v>
      </c>
      <c r="B12" s="118" t="s">
        <v>1040</v>
      </c>
      <c r="C12" s="34">
        <v>8</v>
      </c>
    </row>
    <row r="13" spans="1:3" ht="15">
      <c r="A13" s="118" t="s">
        <v>1041</v>
      </c>
      <c r="B13" s="118" t="s">
        <v>1041</v>
      </c>
      <c r="C13" s="34">
        <v>4</v>
      </c>
    </row>
    <row r="14" spans="1:3" ht="15">
      <c r="A14" s="118" t="s">
        <v>1042</v>
      </c>
      <c r="B14" s="118" t="s">
        <v>1042</v>
      </c>
      <c r="C14" s="34">
        <v>7</v>
      </c>
    </row>
    <row r="15" spans="1:3" ht="15">
      <c r="A15" s="118" t="s">
        <v>1043</v>
      </c>
      <c r="B15" s="118" t="s">
        <v>1043</v>
      </c>
      <c r="C15" s="34">
        <v>6</v>
      </c>
    </row>
    <row r="16" spans="1:3" ht="15">
      <c r="A16" s="118" t="s">
        <v>1044</v>
      </c>
      <c r="B16" s="118" t="s">
        <v>1044</v>
      </c>
      <c r="C16" s="34">
        <v>6</v>
      </c>
    </row>
    <row r="17" spans="1:3" ht="15">
      <c r="A17" s="118" t="s">
        <v>1045</v>
      </c>
      <c r="B17" s="118" t="s">
        <v>1045</v>
      </c>
      <c r="C17" s="34">
        <v>6</v>
      </c>
    </row>
    <row r="18" spans="1:3" ht="15">
      <c r="A18" s="118" t="s">
        <v>1046</v>
      </c>
      <c r="B18" s="118" t="s">
        <v>1046</v>
      </c>
      <c r="C18" s="34">
        <v>4</v>
      </c>
    </row>
    <row r="19" spans="1:3" ht="15">
      <c r="A19" s="118" t="s">
        <v>1047</v>
      </c>
      <c r="B19" s="118" t="s">
        <v>1047</v>
      </c>
      <c r="C19" s="34">
        <v>2</v>
      </c>
    </row>
    <row r="20" spans="1:3" ht="15">
      <c r="A20" s="118" t="s">
        <v>1048</v>
      </c>
      <c r="B20" s="118" t="s">
        <v>1048</v>
      </c>
      <c r="C20" s="34">
        <v>4</v>
      </c>
    </row>
    <row r="21" spans="1:3" ht="15">
      <c r="A21" s="118" t="s">
        <v>1049</v>
      </c>
      <c r="B21" s="118" t="s">
        <v>1049</v>
      </c>
      <c r="C21" s="34">
        <v>2</v>
      </c>
    </row>
    <row r="22" spans="1:3" ht="15">
      <c r="A22" s="118" t="s">
        <v>1050</v>
      </c>
      <c r="B22" s="118" t="s">
        <v>1050</v>
      </c>
      <c r="C22" s="34">
        <v>3</v>
      </c>
    </row>
    <row r="23" spans="1:3" ht="15">
      <c r="A23" s="118" t="s">
        <v>1051</v>
      </c>
      <c r="B23" s="118" t="s">
        <v>1051</v>
      </c>
      <c r="C23"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BA34-AEFE-434C-805C-16AE1B2A309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1441</v>
      </c>
      <c r="B1" s="13" t="s">
        <v>17</v>
      </c>
    </row>
    <row r="2" spans="1:2" ht="15">
      <c r="A2" s="79" t="s">
        <v>1442</v>
      </c>
      <c r="B2" s="79" t="s">
        <v>1448</v>
      </c>
    </row>
    <row r="3" spans="1:2" ht="15">
      <c r="A3" s="79" t="s">
        <v>1443</v>
      </c>
      <c r="B3" s="79" t="s">
        <v>1449</v>
      </c>
    </row>
    <row r="4" spans="1:2" ht="15">
      <c r="A4" s="79" t="s">
        <v>1444</v>
      </c>
      <c r="B4" s="79" t="s">
        <v>1450</v>
      </c>
    </row>
    <row r="5" spans="1:2" ht="15">
      <c r="A5" s="79" t="s">
        <v>1445</v>
      </c>
      <c r="B5" s="79" t="s">
        <v>1451</v>
      </c>
    </row>
    <row r="6" spans="1:2" ht="15">
      <c r="A6" s="79" t="s">
        <v>1446</v>
      </c>
      <c r="B6" s="79" t="s">
        <v>1452</v>
      </c>
    </row>
    <row r="7" spans="1:2" ht="15">
      <c r="A7" s="79" t="s">
        <v>1447</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88B2-D18E-40E3-BAFD-BAE86C02861E}">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1453</v>
      </c>
      <c r="B1" s="13" t="s">
        <v>1464</v>
      </c>
      <c r="C1" s="79" t="s">
        <v>1465</v>
      </c>
      <c r="D1" s="79" t="s">
        <v>1467</v>
      </c>
      <c r="E1" s="13" t="s">
        <v>1466</v>
      </c>
      <c r="F1" s="13" t="s">
        <v>1472</v>
      </c>
      <c r="G1" s="13" t="s">
        <v>1471</v>
      </c>
      <c r="H1" s="13" t="s">
        <v>1474</v>
      </c>
      <c r="I1" s="13" t="s">
        <v>1473</v>
      </c>
      <c r="J1" s="13" t="s">
        <v>1477</v>
      </c>
      <c r="K1" s="13" t="s">
        <v>1476</v>
      </c>
      <c r="L1" s="13" t="s">
        <v>1480</v>
      </c>
      <c r="M1" s="13" t="s">
        <v>1479</v>
      </c>
      <c r="N1" s="13" t="s">
        <v>1484</v>
      </c>
      <c r="O1" s="79" t="s">
        <v>1483</v>
      </c>
      <c r="P1" s="79" t="s">
        <v>1486</v>
      </c>
      <c r="Q1" s="79" t="s">
        <v>1485</v>
      </c>
      <c r="R1" s="79" t="s">
        <v>1488</v>
      </c>
      <c r="S1" s="13" t="s">
        <v>1487</v>
      </c>
      <c r="T1" s="13" t="s">
        <v>1490</v>
      </c>
      <c r="U1" s="79" t="s">
        <v>1489</v>
      </c>
      <c r="V1" s="79" t="s">
        <v>1491</v>
      </c>
    </row>
    <row r="2" spans="1:22" ht="15">
      <c r="A2" s="81" t="s">
        <v>1454</v>
      </c>
      <c r="B2" s="79">
        <v>4</v>
      </c>
      <c r="C2" s="79"/>
      <c r="D2" s="79"/>
      <c r="E2" s="81" t="s">
        <v>1462</v>
      </c>
      <c r="F2" s="79">
        <v>2</v>
      </c>
      <c r="G2" s="81" t="s">
        <v>1454</v>
      </c>
      <c r="H2" s="79">
        <v>4</v>
      </c>
      <c r="I2" s="81" t="s">
        <v>1475</v>
      </c>
      <c r="J2" s="79">
        <v>1</v>
      </c>
      <c r="K2" s="81" t="s">
        <v>1463</v>
      </c>
      <c r="L2" s="79">
        <v>1</v>
      </c>
      <c r="M2" s="81" t="s">
        <v>1455</v>
      </c>
      <c r="N2" s="79">
        <v>2</v>
      </c>
      <c r="O2" s="79"/>
      <c r="P2" s="79"/>
      <c r="Q2" s="79"/>
      <c r="R2" s="79"/>
      <c r="S2" s="81" t="s">
        <v>1458</v>
      </c>
      <c r="T2" s="79">
        <v>2</v>
      </c>
      <c r="U2" s="79"/>
      <c r="V2" s="79"/>
    </row>
    <row r="3" spans="1:22" ht="15">
      <c r="A3" s="81" t="s">
        <v>1455</v>
      </c>
      <c r="B3" s="79">
        <v>2</v>
      </c>
      <c r="C3" s="79"/>
      <c r="D3" s="79"/>
      <c r="E3" s="81" t="s">
        <v>1461</v>
      </c>
      <c r="F3" s="79">
        <v>2</v>
      </c>
      <c r="G3" s="79"/>
      <c r="H3" s="79"/>
      <c r="I3" s="79"/>
      <c r="J3" s="79"/>
      <c r="K3" s="81" t="s">
        <v>1478</v>
      </c>
      <c r="L3" s="79">
        <v>1</v>
      </c>
      <c r="M3" s="81" t="s">
        <v>1456</v>
      </c>
      <c r="N3" s="79">
        <v>2</v>
      </c>
      <c r="O3" s="79"/>
      <c r="P3" s="79"/>
      <c r="Q3" s="79"/>
      <c r="R3" s="79"/>
      <c r="S3" s="81" t="s">
        <v>1457</v>
      </c>
      <c r="T3" s="79">
        <v>2</v>
      </c>
      <c r="U3" s="79"/>
      <c r="V3" s="79"/>
    </row>
    <row r="4" spans="1:22" ht="15">
      <c r="A4" s="81" t="s">
        <v>1456</v>
      </c>
      <c r="B4" s="79">
        <v>2</v>
      </c>
      <c r="C4" s="79"/>
      <c r="D4" s="79"/>
      <c r="E4" s="81" t="s">
        <v>1460</v>
      </c>
      <c r="F4" s="79">
        <v>2</v>
      </c>
      <c r="G4" s="79"/>
      <c r="H4" s="79"/>
      <c r="I4" s="79"/>
      <c r="J4" s="79"/>
      <c r="K4" s="79"/>
      <c r="L4" s="79"/>
      <c r="M4" s="81" t="s">
        <v>1481</v>
      </c>
      <c r="N4" s="79">
        <v>1</v>
      </c>
      <c r="O4" s="79"/>
      <c r="P4" s="79"/>
      <c r="Q4" s="79"/>
      <c r="R4" s="79"/>
      <c r="S4" s="79"/>
      <c r="T4" s="79"/>
      <c r="U4" s="79"/>
      <c r="V4" s="79"/>
    </row>
    <row r="5" spans="1:22" ht="15">
      <c r="A5" s="81" t="s">
        <v>1457</v>
      </c>
      <c r="B5" s="79">
        <v>2</v>
      </c>
      <c r="C5" s="79"/>
      <c r="D5" s="79"/>
      <c r="E5" s="81" t="s">
        <v>1459</v>
      </c>
      <c r="F5" s="79">
        <v>2</v>
      </c>
      <c r="G5" s="79"/>
      <c r="H5" s="79"/>
      <c r="I5" s="79"/>
      <c r="J5" s="79"/>
      <c r="K5" s="79"/>
      <c r="L5" s="79"/>
      <c r="M5" s="81" t="s">
        <v>1482</v>
      </c>
      <c r="N5" s="79">
        <v>1</v>
      </c>
      <c r="O5" s="79"/>
      <c r="P5" s="79"/>
      <c r="Q5" s="79"/>
      <c r="R5" s="79"/>
      <c r="S5" s="79"/>
      <c r="T5" s="79"/>
      <c r="U5" s="79"/>
      <c r="V5" s="79"/>
    </row>
    <row r="6" spans="1:22" ht="15">
      <c r="A6" s="81" t="s">
        <v>1458</v>
      </c>
      <c r="B6" s="79">
        <v>2</v>
      </c>
      <c r="C6" s="79"/>
      <c r="D6" s="79"/>
      <c r="E6" s="81" t="s">
        <v>1468</v>
      </c>
      <c r="F6" s="79">
        <v>1</v>
      </c>
      <c r="G6" s="79"/>
      <c r="H6" s="79"/>
      <c r="I6" s="79"/>
      <c r="J6" s="79"/>
      <c r="K6" s="79"/>
      <c r="L6" s="79"/>
      <c r="M6" s="79"/>
      <c r="N6" s="79"/>
      <c r="O6" s="79"/>
      <c r="P6" s="79"/>
      <c r="Q6" s="79"/>
      <c r="R6" s="79"/>
      <c r="S6" s="79"/>
      <c r="T6" s="79"/>
      <c r="U6" s="79"/>
      <c r="V6" s="79"/>
    </row>
    <row r="7" spans="1:22" ht="15">
      <c r="A7" s="81" t="s">
        <v>1459</v>
      </c>
      <c r="B7" s="79">
        <v>2</v>
      </c>
      <c r="C7" s="79"/>
      <c r="D7" s="79"/>
      <c r="E7" s="81" t="s">
        <v>1469</v>
      </c>
      <c r="F7" s="79">
        <v>1</v>
      </c>
      <c r="G7" s="79"/>
      <c r="H7" s="79"/>
      <c r="I7" s="79"/>
      <c r="J7" s="79"/>
      <c r="K7" s="79"/>
      <c r="L7" s="79"/>
      <c r="M7" s="79"/>
      <c r="N7" s="79"/>
      <c r="O7" s="79"/>
      <c r="P7" s="79"/>
      <c r="Q7" s="79"/>
      <c r="R7" s="79"/>
      <c r="S7" s="79"/>
      <c r="T7" s="79"/>
      <c r="U7" s="79"/>
      <c r="V7" s="79"/>
    </row>
    <row r="8" spans="1:22" ht="15">
      <c r="A8" s="81" t="s">
        <v>1460</v>
      </c>
      <c r="B8" s="79">
        <v>2</v>
      </c>
      <c r="C8" s="79"/>
      <c r="D8" s="79"/>
      <c r="E8" s="81" t="s">
        <v>1470</v>
      </c>
      <c r="F8" s="79">
        <v>1</v>
      </c>
      <c r="G8" s="79"/>
      <c r="H8" s="79"/>
      <c r="I8" s="79"/>
      <c r="J8" s="79"/>
      <c r="K8" s="79"/>
      <c r="L8" s="79"/>
      <c r="M8" s="79"/>
      <c r="N8" s="79"/>
      <c r="O8" s="79"/>
      <c r="P8" s="79"/>
      <c r="Q8" s="79"/>
      <c r="R8" s="79"/>
      <c r="S8" s="79"/>
      <c r="T8" s="79"/>
      <c r="U8" s="79"/>
      <c r="V8" s="79"/>
    </row>
    <row r="9" spans="1:22" ht="15">
      <c r="A9" s="81" t="s">
        <v>1461</v>
      </c>
      <c r="B9" s="79">
        <v>2</v>
      </c>
      <c r="C9" s="79"/>
      <c r="D9" s="79"/>
      <c r="E9" s="79"/>
      <c r="F9" s="79"/>
      <c r="G9" s="79"/>
      <c r="H9" s="79"/>
      <c r="I9" s="79"/>
      <c r="J9" s="79"/>
      <c r="K9" s="79"/>
      <c r="L9" s="79"/>
      <c r="M9" s="79"/>
      <c r="N9" s="79"/>
      <c r="O9" s="79"/>
      <c r="P9" s="79"/>
      <c r="Q9" s="79"/>
      <c r="R9" s="79"/>
      <c r="S9" s="79"/>
      <c r="T9" s="79"/>
      <c r="U9" s="79"/>
      <c r="V9" s="79"/>
    </row>
    <row r="10" spans="1:22" ht="15">
      <c r="A10" s="81" t="s">
        <v>1462</v>
      </c>
      <c r="B10" s="79">
        <v>2</v>
      </c>
      <c r="C10" s="79"/>
      <c r="D10" s="79"/>
      <c r="E10" s="79"/>
      <c r="F10" s="79"/>
      <c r="G10" s="79"/>
      <c r="H10" s="79"/>
      <c r="I10" s="79"/>
      <c r="J10" s="79"/>
      <c r="K10" s="79"/>
      <c r="L10" s="79"/>
      <c r="M10" s="79"/>
      <c r="N10" s="79"/>
      <c r="O10" s="79"/>
      <c r="P10" s="79"/>
      <c r="Q10" s="79"/>
      <c r="R10" s="79"/>
      <c r="S10" s="79"/>
      <c r="T10" s="79"/>
      <c r="U10" s="79"/>
      <c r="V10" s="79"/>
    </row>
    <row r="11" spans="1:22" ht="15">
      <c r="A11" s="81" t="s">
        <v>1463</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1497</v>
      </c>
      <c r="B14" s="13" t="s">
        <v>1464</v>
      </c>
      <c r="C14" s="79" t="s">
        <v>1506</v>
      </c>
      <c r="D14" s="79" t="s">
        <v>1467</v>
      </c>
      <c r="E14" s="13" t="s">
        <v>1507</v>
      </c>
      <c r="F14" s="13" t="s">
        <v>1472</v>
      </c>
      <c r="G14" s="13" t="s">
        <v>1508</v>
      </c>
      <c r="H14" s="13" t="s">
        <v>1474</v>
      </c>
      <c r="I14" s="13" t="s">
        <v>1509</v>
      </c>
      <c r="J14" s="13" t="s">
        <v>1477</v>
      </c>
      <c r="K14" s="13" t="s">
        <v>1510</v>
      </c>
      <c r="L14" s="13" t="s">
        <v>1480</v>
      </c>
      <c r="M14" s="13" t="s">
        <v>1511</v>
      </c>
      <c r="N14" s="13" t="s">
        <v>1484</v>
      </c>
      <c r="O14" s="79" t="s">
        <v>1512</v>
      </c>
      <c r="P14" s="79" t="s">
        <v>1486</v>
      </c>
      <c r="Q14" s="79" t="s">
        <v>1513</v>
      </c>
      <c r="R14" s="79" t="s">
        <v>1488</v>
      </c>
      <c r="S14" s="13" t="s">
        <v>1514</v>
      </c>
      <c r="T14" s="13" t="s">
        <v>1490</v>
      </c>
      <c r="U14" s="79" t="s">
        <v>1515</v>
      </c>
      <c r="V14" s="79" t="s">
        <v>1491</v>
      </c>
    </row>
    <row r="15" spans="1:22" ht="15">
      <c r="A15" s="79" t="s">
        <v>812</v>
      </c>
      <c r="B15" s="79">
        <v>8</v>
      </c>
      <c r="C15" s="79"/>
      <c r="D15" s="79"/>
      <c r="E15" s="79" t="s">
        <v>812</v>
      </c>
      <c r="F15" s="79">
        <v>5</v>
      </c>
      <c r="G15" s="79" t="s">
        <v>1498</v>
      </c>
      <c r="H15" s="79">
        <v>4</v>
      </c>
      <c r="I15" s="79" t="s">
        <v>812</v>
      </c>
      <c r="J15" s="79">
        <v>1</v>
      </c>
      <c r="K15" s="79" t="s">
        <v>812</v>
      </c>
      <c r="L15" s="79">
        <v>2</v>
      </c>
      <c r="M15" s="79" t="s">
        <v>1499</v>
      </c>
      <c r="N15" s="79">
        <v>2</v>
      </c>
      <c r="O15" s="79"/>
      <c r="P15" s="79"/>
      <c r="Q15" s="79"/>
      <c r="R15" s="79"/>
      <c r="S15" s="79" t="s">
        <v>1501</v>
      </c>
      <c r="T15" s="79">
        <v>2</v>
      </c>
      <c r="U15" s="79"/>
      <c r="V15" s="79"/>
    </row>
    <row r="16" spans="1:22" ht="15">
      <c r="A16" s="79" t="s">
        <v>1498</v>
      </c>
      <c r="B16" s="79">
        <v>4</v>
      </c>
      <c r="C16" s="79"/>
      <c r="D16" s="79"/>
      <c r="E16" s="79" t="s">
        <v>1502</v>
      </c>
      <c r="F16" s="79">
        <v>2</v>
      </c>
      <c r="G16" s="79"/>
      <c r="H16" s="79"/>
      <c r="I16" s="79"/>
      <c r="J16" s="79"/>
      <c r="K16" s="79"/>
      <c r="L16" s="79"/>
      <c r="M16" s="79" t="s">
        <v>816</v>
      </c>
      <c r="N16" s="79">
        <v>2</v>
      </c>
      <c r="O16" s="79"/>
      <c r="P16" s="79"/>
      <c r="Q16" s="79"/>
      <c r="R16" s="79"/>
      <c r="S16" s="79" t="s">
        <v>1500</v>
      </c>
      <c r="T16" s="79">
        <v>2</v>
      </c>
      <c r="U16" s="79"/>
      <c r="V16" s="79"/>
    </row>
    <row r="17" spans="1:22" ht="15">
      <c r="A17" s="79" t="s">
        <v>1499</v>
      </c>
      <c r="B17" s="79">
        <v>2</v>
      </c>
      <c r="C17" s="79"/>
      <c r="D17" s="79"/>
      <c r="E17" s="79" t="s">
        <v>1504</v>
      </c>
      <c r="F17" s="79">
        <v>2</v>
      </c>
      <c r="G17" s="79"/>
      <c r="H17" s="79"/>
      <c r="I17" s="79"/>
      <c r="J17" s="79"/>
      <c r="K17" s="79"/>
      <c r="L17" s="79"/>
      <c r="M17" s="79" t="s">
        <v>1505</v>
      </c>
      <c r="N17" s="79">
        <v>1</v>
      </c>
      <c r="O17" s="79"/>
      <c r="P17" s="79"/>
      <c r="Q17" s="79"/>
      <c r="R17" s="79"/>
      <c r="S17" s="79"/>
      <c r="T17" s="79"/>
      <c r="U17" s="79"/>
      <c r="V17" s="79"/>
    </row>
    <row r="18" spans="1:22" ht="15">
      <c r="A18" s="79" t="s">
        <v>816</v>
      </c>
      <c r="B18" s="79">
        <v>2</v>
      </c>
      <c r="C18" s="79"/>
      <c r="D18" s="79"/>
      <c r="E18" s="79" t="s">
        <v>1503</v>
      </c>
      <c r="F18" s="79">
        <v>2</v>
      </c>
      <c r="G18" s="79"/>
      <c r="H18" s="79"/>
      <c r="I18" s="79"/>
      <c r="J18" s="79"/>
      <c r="K18" s="79"/>
      <c r="L18" s="79"/>
      <c r="M18" s="79" t="s">
        <v>817</v>
      </c>
      <c r="N18" s="79">
        <v>1</v>
      </c>
      <c r="O18" s="79"/>
      <c r="P18" s="79"/>
      <c r="Q18" s="79"/>
      <c r="R18" s="79"/>
      <c r="S18" s="79"/>
      <c r="T18" s="79"/>
      <c r="U18" s="79"/>
      <c r="V18" s="79"/>
    </row>
    <row r="19" spans="1:22" ht="15">
      <c r="A19" s="79" t="s">
        <v>1500</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1501</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1502</v>
      </c>
      <c r="B21" s="79">
        <v>2</v>
      </c>
      <c r="C21" s="79"/>
      <c r="D21" s="79"/>
      <c r="E21" s="79"/>
      <c r="F21" s="79"/>
      <c r="G21" s="79"/>
      <c r="H21" s="79"/>
      <c r="I21" s="79"/>
      <c r="J21" s="79"/>
      <c r="K21" s="79"/>
      <c r="L21" s="79"/>
      <c r="M21" s="79"/>
      <c r="N21" s="79"/>
      <c r="O21" s="79"/>
      <c r="P21" s="79"/>
      <c r="Q21" s="79"/>
      <c r="R21" s="79"/>
      <c r="S21" s="79"/>
      <c r="T21" s="79"/>
      <c r="U21" s="79"/>
      <c r="V21" s="79"/>
    </row>
    <row r="22" spans="1:22" ht="15">
      <c r="A22" s="79" t="s">
        <v>1503</v>
      </c>
      <c r="B22" s="79">
        <v>2</v>
      </c>
      <c r="C22" s="79"/>
      <c r="D22" s="79"/>
      <c r="E22" s="79"/>
      <c r="F22" s="79"/>
      <c r="G22" s="79"/>
      <c r="H22" s="79"/>
      <c r="I22" s="79"/>
      <c r="J22" s="79"/>
      <c r="K22" s="79"/>
      <c r="L22" s="79"/>
      <c r="M22" s="79"/>
      <c r="N22" s="79"/>
      <c r="O22" s="79"/>
      <c r="P22" s="79"/>
      <c r="Q22" s="79"/>
      <c r="R22" s="79"/>
      <c r="S22" s="79"/>
      <c r="T22" s="79"/>
      <c r="U22" s="79"/>
      <c r="V22" s="79"/>
    </row>
    <row r="23" spans="1:22" ht="15">
      <c r="A23" s="79" t="s">
        <v>1504</v>
      </c>
      <c r="B23" s="79">
        <v>2</v>
      </c>
      <c r="C23" s="79"/>
      <c r="D23" s="79"/>
      <c r="E23" s="79"/>
      <c r="F23" s="79"/>
      <c r="G23" s="79"/>
      <c r="H23" s="79"/>
      <c r="I23" s="79"/>
      <c r="J23" s="79"/>
      <c r="K23" s="79"/>
      <c r="L23" s="79"/>
      <c r="M23" s="79"/>
      <c r="N23" s="79"/>
      <c r="O23" s="79"/>
      <c r="P23" s="79"/>
      <c r="Q23" s="79"/>
      <c r="R23" s="79"/>
      <c r="S23" s="79"/>
      <c r="T23" s="79"/>
      <c r="U23" s="79"/>
      <c r="V23" s="79"/>
    </row>
    <row r="24" spans="1:22" ht="15">
      <c r="A24" s="79" t="s">
        <v>1505</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79" t="s">
        <v>1520</v>
      </c>
      <c r="B27" s="79" t="s">
        <v>1464</v>
      </c>
      <c r="C27" s="79" t="s">
        <v>1521</v>
      </c>
      <c r="D27" s="79" t="s">
        <v>1467</v>
      </c>
      <c r="E27" s="79" t="s">
        <v>1522</v>
      </c>
      <c r="F27" s="79" t="s">
        <v>1472</v>
      </c>
      <c r="G27" s="79" t="s">
        <v>1523</v>
      </c>
      <c r="H27" s="79" t="s">
        <v>1474</v>
      </c>
      <c r="I27" s="79" t="s">
        <v>1524</v>
      </c>
      <c r="J27" s="79" t="s">
        <v>1477</v>
      </c>
      <c r="K27" s="79" t="s">
        <v>1525</v>
      </c>
      <c r="L27" s="79" t="s">
        <v>1480</v>
      </c>
      <c r="M27" s="79" t="s">
        <v>1526</v>
      </c>
      <c r="N27" s="79" t="s">
        <v>1484</v>
      </c>
      <c r="O27" s="79" t="s">
        <v>1527</v>
      </c>
      <c r="P27" s="79" t="s">
        <v>1486</v>
      </c>
      <c r="Q27" s="79" t="s">
        <v>1528</v>
      </c>
      <c r="R27" s="79" t="s">
        <v>1488</v>
      </c>
      <c r="S27" s="79" t="s">
        <v>1529</v>
      </c>
      <c r="T27" s="79" t="s">
        <v>1490</v>
      </c>
      <c r="U27" s="79" t="s">
        <v>1530</v>
      </c>
      <c r="V27" s="79" t="s">
        <v>1491</v>
      </c>
    </row>
    <row r="28" spans="1:22" ht="15">
      <c r="A28" s="79"/>
      <c r="B28" s="79"/>
      <c r="C28" s="79"/>
      <c r="D28" s="79"/>
      <c r="E28" s="79"/>
      <c r="F28" s="79"/>
      <c r="G28" s="79"/>
      <c r="H28" s="79"/>
      <c r="I28" s="79"/>
      <c r="J28" s="79"/>
      <c r="K28" s="79"/>
      <c r="L28" s="79"/>
      <c r="M28" s="79"/>
      <c r="N28" s="79"/>
      <c r="O28" s="79"/>
      <c r="P28" s="79"/>
      <c r="Q28" s="79"/>
      <c r="R28" s="79"/>
      <c r="S28" s="79"/>
      <c r="T28" s="79"/>
      <c r="U28" s="79"/>
      <c r="V28" s="79"/>
    </row>
    <row r="30" spans="1:22" ht="15" customHeight="1">
      <c r="A30" s="13" t="s">
        <v>1532</v>
      </c>
      <c r="B30" s="13" t="s">
        <v>1464</v>
      </c>
      <c r="C30" s="79" t="s">
        <v>1533</v>
      </c>
      <c r="D30" s="79" t="s">
        <v>1467</v>
      </c>
      <c r="E30" s="13" t="s">
        <v>1534</v>
      </c>
      <c r="F30" s="13" t="s">
        <v>1472</v>
      </c>
      <c r="G30" s="13" t="s">
        <v>1535</v>
      </c>
      <c r="H30" s="13" t="s">
        <v>1474</v>
      </c>
      <c r="I30" s="13" t="s">
        <v>1536</v>
      </c>
      <c r="J30" s="13" t="s">
        <v>1477</v>
      </c>
      <c r="K30" s="13" t="s">
        <v>1537</v>
      </c>
      <c r="L30" s="13" t="s">
        <v>1480</v>
      </c>
      <c r="M30" s="13" t="s">
        <v>1538</v>
      </c>
      <c r="N30" s="13" t="s">
        <v>1484</v>
      </c>
      <c r="O30" s="13" t="s">
        <v>1539</v>
      </c>
      <c r="P30" s="13" t="s">
        <v>1486</v>
      </c>
      <c r="Q30" s="13" t="s">
        <v>1540</v>
      </c>
      <c r="R30" s="13" t="s">
        <v>1488</v>
      </c>
      <c r="S30" s="13" t="s">
        <v>1541</v>
      </c>
      <c r="T30" s="13" t="s">
        <v>1490</v>
      </c>
      <c r="U30" s="13" t="s">
        <v>1542</v>
      </c>
      <c r="V30" s="13" t="s">
        <v>1491</v>
      </c>
    </row>
    <row r="31" spans="1:22" ht="15">
      <c r="A31" s="114" t="s">
        <v>1077</v>
      </c>
      <c r="B31" s="114">
        <v>52</v>
      </c>
      <c r="C31" s="114"/>
      <c r="D31" s="114"/>
      <c r="E31" s="114" t="s">
        <v>1078</v>
      </c>
      <c r="F31" s="114">
        <v>12</v>
      </c>
      <c r="G31" s="114" t="s">
        <v>1077</v>
      </c>
      <c r="H31" s="114">
        <v>33</v>
      </c>
      <c r="I31" s="114" t="s">
        <v>1077</v>
      </c>
      <c r="J31" s="114">
        <v>9</v>
      </c>
      <c r="K31" s="114" t="s">
        <v>1105</v>
      </c>
      <c r="L31" s="114">
        <v>6</v>
      </c>
      <c r="M31" s="114" t="s">
        <v>1091</v>
      </c>
      <c r="N31" s="114">
        <v>5</v>
      </c>
      <c r="O31" s="114" t="s">
        <v>1125</v>
      </c>
      <c r="P31" s="114">
        <v>5</v>
      </c>
      <c r="Q31" s="114" t="s">
        <v>1157</v>
      </c>
      <c r="R31" s="114">
        <v>4</v>
      </c>
      <c r="S31" s="114" t="s">
        <v>1083</v>
      </c>
      <c r="T31" s="114">
        <v>5</v>
      </c>
      <c r="U31" s="114" t="s">
        <v>1094</v>
      </c>
      <c r="V31" s="114">
        <v>3</v>
      </c>
    </row>
    <row r="32" spans="1:22" ht="15">
      <c r="A32" s="114" t="s">
        <v>1078</v>
      </c>
      <c r="B32" s="114">
        <v>23</v>
      </c>
      <c r="C32" s="114"/>
      <c r="D32" s="114"/>
      <c r="E32" s="114" t="s">
        <v>1103</v>
      </c>
      <c r="F32" s="114">
        <v>7</v>
      </c>
      <c r="G32" s="114" t="s">
        <v>1090</v>
      </c>
      <c r="H32" s="114">
        <v>10</v>
      </c>
      <c r="I32" s="114" t="s">
        <v>1089</v>
      </c>
      <c r="J32" s="114">
        <v>9</v>
      </c>
      <c r="K32" s="114" t="s">
        <v>1083</v>
      </c>
      <c r="L32" s="114">
        <v>5</v>
      </c>
      <c r="M32" s="114" t="s">
        <v>1111</v>
      </c>
      <c r="N32" s="114">
        <v>4</v>
      </c>
      <c r="O32" s="114" t="s">
        <v>1152</v>
      </c>
      <c r="P32" s="114">
        <v>4</v>
      </c>
      <c r="Q32" s="114" t="s">
        <v>1208</v>
      </c>
      <c r="R32" s="114">
        <v>3</v>
      </c>
      <c r="S32" s="114" t="s">
        <v>1087</v>
      </c>
      <c r="T32" s="114">
        <v>5</v>
      </c>
      <c r="U32" s="114" t="s">
        <v>1317</v>
      </c>
      <c r="V32" s="114">
        <v>2</v>
      </c>
    </row>
    <row r="33" spans="1:22" ht="15">
      <c r="A33" s="114" t="s">
        <v>1079</v>
      </c>
      <c r="B33" s="114">
        <v>17</v>
      </c>
      <c r="C33" s="114"/>
      <c r="D33" s="114"/>
      <c r="E33" s="114" t="s">
        <v>1079</v>
      </c>
      <c r="F33" s="114">
        <v>5</v>
      </c>
      <c r="G33" s="114" t="s">
        <v>1078</v>
      </c>
      <c r="H33" s="114">
        <v>8</v>
      </c>
      <c r="I33" s="114" t="s">
        <v>1139</v>
      </c>
      <c r="J33" s="114">
        <v>3</v>
      </c>
      <c r="K33" s="114" t="s">
        <v>1087</v>
      </c>
      <c r="L33" s="114">
        <v>4</v>
      </c>
      <c r="M33" s="114" t="s">
        <v>1155</v>
      </c>
      <c r="N33" s="114">
        <v>4</v>
      </c>
      <c r="O33" s="114" t="s">
        <v>1119</v>
      </c>
      <c r="P33" s="114">
        <v>4</v>
      </c>
      <c r="Q33" s="114" t="s">
        <v>1136</v>
      </c>
      <c r="R33" s="114">
        <v>3</v>
      </c>
      <c r="S33" s="114" t="s">
        <v>1093</v>
      </c>
      <c r="T33" s="114">
        <v>4</v>
      </c>
      <c r="U33" s="114" t="s">
        <v>1085</v>
      </c>
      <c r="V33" s="114">
        <v>2</v>
      </c>
    </row>
    <row r="34" spans="1:22" ht="15">
      <c r="A34" s="114" t="s">
        <v>1080</v>
      </c>
      <c r="B34" s="114">
        <v>14</v>
      </c>
      <c r="C34" s="114"/>
      <c r="D34" s="114"/>
      <c r="E34" s="114" t="s">
        <v>1097</v>
      </c>
      <c r="F34" s="114">
        <v>4</v>
      </c>
      <c r="G34" s="114" t="s">
        <v>1080</v>
      </c>
      <c r="H34" s="114">
        <v>7</v>
      </c>
      <c r="I34" s="114" t="s">
        <v>1187</v>
      </c>
      <c r="J34" s="114">
        <v>3</v>
      </c>
      <c r="K34" s="114" t="s">
        <v>1084</v>
      </c>
      <c r="L34" s="114">
        <v>4</v>
      </c>
      <c r="M34" s="114" t="s">
        <v>1156</v>
      </c>
      <c r="N34" s="114">
        <v>4</v>
      </c>
      <c r="O34" s="114" t="s">
        <v>1095</v>
      </c>
      <c r="P34" s="114">
        <v>4</v>
      </c>
      <c r="Q34" s="114" t="s">
        <v>1209</v>
      </c>
      <c r="R34" s="114">
        <v>3</v>
      </c>
      <c r="S34" s="114" t="s">
        <v>1101</v>
      </c>
      <c r="T34" s="114">
        <v>4</v>
      </c>
      <c r="U34" s="114" t="s">
        <v>1106</v>
      </c>
      <c r="V34" s="114">
        <v>2</v>
      </c>
    </row>
    <row r="35" spans="1:22" ht="15">
      <c r="A35" s="114" t="s">
        <v>1081</v>
      </c>
      <c r="B35" s="114">
        <v>14</v>
      </c>
      <c r="C35" s="114"/>
      <c r="D35" s="114"/>
      <c r="E35" s="114" t="s">
        <v>1159</v>
      </c>
      <c r="F35" s="114">
        <v>4</v>
      </c>
      <c r="G35" s="114" t="s">
        <v>1086</v>
      </c>
      <c r="H35" s="114">
        <v>7</v>
      </c>
      <c r="I35" s="114" t="s">
        <v>1079</v>
      </c>
      <c r="J35" s="114">
        <v>3</v>
      </c>
      <c r="K35" s="114" t="s">
        <v>1130</v>
      </c>
      <c r="L35" s="114">
        <v>4</v>
      </c>
      <c r="M35" s="114" t="s">
        <v>1144</v>
      </c>
      <c r="N35" s="114">
        <v>3</v>
      </c>
      <c r="O35" s="114" t="s">
        <v>1108</v>
      </c>
      <c r="P35" s="114">
        <v>4</v>
      </c>
      <c r="Q35" s="114" t="s">
        <v>1099</v>
      </c>
      <c r="R35" s="114">
        <v>3</v>
      </c>
      <c r="S35" s="114" t="s">
        <v>1118</v>
      </c>
      <c r="T35" s="114">
        <v>3</v>
      </c>
      <c r="U35" s="114" t="s">
        <v>1318</v>
      </c>
      <c r="V35" s="114">
        <v>2</v>
      </c>
    </row>
    <row r="36" spans="1:22" ht="15">
      <c r="A36" s="114" t="s">
        <v>1082</v>
      </c>
      <c r="B36" s="114">
        <v>14</v>
      </c>
      <c r="C36" s="114"/>
      <c r="D36" s="114"/>
      <c r="E36" s="114" t="s">
        <v>1158</v>
      </c>
      <c r="F36" s="114">
        <v>4</v>
      </c>
      <c r="G36" s="114" t="s">
        <v>1082</v>
      </c>
      <c r="H36" s="114">
        <v>7</v>
      </c>
      <c r="I36" s="114" t="s">
        <v>1082</v>
      </c>
      <c r="J36" s="114">
        <v>3</v>
      </c>
      <c r="K36" s="114" t="s">
        <v>1128</v>
      </c>
      <c r="L36" s="114">
        <v>3</v>
      </c>
      <c r="M36" s="114" t="s">
        <v>1082</v>
      </c>
      <c r="N36" s="114">
        <v>3</v>
      </c>
      <c r="O36" s="114" t="s">
        <v>1133</v>
      </c>
      <c r="P36" s="114">
        <v>3</v>
      </c>
      <c r="Q36" s="114" t="s">
        <v>1154</v>
      </c>
      <c r="R36" s="114">
        <v>3</v>
      </c>
      <c r="S36" s="114" t="s">
        <v>1206</v>
      </c>
      <c r="T36" s="114">
        <v>3</v>
      </c>
      <c r="U36" s="114" t="s">
        <v>1077</v>
      </c>
      <c r="V36" s="114">
        <v>2</v>
      </c>
    </row>
    <row r="37" spans="1:22" ht="15">
      <c r="A37" s="114" t="s">
        <v>1083</v>
      </c>
      <c r="B37" s="114">
        <v>12</v>
      </c>
      <c r="C37" s="114"/>
      <c r="D37" s="114"/>
      <c r="E37" s="114" t="s">
        <v>1088</v>
      </c>
      <c r="F37" s="114">
        <v>3</v>
      </c>
      <c r="G37" s="114" t="s">
        <v>1096</v>
      </c>
      <c r="H37" s="114">
        <v>6</v>
      </c>
      <c r="I37" s="114" t="s">
        <v>1080</v>
      </c>
      <c r="J37" s="114">
        <v>3</v>
      </c>
      <c r="K37" s="114" t="s">
        <v>1172</v>
      </c>
      <c r="L37" s="114">
        <v>3</v>
      </c>
      <c r="M37" s="114" t="s">
        <v>1202</v>
      </c>
      <c r="N37" s="114">
        <v>3</v>
      </c>
      <c r="O37" s="114" t="s">
        <v>1200</v>
      </c>
      <c r="P37" s="114">
        <v>3</v>
      </c>
      <c r="Q37" s="114" t="s">
        <v>1365</v>
      </c>
      <c r="R37" s="114">
        <v>2</v>
      </c>
      <c r="S37" s="114" t="s">
        <v>1115</v>
      </c>
      <c r="T37" s="114">
        <v>3</v>
      </c>
      <c r="U37" s="114" t="s">
        <v>1088</v>
      </c>
      <c r="V37" s="114">
        <v>2</v>
      </c>
    </row>
    <row r="38" spans="1:22" ht="15">
      <c r="A38" s="114" t="s">
        <v>1084</v>
      </c>
      <c r="B38" s="114">
        <v>12</v>
      </c>
      <c r="C38" s="114"/>
      <c r="D38" s="114"/>
      <c r="E38" s="114" t="s">
        <v>1212</v>
      </c>
      <c r="F38" s="114">
        <v>3</v>
      </c>
      <c r="G38" s="114" t="s">
        <v>1109</v>
      </c>
      <c r="H38" s="114">
        <v>6</v>
      </c>
      <c r="I38" s="114" t="s">
        <v>1140</v>
      </c>
      <c r="J38" s="114">
        <v>2</v>
      </c>
      <c r="K38" s="114" t="s">
        <v>1164</v>
      </c>
      <c r="L38" s="114">
        <v>3</v>
      </c>
      <c r="M38" s="114" t="s">
        <v>1203</v>
      </c>
      <c r="N38" s="114">
        <v>3</v>
      </c>
      <c r="O38" s="114" t="s">
        <v>1326</v>
      </c>
      <c r="P38" s="114">
        <v>2</v>
      </c>
      <c r="Q38" s="114" t="s">
        <v>1366</v>
      </c>
      <c r="R38" s="114">
        <v>2</v>
      </c>
      <c r="S38" s="114" t="s">
        <v>1205</v>
      </c>
      <c r="T38" s="114">
        <v>3</v>
      </c>
      <c r="U38" s="114"/>
      <c r="V38" s="114"/>
    </row>
    <row r="39" spans="1:22" ht="15">
      <c r="A39" s="114" t="s">
        <v>1085</v>
      </c>
      <c r="B39" s="114">
        <v>11</v>
      </c>
      <c r="C39" s="114"/>
      <c r="D39" s="114"/>
      <c r="E39" s="114" t="s">
        <v>1213</v>
      </c>
      <c r="F39" s="114">
        <v>3</v>
      </c>
      <c r="G39" s="114" t="s">
        <v>1120</v>
      </c>
      <c r="H39" s="114">
        <v>5</v>
      </c>
      <c r="I39" s="114" t="s">
        <v>1143</v>
      </c>
      <c r="J39" s="114">
        <v>2</v>
      </c>
      <c r="K39" s="114" t="s">
        <v>1171</v>
      </c>
      <c r="L39" s="114">
        <v>3</v>
      </c>
      <c r="M39" s="114" t="s">
        <v>1339</v>
      </c>
      <c r="N39" s="114">
        <v>2</v>
      </c>
      <c r="O39" s="114" t="s">
        <v>1328</v>
      </c>
      <c r="P39" s="114">
        <v>2</v>
      </c>
      <c r="Q39" s="114" t="s">
        <v>1367</v>
      </c>
      <c r="R39" s="114">
        <v>2</v>
      </c>
      <c r="S39" s="114" t="s">
        <v>1342</v>
      </c>
      <c r="T39" s="114">
        <v>2</v>
      </c>
      <c r="U39" s="114"/>
      <c r="V39" s="114"/>
    </row>
    <row r="40" spans="1:22" ht="15">
      <c r="A40" s="114" t="s">
        <v>1086</v>
      </c>
      <c r="B40" s="114">
        <v>11</v>
      </c>
      <c r="C40" s="114"/>
      <c r="D40" s="114"/>
      <c r="E40" s="114" t="s">
        <v>1211</v>
      </c>
      <c r="F40" s="114">
        <v>3</v>
      </c>
      <c r="G40" s="114" t="s">
        <v>1121</v>
      </c>
      <c r="H40" s="114">
        <v>5</v>
      </c>
      <c r="I40" s="114" t="s">
        <v>1096</v>
      </c>
      <c r="J40" s="114">
        <v>2</v>
      </c>
      <c r="K40" s="114" t="s">
        <v>1085</v>
      </c>
      <c r="L40" s="114">
        <v>3</v>
      </c>
      <c r="M40" s="114" t="s">
        <v>1199</v>
      </c>
      <c r="N40" s="114">
        <v>2</v>
      </c>
      <c r="O40" s="114" t="s">
        <v>1329</v>
      </c>
      <c r="P40" s="114">
        <v>2</v>
      </c>
      <c r="Q40" s="114" t="s">
        <v>1094</v>
      </c>
      <c r="R40" s="114">
        <v>2</v>
      </c>
      <c r="S40" s="114" t="s">
        <v>1163</v>
      </c>
      <c r="T40" s="114">
        <v>2</v>
      </c>
      <c r="U40" s="114"/>
      <c r="V40" s="114"/>
    </row>
    <row r="43" spans="1:22" ht="15" customHeight="1">
      <c r="A43" s="13" t="s">
        <v>1562</v>
      </c>
      <c r="B43" s="13" t="s">
        <v>1464</v>
      </c>
      <c r="C43" s="79" t="s">
        <v>1573</v>
      </c>
      <c r="D43" s="79" t="s">
        <v>1467</v>
      </c>
      <c r="E43" s="13" t="s">
        <v>1574</v>
      </c>
      <c r="F43" s="13" t="s">
        <v>1472</v>
      </c>
      <c r="G43" s="13" t="s">
        <v>1585</v>
      </c>
      <c r="H43" s="13" t="s">
        <v>1474</v>
      </c>
      <c r="I43" s="13" t="s">
        <v>1589</v>
      </c>
      <c r="J43" s="13" t="s">
        <v>1477</v>
      </c>
      <c r="K43" s="13" t="s">
        <v>1591</v>
      </c>
      <c r="L43" s="13" t="s">
        <v>1480</v>
      </c>
      <c r="M43" s="13" t="s">
        <v>1601</v>
      </c>
      <c r="N43" s="13" t="s">
        <v>1484</v>
      </c>
      <c r="O43" s="13" t="s">
        <v>1609</v>
      </c>
      <c r="P43" s="13" t="s">
        <v>1486</v>
      </c>
      <c r="Q43" s="13" t="s">
        <v>1619</v>
      </c>
      <c r="R43" s="13" t="s">
        <v>1488</v>
      </c>
      <c r="S43" s="13" t="s">
        <v>1625</v>
      </c>
      <c r="T43" s="13" t="s">
        <v>1490</v>
      </c>
      <c r="U43" s="13" t="s">
        <v>1628</v>
      </c>
      <c r="V43" s="13" t="s">
        <v>1491</v>
      </c>
    </row>
    <row r="44" spans="1:22" ht="15">
      <c r="A44" s="114" t="s">
        <v>1563</v>
      </c>
      <c r="B44" s="114">
        <v>10</v>
      </c>
      <c r="C44" s="114"/>
      <c r="D44" s="114"/>
      <c r="E44" s="114" t="s">
        <v>1575</v>
      </c>
      <c r="F44" s="114">
        <v>2</v>
      </c>
      <c r="G44" s="114" t="s">
        <v>1563</v>
      </c>
      <c r="H44" s="114">
        <v>10</v>
      </c>
      <c r="I44" s="114" t="s">
        <v>1590</v>
      </c>
      <c r="J44" s="114">
        <v>2</v>
      </c>
      <c r="K44" s="114" t="s">
        <v>1565</v>
      </c>
      <c r="L44" s="114">
        <v>2</v>
      </c>
      <c r="M44" s="114" t="s">
        <v>1602</v>
      </c>
      <c r="N44" s="114">
        <v>3</v>
      </c>
      <c r="O44" s="114" t="s">
        <v>1567</v>
      </c>
      <c r="P44" s="114">
        <v>4</v>
      </c>
      <c r="Q44" s="114" t="s">
        <v>1620</v>
      </c>
      <c r="R44" s="114">
        <v>3</v>
      </c>
      <c r="S44" s="114" t="s">
        <v>1565</v>
      </c>
      <c r="T44" s="114">
        <v>2</v>
      </c>
      <c r="U44" s="114" t="s">
        <v>1566</v>
      </c>
      <c r="V44" s="114">
        <v>2</v>
      </c>
    </row>
    <row r="45" spans="1:22" ht="15">
      <c r="A45" s="114" t="s">
        <v>1564</v>
      </c>
      <c r="B45" s="114">
        <v>7</v>
      </c>
      <c r="C45" s="114"/>
      <c r="D45" s="114"/>
      <c r="E45" s="114" t="s">
        <v>1576</v>
      </c>
      <c r="F45" s="114">
        <v>2</v>
      </c>
      <c r="G45" s="114" t="s">
        <v>1564</v>
      </c>
      <c r="H45" s="114">
        <v>4</v>
      </c>
      <c r="I45" s="114"/>
      <c r="J45" s="114"/>
      <c r="K45" s="114" t="s">
        <v>1592</v>
      </c>
      <c r="L45" s="114">
        <v>2</v>
      </c>
      <c r="M45" s="114" t="s">
        <v>1603</v>
      </c>
      <c r="N45" s="114">
        <v>2</v>
      </c>
      <c r="O45" s="114" t="s">
        <v>1610</v>
      </c>
      <c r="P45" s="114">
        <v>3</v>
      </c>
      <c r="Q45" s="114" t="s">
        <v>1621</v>
      </c>
      <c r="R45" s="114">
        <v>3</v>
      </c>
      <c r="S45" s="114" t="s">
        <v>1626</v>
      </c>
      <c r="T45" s="114">
        <v>2</v>
      </c>
      <c r="U45" s="114" t="s">
        <v>1564</v>
      </c>
      <c r="V45" s="114">
        <v>2</v>
      </c>
    </row>
    <row r="46" spans="1:22" ht="15">
      <c r="A46" s="114" t="s">
        <v>1565</v>
      </c>
      <c r="B46" s="114">
        <v>5</v>
      </c>
      <c r="C46" s="114"/>
      <c r="D46" s="114"/>
      <c r="E46" s="114" t="s">
        <v>1577</v>
      </c>
      <c r="F46" s="114">
        <v>2</v>
      </c>
      <c r="G46" s="114" t="s">
        <v>1569</v>
      </c>
      <c r="H46" s="114">
        <v>4</v>
      </c>
      <c r="I46" s="114"/>
      <c r="J46" s="114"/>
      <c r="K46" s="114" t="s">
        <v>1593</v>
      </c>
      <c r="L46" s="114">
        <v>2</v>
      </c>
      <c r="M46" s="114" t="s">
        <v>1604</v>
      </c>
      <c r="N46" s="114">
        <v>2</v>
      </c>
      <c r="O46" s="114" t="s">
        <v>1611</v>
      </c>
      <c r="P46" s="114">
        <v>2</v>
      </c>
      <c r="Q46" s="114" t="s">
        <v>1622</v>
      </c>
      <c r="R46" s="114">
        <v>3</v>
      </c>
      <c r="S46" s="114" t="s">
        <v>1627</v>
      </c>
      <c r="T46" s="114">
        <v>2</v>
      </c>
      <c r="U46" s="114"/>
      <c r="V46" s="114"/>
    </row>
    <row r="47" spans="1:22" ht="15">
      <c r="A47" s="114" t="s">
        <v>1566</v>
      </c>
      <c r="B47" s="114">
        <v>5</v>
      </c>
      <c r="C47" s="114"/>
      <c r="D47" s="114"/>
      <c r="E47" s="114" t="s">
        <v>1578</v>
      </c>
      <c r="F47" s="114">
        <v>2</v>
      </c>
      <c r="G47" s="114" t="s">
        <v>1570</v>
      </c>
      <c r="H47" s="114">
        <v>4</v>
      </c>
      <c r="I47" s="114"/>
      <c r="J47" s="114"/>
      <c r="K47" s="114" t="s">
        <v>1594</v>
      </c>
      <c r="L47" s="114">
        <v>2</v>
      </c>
      <c r="M47" s="114" t="s">
        <v>1605</v>
      </c>
      <c r="N47" s="114">
        <v>2</v>
      </c>
      <c r="O47" s="114" t="s">
        <v>1612</v>
      </c>
      <c r="P47" s="114">
        <v>2</v>
      </c>
      <c r="Q47" s="114" t="s">
        <v>1623</v>
      </c>
      <c r="R47" s="114">
        <v>2</v>
      </c>
      <c r="S47" s="114"/>
      <c r="T47" s="114"/>
      <c r="U47" s="114"/>
      <c r="V47" s="114"/>
    </row>
    <row r="48" spans="1:22" ht="15">
      <c r="A48" s="114" t="s">
        <v>1567</v>
      </c>
      <c r="B48" s="114">
        <v>5</v>
      </c>
      <c r="C48" s="114"/>
      <c r="D48" s="114"/>
      <c r="E48" s="114" t="s">
        <v>1579</v>
      </c>
      <c r="F48" s="114">
        <v>2</v>
      </c>
      <c r="G48" s="114" t="s">
        <v>1571</v>
      </c>
      <c r="H48" s="114">
        <v>4</v>
      </c>
      <c r="I48" s="114"/>
      <c r="J48" s="114"/>
      <c r="K48" s="114" t="s">
        <v>1595</v>
      </c>
      <c r="L48" s="114">
        <v>2</v>
      </c>
      <c r="M48" s="114" t="s">
        <v>1606</v>
      </c>
      <c r="N48" s="114">
        <v>2</v>
      </c>
      <c r="O48" s="114" t="s">
        <v>1613</v>
      </c>
      <c r="P48" s="114">
        <v>2</v>
      </c>
      <c r="Q48" s="114" t="s">
        <v>1624</v>
      </c>
      <c r="R48" s="114">
        <v>2</v>
      </c>
      <c r="S48" s="114"/>
      <c r="T48" s="114"/>
      <c r="U48" s="114"/>
      <c r="V48" s="114"/>
    </row>
    <row r="49" spans="1:22" ht="15">
      <c r="A49" s="114" t="s">
        <v>1568</v>
      </c>
      <c r="B49" s="114">
        <v>4</v>
      </c>
      <c r="C49" s="114"/>
      <c r="D49" s="114"/>
      <c r="E49" s="114" t="s">
        <v>1580</v>
      </c>
      <c r="F49" s="114">
        <v>2</v>
      </c>
      <c r="G49" s="114" t="s">
        <v>1572</v>
      </c>
      <c r="H49" s="114">
        <v>4</v>
      </c>
      <c r="I49" s="114"/>
      <c r="J49" s="114"/>
      <c r="K49" s="114" t="s">
        <v>1596</v>
      </c>
      <c r="L49" s="114">
        <v>2</v>
      </c>
      <c r="M49" s="114" t="s">
        <v>1607</v>
      </c>
      <c r="N49" s="114">
        <v>2</v>
      </c>
      <c r="O49" s="114" t="s">
        <v>1614</v>
      </c>
      <c r="P49" s="114">
        <v>2</v>
      </c>
      <c r="Q49" s="114"/>
      <c r="R49" s="114"/>
      <c r="S49" s="114"/>
      <c r="T49" s="114"/>
      <c r="U49" s="114"/>
      <c r="V49" s="114"/>
    </row>
    <row r="50" spans="1:22" ht="15">
      <c r="A50" s="114" t="s">
        <v>1569</v>
      </c>
      <c r="B50" s="114">
        <v>4</v>
      </c>
      <c r="C50" s="114"/>
      <c r="D50" s="114"/>
      <c r="E50" s="114" t="s">
        <v>1581</v>
      </c>
      <c r="F50" s="114">
        <v>2</v>
      </c>
      <c r="G50" s="114" t="s">
        <v>1586</v>
      </c>
      <c r="H50" s="114">
        <v>4</v>
      </c>
      <c r="I50" s="114"/>
      <c r="J50" s="114"/>
      <c r="K50" s="114" t="s">
        <v>1597</v>
      </c>
      <c r="L50" s="114">
        <v>2</v>
      </c>
      <c r="M50" s="114" t="s">
        <v>1608</v>
      </c>
      <c r="N50" s="114">
        <v>2</v>
      </c>
      <c r="O50" s="114" t="s">
        <v>1615</v>
      </c>
      <c r="P50" s="114">
        <v>2</v>
      </c>
      <c r="Q50" s="114"/>
      <c r="R50" s="114"/>
      <c r="S50" s="114"/>
      <c r="T50" s="114"/>
      <c r="U50" s="114"/>
      <c r="V50" s="114"/>
    </row>
    <row r="51" spans="1:22" ht="15">
      <c r="A51" s="114" t="s">
        <v>1570</v>
      </c>
      <c r="B51" s="114">
        <v>4</v>
      </c>
      <c r="C51" s="114"/>
      <c r="D51" s="114"/>
      <c r="E51" s="114" t="s">
        <v>1582</v>
      </c>
      <c r="F51" s="114">
        <v>2</v>
      </c>
      <c r="G51" s="114" t="s">
        <v>1568</v>
      </c>
      <c r="H51" s="114">
        <v>4</v>
      </c>
      <c r="I51" s="114"/>
      <c r="J51" s="114"/>
      <c r="K51" s="114" t="s">
        <v>1598</v>
      </c>
      <c r="L51" s="114">
        <v>2</v>
      </c>
      <c r="M51" s="114"/>
      <c r="N51" s="114"/>
      <c r="O51" s="114" t="s">
        <v>1616</v>
      </c>
      <c r="P51" s="114">
        <v>2</v>
      </c>
      <c r="Q51" s="114"/>
      <c r="R51" s="114"/>
      <c r="S51" s="114"/>
      <c r="T51" s="114"/>
      <c r="U51" s="114"/>
      <c r="V51" s="114"/>
    </row>
    <row r="52" spans="1:22" ht="15">
      <c r="A52" s="114" t="s">
        <v>1571</v>
      </c>
      <c r="B52" s="114">
        <v>4</v>
      </c>
      <c r="C52" s="114"/>
      <c r="D52" s="114"/>
      <c r="E52" s="114" t="s">
        <v>1583</v>
      </c>
      <c r="F52" s="114">
        <v>2</v>
      </c>
      <c r="G52" s="114" t="s">
        <v>1587</v>
      </c>
      <c r="H52" s="114">
        <v>3</v>
      </c>
      <c r="I52" s="114"/>
      <c r="J52" s="114"/>
      <c r="K52" s="114" t="s">
        <v>1599</v>
      </c>
      <c r="L52" s="114">
        <v>2</v>
      </c>
      <c r="M52" s="114"/>
      <c r="N52" s="114"/>
      <c r="O52" s="114" t="s">
        <v>1617</v>
      </c>
      <c r="P52" s="114">
        <v>2</v>
      </c>
      <c r="Q52" s="114"/>
      <c r="R52" s="114"/>
      <c r="S52" s="114"/>
      <c r="T52" s="114"/>
      <c r="U52" s="114"/>
      <c r="V52" s="114"/>
    </row>
    <row r="53" spans="1:22" ht="15">
      <c r="A53" s="114" t="s">
        <v>1572</v>
      </c>
      <c r="B53" s="114">
        <v>4</v>
      </c>
      <c r="C53" s="114"/>
      <c r="D53" s="114"/>
      <c r="E53" s="114" t="s">
        <v>1584</v>
      </c>
      <c r="F53" s="114">
        <v>2</v>
      </c>
      <c r="G53" s="114" t="s">
        <v>1588</v>
      </c>
      <c r="H53" s="114">
        <v>3</v>
      </c>
      <c r="I53" s="114"/>
      <c r="J53" s="114"/>
      <c r="K53" s="114" t="s">
        <v>1600</v>
      </c>
      <c r="L53" s="114">
        <v>2</v>
      </c>
      <c r="M53" s="114"/>
      <c r="N53" s="114"/>
      <c r="O53" s="114" t="s">
        <v>1618</v>
      </c>
      <c r="P53" s="114">
        <v>2</v>
      </c>
      <c r="Q53" s="114"/>
      <c r="R53" s="114"/>
      <c r="S53" s="114"/>
      <c r="T53" s="114"/>
      <c r="U53" s="114"/>
      <c r="V53" s="114"/>
    </row>
  </sheetData>
  <hyperlinks>
    <hyperlink ref="A2" r:id="rId1" display="https://www.learndax.com/power-bi-sample-data-for-beginners-to-download/"/>
    <hyperlink ref="A3" r:id="rId2" display="https://youtu.be/cFJg1ZGoGp0"/>
    <hyperlink ref="A4" r:id="rId3" display="http://gmail.com/"/>
    <hyperlink ref="A5" r:id="rId4" display="https://www.sympla.com.br/evento__864452"/>
    <hyperlink ref="A6" r:id="rId5" display="https://canva.me/gk69VTPBv7"/>
    <hyperlink ref="A7" r:id="rId6" display="https://github.com/DaxStudio/DaxStudio/commit/f9ee1a2502b437b2ee37b1eaad7f7c855733c156"/>
    <hyperlink ref="A8" r:id="rId7" display="https://www.sqlbi.com/blog/alberto/2020/06/20/7-reasons-dax-is-not-easy/"/>
    <hyperlink ref="A9" r:id="rId8" display="https://www.youtube.com/watch?v=eABg872TAJU"/>
    <hyperlink ref="A10" r:id="rId9" display="https://www.youtube.com/watch?v=9SV2VnYbgg4"/>
    <hyperlink ref="A11" r:id="rId10" display="https://www.youtube.com/watch?v=7VeYvnovMy0&amp;amp;t=6m00s"/>
    <hyperlink ref="E2" r:id="rId11" display="https://www.youtube.com/watch?v=9SV2VnYbgg4"/>
    <hyperlink ref="E3" r:id="rId12" display="https://www.youtube.com/watch?v=eABg872TAJU"/>
    <hyperlink ref="E4" r:id="rId13" display="https://www.sqlbi.com/blog/alberto/2020/06/20/7-reasons-dax-is-not-easy/"/>
    <hyperlink ref="E5" r:id="rId14" display="https://github.com/DaxStudio/DaxStudio/commit/f9ee1a2502b437b2ee37b1eaad7f7c855733c156"/>
    <hyperlink ref="E6" r:id="rId15" display="https://community.powerbi.com/"/>
    <hyperlink ref="E7" r:id="rId16" display="https://community.powerbi.com/"/>
    <hyperlink ref="E8" r:id="rId17" display="http://www.youtube.com/results?search_query=%23new"/>
    <hyperlink ref="G2" r:id="rId18" display="https://www.learndax.com/power-bi-sample-data-for-beginners-to-download/"/>
    <hyperlink ref="I2" r:id="rId19" display="https://www.youtube.com/watch?v=hhZ62IlTxYs&amp;amp;t=6m30s"/>
    <hyperlink ref="K2" r:id="rId20" display="https://www.youtube.com/watch?v=7VeYvnovMy0&amp;amp;t=6m00s"/>
    <hyperlink ref="K3" r:id="rId21" display="https://www.youtube.com/watch?v=7VeYvnovMy0&amp;amp;t=9m00s"/>
    <hyperlink ref="M2" r:id="rId22" display="https://youtu.be/cFJg1ZGoGp0"/>
    <hyperlink ref="M3" r:id="rId23" display="http://gmail.com/"/>
    <hyperlink ref="M4" r:id="rId24" display="http://analysis.link/"/>
    <hyperlink ref="M5" r:id="rId25" display="http://yahoo.com/"/>
    <hyperlink ref="S2" r:id="rId26" display="https://canva.me/gk69VTPBv7"/>
    <hyperlink ref="S3" r:id="rId27" display="https://www.sympla.com.br/evento__864452"/>
  </hyperlinks>
  <printOptions/>
  <pageMargins left="0.7" right="0.7" top="0.75" bottom="0.75" header="0.3" footer="0.3"/>
  <pageSetup orientation="portrait" paperSize="9"/>
  <tableParts>
    <tablePart r:id="rId30"/>
    <tablePart r:id="rId32"/>
    <tablePart r:id="rId29"/>
    <tablePart r:id="rId28"/>
    <tablePart r:id="rId3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F178-8BAC-460A-9A15-DDC33265CD44}">
  <dimension ref="A25:B35"/>
  <sheetViews>
    <sheetView workbookViewId="0" topLeftCell="A1"/>
  </sheetViews>
  <sheetFormatPr defaultColWidth="9.140625" defaultRowHeight="15"/>
  <cols>
    <col min="1" max="1" width="13.140625" style="0" bestFit="1" customWidth="1"/>
    <col min="2" max="2" width="20.140625" style="0" bestFit="1" customWidth="1"/>
  </cols>
  <sheetData>
    <row r="25" spans="1:2" ht="15">
      <c r="A25" s="122" t="s">
        <v>1890</v>
      </c>
      <c r="B25" t="s">
        <v>1889</v>
      </c>
    </row>
    <row r="26" spans="1:2" ht="15">
      <c r="A26" s="123" t="s">
        <v>1095</v>
      </c>
      <c r="B26" s="3">
        <v>222</v>
      </c>
    </row>
    <row r="27" spans="1:2" ht="15">
      <c r="A27" s="124" t="s">
        <v>1892</v>
      </c>
      <c r="B27" s="3">
        <v>222</v>
      </c>
    </row>
    <row r="28" spans="1:2" ht="15">
      <c r="A28" s="125" t="s">
        <v>1893</v>
      </c>
      <c r="B28" s="3">
        <v>8</v>
      </c>
    </row>
    <row r="29" spans="1:2" ht="15">
      <c r="A29" s="125" t="s">
        <v>1894</v>
      </c>
      <c r="B29" s="3">
        <v>12</v>
      </c>
    </row>
    <row r="30" spans="1:2" ht="15">
      <c r="A30" s="125" t="s">
        <v>1895</v>
      </c>
      <c r="B30" s="3">
        <v>28</v>
      </c>
    </row>
    <row r="31" spans="1:2" ht="15">
      <c r="A31" s="125" t="s">
        <v>1896</v>
      </c>
      <c r="B31" s="3">
        <v>31</v>
      </c>
    </row>
    <row r="32" spans="1:2" ht="15">
      <c r="A32" s="125" t="s">
        <v>1897</v>
      </c>
      <c r="B32" s="3">
        <v>53</v>
      </c>
    </row>
    <row r="33" spans="1:2" ht="15">
      <c r="A33" s="125" t="s">
        <v>1898</v>
      </c>
      <c r="B33" s="3">
        <v>44</v>
      </c>
    </row>
    <row r="34" spans="1:2" ht="15">
      <c r="A34" s="125" t="s">
        <v>1899</v>
      </c>
      <c r="B34" s="3">
        <v>46</v>
      </c>
    </row>
    <row r="35" spans="1:2" ht="15">
      <c r="A35" s="123" t="s">
        <v>1891</v>
      </c>
      <c r="B35" s="3">
        <v>222</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C289-0ADB-46ED-8F37-3CCFD46CE2A2}">
  <dimension ref="A1:B11"/>
  <sheetViews>
    <sheetView tabSelected="1"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1946</v>
      </c>
      <c r="B1" s="13" t="s">
        <v>34</v>
      </c>
    </row>
    <row r="2" spans="1:2" ht="15">
      <c r="A2" s="113" t="s">
        <v>214</v>
      </c>
      <c r="B2" s="79">
        <v>150</v>
      </c>
    </row>
    <row r="3" spans="1:2" ht="15">
      <c r="A3" s="113" t="s">
        <v>300</v>
      </c>
      <c r="B3" s="79">
        <v>86</v>
      </c>
    </row>
    <row r="4" spans="1:2" ht="15">
      <c r="A4" s="113" t="s">
        <v>310</v>
      </c>
      <c r="B4" s="79">
        <v>62</v>
      </c>
    </row>
    <row r="5" spans="1:2" ht="15">
      <c r="A5" s="113" t="s">
        <v>297</v>
      </c>
      <c r="B5" s="79">
        <v>60</v>
      </c>
    </row>
    <row r="6" spans="1:2" ht="15">
      <c r="A6" s="113" t="s">
        <v>280</v>
      </c>
      <c r="B6" s="79">
        <v>56</v>
      </c>
    </row>
    <row r="7" spans="1:2" ht="15">
      <c r="A7" s="113" t="s">
        <v>266</v>
      </c>
      <c r="B7" s="79">
        <v>54</v>
      </c>
    </row>
    <row r="8" spans="1:2" ht="15">
      <c r="A8" s="113" t="s">
        <v>215</v>
      </c>
      <c r="B8" s="79">
        <v>46</v>
      </c>
    </row>
    <row r="9" spans="1:2" ht="15">
      <c r="A9" s="113" t="s">
        <v>258</v>
      </c>
      <c r="B9" s="79">
        <v>42</v>
      </c>
    </row>
    <row r="10" spans="1:2" ht="15">
      <c r="A10" s="113" t="s">
        <v>318</v>
      </c>
      <c r="B10" s="79">
        <v>40</v>
      </c>
    </row>
    <row r="11" spans="1:2" ht="15">
      <c r="A11" s="113" t="s">
        <v>224</v>
      </c>
      <c r="B11" s="79">
        <v>38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861</v>
      </c>
      <c r="AE2" s="13" t="s">
        <v>862</v>
      </c>
      <c r="AF2" s="13" t="s">
        <v>199</v>
      </c>
      <c r="AG2" s="13" t="s">
        <v>200</v>
      </c>
      <c r="AH2" s="13" t="s">
        <v>201</v>
      </c>
      <c r="AI2" s="13" t="s">
        <v>863</v>
      </c>
      <c r="AJ2" s="13" t="s">
        <v>864</v>
      </c>
      <c r="AK2" s="13" t="s">
        <v>865</v>
      </c>
      <c r="AL2" s="13" t="s">
        <v>866</v>
      </c>
      <c r="AM2" s="13" t="s">
        <v>867</v>
      </c>
      <c r="AN2" s="13" t="s">
        <v>868</v>
      </c>
      <c r="AO2" s="13" t="s">
        <v>869</v>
      </c>
      <c r="AP2" s="13" t="s">
        <v>870</v>
      </c>
      <c r="AQ2" s="13" t="s">
        <v>871</v>
      </c>
      <c r="AR2" s="13" t="s">
        <v>872</v>
      </c>
      <c r="AS2" s="13" t="s">
        <v>873</v>
      </c>
      <c r="AT2" s="13" t="s">
        <v>874</v>
      </c>
      <c r="AU2" s="13" t="s">
        <v>1064</v>
      </c>
      <c r="AV2" s="117" t="s">
        <v>1409</v>
      </c>
      <c r="AW2" s="117" t="s">
        <v>1410</v>
      </c>
      <c r="AX2" s="117" t="s">
        <v>1411</v>
      </c>
      <c r="AY2" s="117" t="s">
        <v>1412</v>
      </c>
      <c r="AZ2" s="117" t="s">
        <v>1413</v>
      </c>
      <c r="BA2" s="117" t="s">
        <v>1414</v>
      </c>
      <c r="BB2" s="117" t="s">
        <v>1415</v>
      </c>
      <c r="BC2" s="117" t="s">
        <v>1416</v>
      </c>
      <c r="BD2" s="117" t="s">
        <v>1418</v>
      </c>
      <c r="BE2" s="117" t="s">
        <v>1642</v>
      </c>
      <c r="BF2" s="117" t="s">
        <v>1646</v>
      </c>
      <c r="BG2" s="117" t="s">
        <v>1647</v>
      </c>
      <c r="BH2" s="117" t="s">
        <v>1651</v>
      </c>
      <c r="BI2" s="117" t="s">
        <v>1652</v>
      </c>
      <c r="BJ2" s="117" t="s">
        <v>1653</v>
      </c>
      <c r="BK2" s="117" t="s">
        <v>1654</v>
      </c>
      <c r="BL2" s="117" t="s">
        <v>1760</v>
      </c>
      <c r="BM2" s="117" t="s">
        <v>1778</v>
      </c>
      <c r="BN2" s="117" t="s">
        <v>1882</v>
      </c>
      <c r="BO2" s="3"/>
      <c r="BP2" s="3"/>
    </row>
    <row r="3" spans="1:68" ht="15" customHeight="1">
      <c r="A3" s="65" t="s">
        <v>212</v>
      </c>
      <c r="B3" s="66"/>
      <c r="C3" s="66"/>
      <c r="D3" s="67">
        <v>200</v>
      </c>
      <c r="E3" s="69"/>
      <c r="F3" s="99" t="str">
        <f>HYPERLINK("https://yt3.ggpht.com/a/AATXAJwNoCV8NdT206EYCLoILpNumAvlxTCJBBvvmg=s88-c-k-c0xffffffff-no-rj-mo")</f>
        <v>https://yt3.ggpht.com/a/AATXAJwNoCV8NdT206EYCLoILpNumAvlxTCJBBvvmg=s88-c-k-c0xffffffff-no-rj-mo</v>
      </c>
      <c r="G3" s="66"/>
      <c r="H3" s="70" t="s">
        <v>553</v>
      </c>
      <c r="I3" s="71"/>
      <c r="J3" s="71"/>
      <c r="K3" s="70" t="s">
        <v>553</v>
      </c>
      <c r="L3" s="74">
        <v>1</v>
      </c>
      <c r="M3" s="75">
        <v>1308.2901611328125</v>
      </c>
      <c r="N3" s="75">
        <v>2514.199462890625</v>
      </c>
      <c r="O3" s="76"/>
      <c r="P3" s="77"/>
      <c r="Q3" s="77"/>
      <c r="R3" s="48"/>
      <c r="S3" s="48">
        <v>0</v>
      </c>
      <c r="T3" s="48">
        <v>1</v>
      </c>
      <c r="U3" s="49">
        <v>0</v>
      </c>
      <c r="V3" s="49">
        <v>0.028571</v>
      </c>
      <c r="W3" s="49">
        <v>0.021456</v>
      </c>
      <c r="X3" s="49">
        <v>0.593794</v>
      </c>
      <c r="Y3" s="49">
        <v>0</v>
      </c>
      <c r="Z3" s="49">
        <v>0</v>
      </c>
      <c r="AA3" s="72">
        <v>3</v>
      </c>
      <c r="AB3" s="72"/>
      <c r="AC3" s="73"/>
      <c r="AD3" s="79" t="s">
        <v>553</v>
      </c>
      <c r="AE3" s="79"/>
      <c r="AF3" s="79"/>
      <c r="AG3" s="79"/>
      <c r="AH3" s="79"/>
      <c r="AI3" s="79"/>
      <c r="AJ3" s="83">
        <v>38901.667037037034</v>
      </c>
      <c r="AK3" s="81" t="str">
        <f>HYPERLINK("https://yt3.ggpht.com/a/AATXAJwNoCV8NdT206EYCLoILpNumAvlxTCJBBvvmg=s88-c-k-c0xffffffff-no-rj-mo")</f>
        <v>https://yt3.ggpht.com/a/AATXAJwNoCV8NdT206EYCLoILpNumAvlxTCJBBvvmg=s88-c-k-c0xffffffff-no-rj-mo</v>
      </c>
      <c r="AL3" s="79">
        <v>0</v>
      </c>
      <c r="AM3" s="79">
        <v>0</v>
      </c>
      <c r="AN3" s="79">
        <v>0</v>
      </c>
      <c r="AO3" s="79" t="b">
        <v>0</v>
      </c>
      <c r="AP3" s="79">
        <v>0</v>
      </c>
      <c r="AQ3" s="79"/>
      <c r="AR3" s="79"/>
      <c r="AS3" s="79" t="s">
        <v>1028</v>
      </c>
      <c r="AT3" s="81" t="str">
        <f>HYPERLINK("https://www.youtube.com/channel/UCqop8tlrCuuuczAfxrR5j1A")</f>
        <v>https://www.youtube.com/channel/UCqop8tlrCuuuczAfxrR5j1A</v>
      </c>
      <c r="AU3" s="79" t="str">
        <f>REPLACE(INDEX(GroupVertices[Group],MATCH(Vertices[[#This Row],[Vertex]],GroupVertices[Vertex],0)),1,1,"")</f>
        <v>2</v>
      </c>
      <c r="AV3" s="48">
        <v>1</v>
      </c>
      <c r="AW3" s="49">
        <v>2.127659574468085</v>
      </c>
      <c r="AX3" s="48">
        <v>0</v>
      </c>
      <c r="AY3" s="49">
        <v>0</v>
      </c>
      <c r="AZ3" s="48">
        <v>0</v>
      </c>
      <c r="BA3" s="49">
        <v>0</v>
      </c>
      <c r="BB3" s="48">
        <v>46</v>
      </c>
      <c r="BC3" s="49">
        <v>97.87234042553192</v>
      </c>
      <c r="BD3" s="48">
        <v>47</v>
      </c>
      <c r="BE3" s="48"/>
      <c r="BF3" s="48"/>
      <c r="BG3" s="48"/>
      <c r="BH3" s="48"/>
      <c r="BI3" s="48"/>
      <c r="BJ3" s="48"/>
      <c r="BK3" s="121" t="s">
        <v>1655</v>
      </c>
      <c r="BL3" s="121" t="s">
        <v>1761</v>
      </c>
      <c r="BM3" s="121" t="s">
        <v>1779</v>
      </c>
      <c r="BN3" s="121" t="s">
        <v>1779</v>
      </c>
      <c r="BO3" s="3"/>
      <c r="BP3" s="3"/>
    </row>
    <row r="4" spans="1:71" ht="15">
      <c r="A4" s="65" t="s">
        <v>215</v>
      </c>
      <c r="B4" s="66"/>
      <c r="C4" s="66"/>
      <c r="D4" s="67">
        <v>1000</v>
      </c>
      <c r="E4" s="69"/>
      <c r="F4" s="99" t="str">
        <f>HYPERLINK("https://yt3.ggpht.com/a/AATXAJwit8njQMzGG11FOmPlTJi4K_ESCrXHlTfedg=s88-c-k-c0xffffffff-no-rj-mo")</f>
        <v>https://yt3.ggpht.com/a/AATXAJwit8njQMzGG11FOmPlTJi4K_ESCrXHlTfedg=s88-c-k-c0xffffffff-no-rj-mo</v>
      </c>
      <c r="G4" s="66"/>
      <c r="H4" s="70" t="s">
        <v>556</v>
      </c>
      <c r="I4" s="71"/>
      <c r="J4" s="71"/>
      <c r="K4" s="70" t="s">
        <v>556</v>
      </c>
      <c r="L4" s="74">
        <v>2727.7272727272725</v>
      </c>
      <c r="M4" s="75">
        <v>2008.4964599609375</v>
      </c>
      <c r="N4" s="75">
        <v>1815.7060546875</v>
      </c>
      <c r="O4" s="76"/>
      <c r="P4" s="77"/>
      <c r="Q4" s="77"/>
      <c r="R4" s="85"/>
      <c r="S4" s="48">
        <v>3</v>
      </c>
      <c r="T4" s="48">
        <v>1</v>
      </c>
      <c r="U4" s="49">
        <v>46</v>
      </c>
      <c r="V4" s="49">
        <v>0.043478</v>
      </c>
      <c r="W4" s="49">
        <v>0.077687</v>
      </c>
      <c r="X4" s="49">
        <v>1.566334</v>
      </c>
      <c r="Y4" s="49">
        <v>0</v>
      </c>
      <c r="Z4" s="49">
        <v>0.3333333333333333</v>
      </c>
      <c r="AA4" s="72">
        <v>4</v>
      </c>
      <c r="AB4" s="72"/>
      <c r="AC4" s="73"/>
      <c r="AD4" s="79" t="s">
        <v>556</v>
      </c>
      <c r="AE4" s="79"/>
      <c r="AF4" s="79"/>
      <c r="AG4" s="79"/>
      <c r="AH4" s="79"/>
      <c r="AI4" s="79"/>
      <c r="AJ4" s="83">
        <v>43685.61493055556</v>
      </c>
      <c r="AK4" s="81" t="str">
        <f>HYPERLINK("https://yt3.ggpht.com/a/AATXAJwit8njQMzGG11FOmPlTJi4K_ESCrXHlTfedg=s88-c-k-c0xffffffff-no-rj-mo")</f>
        <v>https://yt3.ggpht.com/a/AATXAJwit8njQMzGG11FOmPlTJi4K_ESCrXHlTfedg=s88-c-k-c0xffffffff-no-rj-mo</v>
      </c>
      <c r="AL4" s="79">
        <v>0</v>
      </c>
      <c r="AM4" s="79">
        <v>0</v>
      </c>
      <c r="AN4" s="79">
        <v>0</v>
      </c>
      <c r="AO4" s="79" t="b">
        <v>0</v>
      </c>
      <c r="AP4" s="79">
        <v>0</v>
      </c>
      <c r="AQ4" s="79"/>
      <c r="AR4" s="79"/>
      <c r="AS4" s="79" t="s">
        <v>1028</v>
      </c>
      <c r="AT4" s="81" t="str">
        <f>HYPERLINK("https://www.youtube.com/channel/UCDRa3hAzNSyCXYMm6zncajQ")</f>
        <v>https://www.youtube.com/channel/UCDRa3hAzNSyCXYMm6zncajQ</v>
      </c>
      <c r="AU4" s="79" t="str">
        <f>REPLACE(INDEX(GroupVertices[Group],MATCH(Vertices[[#This Row],[Vertex]],GroupVertices[Vertex],0)),1,1,"")</f>
        <v>2</v>
      </c>
      <c r="AV4" s="48">
        <v>0</v>
      </c>
      <c r="AW4" s="49">
        <v>0</v>
      </c>
      <c r="AX4" s="48">
        <v>0</v>
      </c>
      <c r="AY4" s="49">
        <v>0</v>
      </c>
      <c r="AZ4" s="48">
        <v>0</v>
      </c>
      <c r="BA4" s="49">
        <v>0</v>
      </c>
      <c r="BB4" s="48">
        <v>37</v>
      </c>
      <c r="BC4" s="49">
        <v>100</v>
      </c>
      <c r="BD4" s="48">
        <v>37</v>
      </c>
      <c r="BE4" s="48"/>
      <c r="BF4" s="48"/>
      <c r="BG4" s="48"/>
      <c r="BH4" s="48"/>
      <c r="BI4" s="48"/>
      <c r="BJ4" s="48"/>
      <c r="BK4" s="121" t="s">
        <v>1656</v>
      </c>
      <c r="BL4" s="121" t="s">
        <v>1656</v>
      </c>
      <c r="BM4" s="121" t="s">
        <v>1780</v>
      </c>
      <c r="BN4" s="121" t="s">
        <v>1780</v>
      </c>
      <c r="BO4" s="2"/>
      <c r="BP4" s="3"/>
      <c r="BQ4" s="3"/>
      <c r="BR4" s="3"/>
      <c r="BS4" s="3"/>
    </row>
    <row r="5" spans="1:71" ht="15">
      <c r="A5" s="65" t="s">
        <v>213</v>
      </c>
      <c r="B5" s="66"/>
      <c r="C5" s="66"/>
      <c r="D5" s="67">
        <v>200</v>
      </c>
      <c r="E5" s="69"/>
      <c r="F5" s="99" t="str">
        <f>HYPERLINK("https://yt3.ggpht.com/a/AATXAJzb0RMUz5aIz7WbfwftVJ95NCce3gqHniRCnw=s88-c-k-c0xffffffff-no-rj-mo")</f>
        <v>https://yt3.ggpht.com/a/AATXAJzb0RMUz5aIz7WbfwftVJ95NCce3gqHniRCnw=s88-c-k-c0xffffffff-no-rj-mo</v>
      </c>
      <c r="G5" s="66"/>
      <c r="H5" s="70" t="s">
        <v>554</v>
      </c>
      <c r="I5" s="71"/>
      <c r="J5" s="71"/>
      <c r="K5" s="70" t="s">
        <v>554</v>
      </c>
      <c r="L5" s="74">
        <v>1</v>
      </c>
      <c r="M5" s="75">
        <v>3065.597412109375</v>
      </c>
      <c r="N5" s="75">
        <v>2375.833740234375</v>
      </c>
      <c r="O5" s="76"/>
      <c r="P5" s="77"/>
      <c r="Q5" s="77"/>
      <c r="R5" s="85"/>
      <c r="S5" s="48">
        <v>0</v>
      </c>
      <c r="T5" s="48">
        <v>1</v>
      </c>
      <c r="U5" s="49">
        <v>0</v>
      </c>
      <c r="V5" s="49">
        <v>0.028571</v>
      </c>
      <c r="W5" s="49">
        <v>0.021456</v>
      </c>
      <c r="X5" s="49">
        <v>0.593794</v>
      </c>
      <c r="Y5" s="49">
        <v>0</v>
      </c>
      <c r="Z5" s="49">
        <v>0</v>
      </c>
      <c r="AA5" s="72">
        <v>5</v>
      </c>
      <c r="AB5" s="72"/>
      <c r="AC5" s="73"/>
      <c r="AD5" s="79" t="s">
        <v>554</v>
      </c>
      <c r="AE5" s="79"/>
      <c r="AF5" s="79"/>
      <c r="AG5" s="79"/>
      <c r="AH5" s="79"/>
      <c r="AI5" s="79"/>
      <c r="AJ5" s="83">
        <v>40661.60265046296</v>
      </c>
      <c r="AK5" s="81" t="str">
        <f>HYPERLINK("https://yt3.ggpht.com/a/AATXAJzb0RMUz5aIz7WbfwftVJ95NCce3gqHniRCnw=s88-c-k-c0xffffffff-no-rj-mo")</f>
        <v>https://yt3.ggpht.com/a/AATXAJzb0RMUz5aIz7WbfwftVJ95NCce3gqHniRCnw=s88-c-k-c0xffffffff-no-rj-mo</v>
      </c>
      <c r="AL5" s="79">
        <v>0</v>
      </c>
      <c r="AM5" s="79">
        <v>0</v>
      </c>
      <c r="AN5" s="79">
        <v>0</v>
      </c>
      <c r="AO5" s="79" t="b">
        <v>0</v>
      </c>
      <c r="AP5" s="79">
        <v>0</v>
      </c>
      <c r="AQ5" s="79"/>
      <c r="AR5" s="79"/>
      <c r="AS5" s="79" t="s">
        <v>1028</v>
      </c>
      <c r="AT5" s="81" t="str">
        <f>HYPERLINK("https://www.youtube.com/channel/UCfth7ICp0EaKM6YyQPjvoOg")</f>
        <v>https://www.youtube.com/channel/UCfth7ICp0EaKM6YyQPjvoOg</v>
      </c>
      <c r="AU5" s="79" t="str">
        <f>REPLACE(INDEX(GroupVertices[Group],MATCH(Vertices[[#This Row],[Vertex]],GroupVertices[Vertex],0)),1,1,"")</f>
        <v>2</v>
      </c>
      <c r="AV5" s="48">
        <v>0</v>
      </c>
      <c r="AW5" s="49">
        <v>0</v>
      </c>
      <c r="AX5" s="48">
        <v>0</v>
      </c>
      <c r="AY5" s="49">
        <v>0</v>
      </c>
      <c r="AZ5" s="48">
        <v>0</v>
      </c>
      <c r="BA5" s="49">
        <v>0</v>
      </c>
      <c r="BB5" s="48">
        <v>7</v>
      </c>
      <c r="BC5" s="49">
        <v>100</v>
      </c>
      <c r="BD5" s="48">
        <v>7</v>
      </c>
      <c r="BE5" s="48"/>
      <c r="BF5" s="48"/>
      <c r="BG5" s="48"/>
      <c r="BH5" s="48"/>
      <c r="BI5" s="48"/>
      <c r="BJ5" s="48"/>
      <c r="BK5" s="121" t="s">
        <v>1657</v>
      </c>
      <c r="BL5" s="121" t="s">
        <v>1657</v>
      </c>
      <c r="BM5" s="121" t="s">
        <v>1781</v>
      </c>
      <c r="BN5" s="121" t="s">
        <v>1781</v>
      </c>
      <c r="BO5" s="2"/>
      <c r="BP5" s="3"/>
      <c r="BQ5" s="3"/>
      <c r="BR5" s="3"/>
      <c r="BS5" s="3"/>
    </row>
    <row r="6" spans="1:71" ht="15">
      <c r="A6" s="65" t="s">
        <v>214</v>
      </c>
      <c r="B6" s="66"/>
      <c r="C6" s="66"/>
      <c r="D6" s="67">
        <v>1000</v>
      </c>
      <c r="E6" s="69"/>
      <c r="F6" s="99" t="str">
        <f>HYPERLINK("https://yt3.ggpht.com/a/AATXAJzTnOVPvc73AZr_6Q-3Y2VHEZ3QevFBw6WRFQ=s88-c-k-c0xffffffff-no-rj-mo")</f>
        <v>https://yt3.ggpht.com/a/AATXAJzTnOVPvc73AZr_6Q-3Y2VHEZ3QevFBw6WRFQ=s88-c-k-c0xffffffff-no-rj-mo</v>
      </c>
      <c r="G6" s="66"/>
      <c r="H6" s="70" t="s">
        <v>555</v>
      </c>
      <c r="I6" s="71"/>
      <c r="J6" s="71"/>
      <c r="K6" s="70" t="s">
        <v>555</v>
      </c>
      <c r="L6" s="74">
        <v>9999</v>
      </c>
      <c r="M6" s="75">
        <v>1777.3232421875</v>
      </c>
      <c r="N6" s="75">
        <v>946.3533325195312</v>
      </c>
      <c r="O6" s="76"/>
      <c r="P6" s="77"/>
      <c r="Q6" s="77"/>
      <c r="R6" s="85"/>
      <c r="S6" s="48">
        <v>11</v>
      </c>
      <c r="T6" s="48">
        <v>11</v>
      </c>
      <c r="U6" s="49">
        <v>150</v>
      </c>
      <c r="V6" s="49">
        <v>0.066667</v>
      </c>
      <c r="W6" s="49">
        <v>0.206897</v>
      </c>
      <c r="X6" s="49">
        <v>5.265566</v>
      </c>
      <c r="Y6" s="49">
        <v>0</v>
      </c>
      <c r="Z6" s="49">
        <v>1</v>
      </c>
      <c r="AA6" s="72">
        <v>6</v>
      </c>
      <c r="AB6" s="72"/>
      <c r="AC6" s="73"/>
      <c r="AD6" s="79" t="s">
        <v>555</v>
      </c>
      <c r="AE6" s="79" t="s">
        <v>919</v>
      </c>
      <c r="AF6" s="79"/>
      <c r="AG6" s="79"/>
      <c r="AH6" s="79"/>
      <c r="AI6" s="79" t="s">
        <v>982</v>
      </c>
      <c r="AJ6" s="83">
        <v>41976.599756944444</v>
      </c>
      <c r="AK6" s="81" t="str">
        <f>HYPERLINK("https://yt3.ggpht.com/a/AATXAJzTnOVPvc73AZr_6Q-3Y2VHEZ3QevFBw6WRFQ=s88-c-k-c0xffffffff-no-rj-mo")</f>
        <v>https://yt3.ggpht.com/a/AATXAJzTnOVPvc73AZr_6Q-3Y2VHEZ3QevFBw6WRFQ=s88-c-k-c0xffffffff-no-rj-mo</v>
      </c>
      <c r="AL6" s="79">
        <v>7430300</v>
      </c>
      <c r="AM6" s="79">
        <v>0</v>
      </c>
      <c r="AN6" s="79">
        <v>115000</v>
      </c>
      <c r="AO6" s="79" t="b">
        <v>0</v>
      </c>
      <c r="AP6" s="79">
        <v>574</v>
      </c>
      <c r="AQ6" s="79"/>
      <c r="AR6" s="79"/>
      <c r="AS6" s="79" t="s">
        <v>1028</v>
      </c>
      <c r="AT6" s="81" t="str">
        <f>HYPERLINK("https://www.youtube.com/channel/UCFp1vaKzpfvoGai0vE5VJ0w")</f>
        <v>https://www.youtube.com/channel/UCFp1vaKzpfvoGai0vE5VJ0w</v>
      </c>
      <c r="AU6" s="79" t="str">
        <f>REPLACE(INDEX(GroupVertices[Group],MATCH(Vertices[[#This Row],[Vertex]],GroupVertices[Vertex],0)),1,1,"")</f>
        <v>2</v>
      </c>
      <c r="AV6" s="48">
        <v>7</v>
      </c>
      <c r="AW6" s="49">
        <v>1.9337016574585635</v>
      </c>
      <c r="AX6" s="48">
        <v>6</v>
      </c>
      <c r="AY6" s="49">
        <v>1.6574585635359116</v>
      </c>
      <c r="AZ6" s="48">
        <v>0</v>
      </c>
      <c r="BA6" s="49">
        <v>0</v>
      </c>
      <c r="BB6" s="48">
        <v>349</v>
      </c>
      <c r="BC6" s="49">
        <v>96.40883977900552</v>
      </c>
      <c r="BD6" s="48">
        <v>362</v>
      </c>
      <c r="BE6" s="48" t="s">
        <v>1643</v>
      </c>
      <c r="BF6" s="48" t="s">
        <v>1643</v>
      </c>
      <c r="BG6" s="48" t="s">
        <v>1648</v>
      </c>
      <c r="BH6" s="48" t="s">
        <v>1648</v>
      </c>
      <c r="BI6" s="48"/>
      <c r="BJ6" s="48"/>
      <c r="BK6" s="121" t="s">
        <v>1658</v>
      </c>
      <c r="BL6" s="121" t="s">
        <v>1762</v>
      </c>
      <c r="BM6" s="121" t="s">
        <v>1782</v>
      </c>
      <c r="BN6" s="121" t="s">
        <v>1782</v>
      </c>
      <c r="BO6" s="2"/>
      <c r="BP6" s="3"/>
      <c r="BQ6" s="3"/>
      <c r="BR6" s="3"/>
      <c r="BS6" s="3"/>
    </row>
    <row r="7" spans="1:71" ht="15">
      <c r="A7" s="65" t="s">
        <v>216</v>
      </c>
      <c r="B7" s="66"/>
      <c r="C7" s="66"/>
      <c r="D7" s="67">
        <v>600</v>
      </c>
      <c r="E7" s="69"/>
      <c r="F7" s="99" t="str">
        <f>HYPERLINK("https://yt3.ggpht.com/a/AATXAJx_6vVhHcOOMnzjcYlKptyVhSJt0X2EN-B4vsoB=s88-c-k-c0xffffffff-no-rj-mo")</f>
        <v>https://yt3.ggpht.com/a/AATXAJx_6vVhHcOOMnzjcYlKptyVhSJt0X2EN-B4vsoB=s88-c-k-c0xffffffff-no-rj-mo</v>
      </c>
      <c r="G7" s="66"/>
      <c r="H7" s="70" t="s">
        <v>557</v>
      </c>
      <c r="I7" s="71"/>
      <c r="J7" s="71"/>
      <c r="K7" s="70" t="s">
        <v>557</v>
      </c>
      <c r="L7" s="74">
        <v>909.9090909090909</v>
      </c>
      <c r="M7" s="75">
        <v>984.590576171875</v>
      </c>
      <c r="N7" s="75">
        <v>1430.4998779296875</v>
      </c>
      <c r="O7" s="76"/>
      <c r="P7" s="77"/>
      <c r="Q7" s="77"/>
      <c r="R7" s="85"/>
      <c r="S7" s="48">
        <v>1</v>
      </c>
      <c r="T7" s="48">
        <v>1</v>
      </c>
      <c r="U7" s="49">
        <v>0</v>
      </c>
      <c r="V7" s="49">
        <v>0.037037</v>
      </c>
      <c r="W7" s="49">
        <v>0.064297</v>
      </c>
      <c r="X7" s="49">
        <v>0.556884</v>
      </c>
      <c r="Y7" s="49">
        <v>0</v>
      </c>
      <c r="Z7" s="49">
        <v>1</v>
      </c>
      <c r="AA7" s="72">
        <v>7</v>
      </c>
      <c r="AB7" s="72"/>
      <c r="AC7" s="73"/>
      <c r="AD7" s="79" t="s">
        <v>557</v>
      </c>
      <c r="AE7" s="79"/>
      <c r="AF7" s="79"/>
      <c r="AG7" s="79"/>
      <c r="AH7" s="79"/>
      <c r="AI7" s="79"/>
      <c r="AJ7" s="83">
        <v>39914.010625</v>
      </c>
      <c r="AK7" s="81" t="str">
        <f>HYPERLINK("https://yt3.ggpht.com/a/AATXAJx_6vVhHcOOMnzjcYlKptyVhSJt0X2EN-B4vsoB=s88-c-k-c0xffffffff-no-rj-mo")</f>
        <v>https://yt3.ggpht.com/a/AATXAJx_6vVhHcOOMnzjcYlKptyVhSJt0X2EN-B4vsoB=s88-c-k-c0xffffffff-no-rj-mo</v>
      </c>
      <c r="AL7" s="79">
        <v>0</v>
      </c>
      <c r="AM7" s="79">
        <v>0</v>
      </c>
      <c r="AN7" s="79">
        <v>1</v>
      </c>
      <c r="AO7" s="79" t="b">
        <v>0</v>
      </c>
      <c r="AP7" s="79">
        <v>0</v>
      </c>
      <c r="AQ7" s="79"/>
      <c r="AR7" s="79"/>
      <c r="AS7" s="79" t="s">
        <v>1028</v>
      </c>
      <c r="AT7" s="81" t="str">
        <f>HYPERLINK("https://www.youtube.com/channel/UCvr2RftXJBsY7vTlQCmxZaw")</f>
        <v>https://www.youtube.com/channel/UCvr2RftXJBsY7vTlQCmxZaw</v>
      </c>
      <c r="AU7" s="79" t="str">
        <f>REPLACE(INDEX(GroupVertices[Group],MATCH(Vertices[[#This Row],[Vertex]],GroupVertices[Vertex],0)),1,1,"")</f>
        <v>2</v>
      </c>
      <c r="AV7" s="48">
        <v>1</v>
      </c>
      <c r="AW7" s="49">
        <v>25</v>
      </c>
      <c r="AX7" s="48">
        <v>0</v>
      </c>
      <c r="AY7" s="49">
        <v>0</v>
      </c>
      <c r="AZ7" s="48">
        <v>0</v>
      </c>
      <c r="BA7" s="49">
        <v>0</v>
      </c>
      <c r="BB7" s="48">
        <v>3</v>
      </c>
      <c r="BC7" s="49">
        <v>75</v>
      </c>
      <c r="BD7" s="48">
        <v>4</v>
      </c>
      <c r="BE7" s="48"/>
      <c r="BF7" s="48"/>
      <c r="BG7" s="48"/>
      <c r="BH7" s="48"/>
      <c r="BI7" s="48"/>
      <c r="BJ7" s="48"/>
      <c r="BK7" s="121" t="s">
        <v>1659</v>
      </c>
      <c r="BL7" s="121" t="s">
        <v>1659</v>
      </c>
      <c r="BM7" s="121" t="s">
        <v>1544</v>
      </c>
      <c r="BN7" s="121" t="s">
        <v>1544</v>
      </c>
      <c r="BO7" s="2"/>
      <c r="BP7" s="3"/>
      <c r="BQ7" s="3"/>
      <c r="BR7" s="3"/>
      <c r="BS7" s="3"/>
    </row>
    <row r="8" spans="1:71" ht="15">
      <c r="A8" s="65" t="s">
        <v>217</v>
      </c>
      <c r="B8" s="66"/>
      <c r="C8" s="66"/>
      <c r="D8" s="67">
        <v>600</v>
      </c>
      <c r="E8" s="69"/>
      <c r="F8" s="99" t="str">
        <f>HYPERLINK("https://yt3.ggpht.com/a/AATXAJyld63xRIg492II0a5QZusuiMw4ve3oHUDASQ=s88-c-k-c0xffffffff-no-rj-mo")</f>
        <v>https://yt3.ggpht.com/a/AATXAJyld63xRIg492II0a5QZusuiMw4ve3oHUDASQ=s88-c-k-c0xffffffff-no-rj-mo</v>
      </c>
      <c r="G8" s="66"/>
      <c r="H8" s="70" t="s">
        <v>558</v>
      </c>
      <c r="I8" s="71"/>
      <c r="J8" s="71"/>
      <c r="K8" s="70" t="s">
        <v>558</v>
      </c>
      <c r="L8" s="74">
        <v>909.9090909090909</v>
      </c>
      <c r="M8" s="75">
        <v>150.19728088378906</v>
      </c>
      <c r="N8" s="75">
        <v>736.0632934570312</v>
      </c>
      <c r="O8" s="76"/>
      <c r="P8" s="77"/>
      <c r="Q8" s="77"/>
      <c r="R8" s="85"/>
      <c r="S8" s="48">
        <v>1</v>
      </c>
      <c r="T8" s="48">
        <v>1</v>
      </c>
      <c r="U8" s="49">
        <v>0</v>
      </c>
      <c r="V8" s="49">
        <v>0.037037</v>
      </c>
      <c r="W8" s="49">
        <v>0.064297</v>
      </c>
      <c r="X8" s="49">
        <v>0.556884</v>
      </c>
      <c r="Y8" s="49">
        <v>0</v>
      </c>
      <c r="Z8" s="49">
        <v>1</v>
      </c>
      <c r="AA8" s="72">
        <v>8</v>
      </c>
      <c r="AB8" s="72"/>
      <c r="AC8" s="73"/>
      <c r="AD8" s="79" t="s">
        <v>558</v>
      </c>
      <c r="AE8" s="79"/>
      <c r="AF8" s="79"/>
      <c r="AG8" s="79"/>
      <c r="AH8" s="79"/>
      <c r="AI8" s="79"/>
      <c r="AJ8" s="83">
        <v>41039.71796296296</v>
      </c>
      <c r="AK8" s="81" t="str">
        <f>HYPERLINK("https://yt3.ggpht.com/a/AATXAJyld63xRIg492II0a5QZusuiMw4ve3oHUDASQ=s88-c-k-c0xffffffff-no-rj-mo")</f>
        <v>https://yt3.ggpht.com/a/AATXAJyld63xRIg492II0a5QZusuiMw4ve3oHUDASQ=s88-c-k-c0xffffffff-no-rj-mo</v>
      </c>
      <c r="AL8" s="79">
        <v>0</v>
      </c>
      <c r="AM8" s="79">
        <v>0</v>
      </c>
      <c r="AN8" s="79">
        <v>0</v>
      </c>
      <c r="AO8" s="79" t="b">
        <v>0</v>
      </c>
      <c r="AP8" s="79">
        <v>0</v>
      </c>
      <c r="AQ8" s="79"/>
      <c r="AR8" s="79"/>
      <c r="AS8" s="79" t="s">
        <v>1028</v>
      </c>
      <c r="AT8" s="81" t="str">
        <f>HYPERLINK("https://www.youtube.com/channel/UCO7kLxBbcZ-F6jdssKIMfFw")</f>
        <v>https://www.youtube.com/channel/UCO7kLxBbcZ-F6jdssKIMfFw</v>
      </c>
      <c r="AU8" s="79" t="str">
        <f>REPLACE(INDEX(GroupVertices[Group],MATCH(Vertices[[#This Row],[Vertex]],GroupVertices[Vertex],0)),1,1,"")</f>
        <v>2</v>
      </c>
      <c r="AV8" s="48">
        <v>1</v>
      </c>
      <c r="AW8" s="49">
        <v>3.7037037037037037</v>
      </c>
      <c r="AX8" s="48">
        <v>0</v>
      </c>
      <c r="AY8" s="49">
        <v>0</v>
      </c>
      <c r="AZ8" s="48">
        <v>0</v>
      </c>
      <c r="BA8" s="49">
        <v>0</v>
      </c>
      <c r="BB8" s="48">
        <v>26</v>
      </c>
      <c r="BC8" s="49">
        <v>96.29629629629629</v>
      </c>
      <c r="BD8" s="48">
        <v>27</v>
      </c>
      <c r="BE8" s="48"/>
      <c r="BF8" s="48"/>
      <c r="BG8" s="48"/>
      <c r="BH8" s="48"/>
      <c r="BI8" s="48"/>
      <c r="BJ8" s="48"/>
      <c r="BK8" s="121" t="s">
        <v>1660</v>
      </c>
      <c r="BL8" s="121" t="s">
        <v>1660</v>
      </c>
      <c r="BM8" s="121" t="s">
        <v>1783</v>
      </c>
      <c r="BN8" s="121" t="s">
        <v>1783</v>
      </c>
      <c r="BO8" s="2"/>
      <c r="BP8" s="3"/>
      <c r="BQ8" s="3"/>
      <c r="BR8" s="3"/>
      <c r="BS8" s="3"/>
    </row>
    <row r="9" spans="1:71" ht="15">
      <c r="A9" s="65" t="s">
        <v>218</v>
      </c>
      <c r="B9" s="66"/>
      <c r="C9" s="66"/>
      <c r="D9" s="67">
        <v>600</v>
      </c>
      <c r="E9" s="69"/>
      <c r="F9" s="99" t="str">
        <f>HYPERLINK("https://yt3.ggpht.com/a/AATXAJxagqkbOUlVTW1ulYyHXiasJJL1BGn88fSxCEypmg=s88-c-k-c0xffffffff-no-rj-mo")</f>
        <v>https://yt3.ggpht.com/a/AATXAJxagqkbOUlVTW1ulYyHXiasJJL1BGn88fSxCEypmg=s88-c-k-c0xffffffff-no-rj-mo</v>
      </c>
      <c r="G9" s="66"/>
      <c r="H9" s="70" t="s">
        <v>559</v>
      </c>
      <c r="I9" s="71"/>
      <c r="J9" s="71"/>
      <c r="K9" s="70" t="s">
        <v>559</v>
      </c>
      <c r="L9" s="74">
        <v>909.9090909090909</v>
      </c>
      <c r="M9" s="75">
        <v>2665.327392578125</v>
      </c>
      <c r="N9" s="75">
        <v>284.68817138671875</v>
      </c>
      <c r="O9" s="76"/>
      <c r="P9" s="77"/>
      <c r="Q9" s="77"/>
      <c r="R9" s="85"/>
      <c r="S9" s="48">
        <v>1</v>
      </c>
      <c r="T9" s="48">
        <v>1</v>
      </c>
      <c r="U9" s="49">
        <v>0</v>
      </c>
      <c r="V9" s="49">
        <v>0.037037</v>
      </c>
      <c r="W9" s="49">
        <v>0.064297</v>
      </c>
      <c r="X9" s="49">
        <v>0.556884</v>
      </c>
      <c r="Y9" s="49">
        <v>0</v>
      </c>
      <c r="Z9" s="49">
        <v>1</v>
      </c>
      <c r="AA9" s="72">
        <v>9</v>
      </c>
      <c r="AB9" s="72"/>
      <c r="AC9" s="73"/>
      <c r="AD9" s="79" t="s">
        <v>559</v>
      </c>
      <c r="AE9" s="79"/>
      <c r="AF9" s="79"/>
      <c r="AG9" s="79"/>
      <c r="AH9" s="79"/>
      <c r="AI9" s="79"/>
      <c r="AJ9" s="83">
        <v>41651.14612268518</v>
      </c>
      <c r="AK9" s="81" t="str">
        <f>HYPERLINK("https://yt3.ggpht.com/a/AATXAJxagqkbOUlVTW1ulYyHXiasJJL1BGn88fSxCEypmg=s88-c-k-c0xffffffff-no-rj-mo")</f>
        <v>https://yt3.ggpht.com/a/AATXAJxagqkbOUlVTW1ulYyHXiasJJL1BGn88fSxCEypmg=s88-c-k-c0xffffffff-no-rj-mo</v>
      </c>
      <c r="AL9" s="79">
        <v>110</v>
      </c>
      <c r="AM9" s="79">
        <v>0</v>
      </c>
      <c r="AN9" s="79">
        <v>1</v>
      </c>
      <c r="AO9" s="79" t="b">
        <v>0</v>
      </c>
      <c r="AP9" s="79">
        <v>1</v>
      </c>
      <c r="AQ9" s="79"/>
      <c r="AR9" s="79"/>
      <c r="AS9" s="79" t="s">
        <v>1028</v>
      </c>
      <c r="AT9" s="81" t="str">
        <f>HYPERLINK("https://www.youtube.com/channel/UCFiPHO5NgaQdVggOroJP_nw")</f>
        <v>https://www.youtube.com/channel/UCFiPHO5NgaQdVggOroJP_nw</v>
      </c>
      <c r="AU9" s="79" t="str">
        <f>REPLACE(INDEX(GroupVertices[Group],MATCH(Vertices[[#This Row],[Vertex]],GroupVertices[Vertex],0)),1,1,"")</f>
        <v>2</v>
      </c>
      <c r="AV9" s="48">
        <v>1</v>
      </c>
      <c r="AW9" s="49">
        <v>12.5</v>
      </c>
      <c r="AX9" s="48">
        <v>0</v>
      </c>
      <c r="AY9" s="49">
        <v>0</v>
      </c>
      <c r="AZ9" s="48">
        <v>0</v>
      </c>
      <c r="BA9" s="49">
        <v>0</v>
      </c>
      <c r="BB9" s="48">
        <v>7</v>
      </c>
      <c r="BC9" s="49">
        <v>87.5</v>
      </c>
      <c r="BD9" s="48">
        <v>8</v>
      </c>
      <c r="BE9" s="48"/>
      <c r="BF9" s="48"/>
      <c r="BG9" s="48"/>
      <c r="BH9" s="48"/>
      <c r="BI9" s="48"/>
      <c r="BJ9" s="48"/>
      <c r="BK9" s="121" t="s">
        <v>1661</v>
      </c>
      <c r="BL9" s="121" t="s">
        <v>1661</v>
      </c>
      <c r="BM9" s="121" t="s">
        <v>1784</v>
      </c>
      <c r="BN9" s="121" t="s">
        <v>1784</v>
      </c>
      <c r="BO9" s="2"/>
      <c r="BP9" s="3"/>
      <c r="BQ9" s="3"/>
      <c r="BR9" s="3"/>
      <c r="BS9" s="3"/>
    </row>
    <row r="10" spans="1:71" ht="15">
      <c r="A10" s="65" t="s">
        <v>219</v>
      </c>
      <c r="B10" s="66"/>
      <c r="C10" s="66"/>
      <c r="D10" s="67">
        <v>600</v>
      </c>
      <c r="E10" s="69"/>
      <c r="F10" s="99" t="str">
        <f>HYPERLINK("https://yt3.ggpht.com/a/AATXAJwosMCvab6xihrWF61rpks4cBDHWKvhG7WAaD0Bpg=s88-c-k-c0xffffffff-no-rj-mo")</f>
        <v>https://yt3.ggpht.com/a/AATXAJwosMCvab6xihrWF61rpks4cBDHWKvhG7WAaD0Bpg=s88-c-k-c0xffffffff-no-rj-mo</v>
      </c>
      <c r="G10" s="66"/>
      <c r="H10" s="70" t="s">
        <v>560</v>
      </c>
      <c r="I10" s="71"/>
      <c r="J10" s="71"/>
      <c r="K10" s="70" t="s">
        <v>560</v>
      </c>
      <c r="L10" s="74">
        <v>909.9090909090909</v>
      </c>
      <c r="M10" s="75">
        <v>3198.30517578125</v>
      </c>
      <c r="N10" s="75">
        <v>603.9010009765625</v>
      </c>
      <c r="O10" s="76"/>
      <c r="P10" s="77"/>
      <c r="Q10" s="77"/>
      <c r="R10" s="85"/>
      <c r="S10" s="48">
        <v>1</v>
      </c>
      <c r="T10" s="48">
        <v>1</v>
      </c>
      <c r="U10" s="49">
        <v>0</v>
      </c>
      <c r="V10" s="49">
        <v>0.037037</v>
      </c>
      <c r="W10" s="49">
        <v>0.064297</v>
      </c>
      <c r="X10" s="49">
        <v>0.556884</v>
      </c>
      <c r="Y10" s="49">
        <v>0</v>
      </c>
      <c r="Z10" s="49">
        <v>1</v>
      </c>
      <c r="AA10" s="72">
        <v>10</v>
      </c>
      <c r="AB10" s="72"/>
      <c r="AC10" s="73"/>
      <c r="AD10" s="79" t="s">
        <v>560</v>
      </c>
      <c r="AE10" s="79"/>
      <c r="AF10" s="79"/>
      <c r="AG10" s="79"/>
      <c r="AH10" s="79"/>
      <c r="AI10" s="79" t="s">
        <v>983</v>
      </c>
      <c r="AJ10" s="83">
        <v>39569.61547453704</v>
      </c>
      <c r="AK10" s="81" t="str">
        <f>HYPERLINK("https://yt3.ggpht.com/a/AATXAJwosMCvab6xihrWF61rpks4cBDHWKvhG7WAaD0Bpg=s88-c-k-c0xffffffff-no-rj-mo")</f>
        <v>https://yt3.ggpht.com/a/AATXAJwosMCvab6xihrWF61rpks4cBDHWKvhG7WAaD0Bpg=s88-c-k-c0xffffffff-no-rj-mo</v>
      </c>
      <c r="AL10" s="79">
        <v>0</v>
      </c>
      <c r="AM10" s="79">
        <v>0</v>
      </c>
      <c r="AN10" s="79">
        <v>0</v>
      </c>
      <c r="AO10" s="79" t="b">
        <v>0</v>
      </c>
      <c r="AP10" s="79">
        <v>0</v>
      </c>
      <c r="AQ10" s="79"/>
      <c r="AR10" s="79"/>
      <c r="AS10" s="79" t="s">
        <v>1028</v>
      </c>
      <c r="AT10" s="81" t="str">
        <f>HYPERLINK("https://www.youtube.com/channel/UCQSAWg2c-QMRHUyywmilREQ")</f>
        <v>https://www.youtube.com/channel/UCQSAWg2c-QMRHUyywmilREQ</v>
      </c>
      <c r="AU10" s="79" t="str">
        <f>REPLACE(INDEX(GroupVertices[Group],MATCH(Vertices[[#This Row],[Vertex]],GroupVertices[Vertex],0)),1,1,"")</f>
        <v>2</v>
      </c>
      <c r="AV10" s="48">
        <v>0</v>
      </c>
      <c r="AW10" s="49">
        <v>0</v>
      </c>
      <c r="AX10" s="48">
        <v>0</v>
      </c>
      <c r="AY10" s="49">
        <v>0</v>
      </c>
      <c r="AZ10" s="48">
        <v>0</v>
      </c>
      <c r="BA10" s="49">
        <v>0</v>
      </c>
      <c r="BB10" s="48">
        <v>26</v>
      </c>
      <c r="BC10" s="49">
        <v>100</v>
      </c>
      <c r="BD10" s="48">
        <v>26</v>
      </c>
      <c r="BE10" s="48" t="s">
        <v>1459</v>
      </c>
      <c r="BF10" s="48" t="s">
        <v>1459</v>
      </c>
      <c r="BG10" s="48" t="s">
        <v>1503</v>
      </c>
      <c r="BH10" s="48" t="s">
        <v>1503</v>
      </c>
      <c r="BI10" s="48"/>
      <c r="BJ10" s="48"/>
      <c r="BK10" s="121" t="s">
        <v>1662</v>
      </c>
      <c r="BL10" s="121" t="s">
        <v>1662</v>
      </c>
      <c r="BM10" s="121" t="s">
        <v>1785</v>
      </c>
      <c r="BN10" s="121" t="s">
        <v>1785</v>
      </c>
      <c r="BO10" s="2"/>
      <c r="BP10" s="3"/>
      <c r="BQ10" s="3"/>
      <c r="BR10" s="3"/>
      <c r="BS10" s="3"/>
    </row>
    <row r="11" spans="1:71" ht="15">
      <c r="A11" s="65" t="s">
        <v>220</v>
      </c>
      <c r="B11" s="66"/>
      <c r="C11" s="66"/>
      <c r="D11" s="67">
        <v>600</v>
      </c>
      <c r="E11" s="69"/>
      <c r="F11" s="99" t="str">
        <f>HYPERLINK("https://yt3.ggpht.com/a/AATXAJz4qKyDkefZdQTJ5D_87sKSd_b2gxTchwAP3A=s88-c-k-c0xffffffff-no-rj-mo")</f>
        <v>https://yt3.ggpht.com/a/AATXAJz4qKyDkefZdQTJ5D_87sKSd_b2gxTchwAP3A=s88-c-k-c0xffffffff-no-rj-mo</v>
      </c>
      <c r="G11" s="66"/>
      <c r="H11" s="70" t="s">
        <v>561</v>
      </c>
      <c r="I11" s="71"/>
      <c r="J11" s="71"/>
      <c r="K11" s="70" t="s">
        <v>561</v>
      </c>
      <c r="L11" s="74">
        <v>909.9090909090909</v>
      </c>
      <c r="M11" s="75">
        <v>2676.976318359375</v>
      </c>
      <c r="N11" s="75">
        <v>1269.96435546875</v>
      </c>
      <c r="O11" s="76"/>
      <c r="P11" s="77"/>
      <c r="Q11" s="77"/>
      <c r="R11" s="85"/>
      <c r="S11" s="48">
        <v>1</v>
      </c>
      <c r="T11" s="48">
        <v>1</v>
      </c>
      <c r="U11" s="49">
        <v>0</v>
      </c>
      <c r="V11" s="49">
        <v>0.037037</v>
      </c>
      <c r="W11" s="49">
        <v>0.064297</v>
      </c>
      <c r="X11" s="49">
        <v>0.556884</v>
      </c>
      <c r="Y11" s="49">
        <v>0</v>
      </c>
      <c r="Z11" s="49">
        <v>1</v>
      </c>
      <c r="AA11" s="72">
        <v>11</v>
      </c>
      <c r="AB11" s="72"/>
      <c r="AC11" s="73"/>
      <c r="AD11" s="79" t="s">
        <v>561</v>
      </c>
      <c r="AE11" s="79"/>
      <c r="AF11" s="79"/>
      <c r="AG11" s="79"/>
      <c r="AH11" s="79"/>
      <c r="AI11" s="79" t="s">
        <v>984</v>
      </c>
      <c r="AJ11" s="83">
        <v>41549.99017361111</v>
      </c>
      <c r="AK11" s="81" t="str">
        <f>HYPERLINK("https://yt3.ggpht.com/a/AATXAJz4qKyDkefZdQTJ5D_87sKSd_b2gxTchwAP3A=s88-c-k-c0xffffffff-no-rj-mo")</f>
        <v>https://yt3.ggpht.com/a/AATXAJz4qKyDkefZdQTJ5D_87sKSd_b2gxTchwAP3A=s88-c-k-c0xffffffff-no-rj-mo</v>
      </c>
      <c r="AL11" s="79">
        <v>0</v>
      </c>
      <c r="AM11" s="79">
        <v>0</v>
      </c>
      <c r="AN11" s="79">
        <v>0</v>
      </c>
      <c r="AO11" s="79" t="b">
        <v>0</v>
      </c>
      <c r="AP11" s="79">
        <v>0</v>
      </c>
      <c r="AQ11" s="79"/>
      <c r="AR11" s="79"/>
      <c r="AS11" s="79" t="s">
        <v>1028</v>
      </c>
      <c r="AT11" s="81" t="str">
        <f>HYPERLINK("https://www.youtube.com/channel/UCtlTqmbJidEUZFkxHptY1FA")</f>
        <v>https://www.youtube.com/channel/UCtlTqmbJidEUZFkxHptY1FA</v>
      </c>
      <c r="AU11" s="79" t="str">
        <f>REPLACE(INDEX(GroupVertices[Group],MATCH(Vertices[[#This Row],[Vertex]],GroupVertices[Vertex],0)),1,1,"")</f>
        <v>2</v>
      </c>
      <c r="AV11" s="48">
        <v>3</v>
      </c>
      <c r="AW11" s="49">
        <v>13.043478260869565</v>
      </c>
      <c r="AX11" s="48">
        <v>0</v>
      </c>
      <c r="AY11" s="49">
        <v>0</v>
      </c>
      <c r="AZ11" s="48">
        <v>0</v>
      </c>
      <c r="BA11" s="49">
        <v>0</v>
      </c>
      <c r="BB11" s="48">
        <v>20</v>
      </c>
      <c r="BC11" s="49">
        <v>86.95652173913044</v>
      </c>
      <c r="BD11" s="48">
        <v>23</v>
      </c>
      <c r="BE11" s="48"/>
      <c r="BF11" s="48"/>
      <c r="BG11" s="48"/>
      <c r="BH11" s="48"/>
      <c r="BI11" s="48"/>
      <c r="BJ11" s="48"/>
      <c r="BK11" s="121" t="s">
        <v>1663</v>
      </c>
      <c r="BL11" s="121" t="s">
        <v>1663</v>
      </c>
      <c r="BM11" s="121" t="s">
        <v>1786</v>
      </c>
      <c r="BN11" s="121" t="s">
        <v>1786</v>
      </c>
      <c r="BO11" s="2"/>
      <c r="BP11" s="3"/>
      <c r="BQ11" s="3"/>
      <c r="BR11" s="3"/>
      <c r="BS11" s="3"/>
    </row>
    <row r="12" spans="1:71" ht="15">
      <c r="A12" s="65" t="s">
        <v>221</v>
      </c>
      <c r="B12" s="66"/>
      <c r="C12" s="66"/>
      <c r="D12" s="67">
        <v>600</v>
      </c>
      <c r="E12" s="69"/>
      <c r="F12" s="99" t="str">
        <f>HYPERLINK("https://yt3.ggpht.com/a/AATXAJwzfDqMgRBv8rR2KfGGol84uj3I9AJK8LADbw=s88-c-k-c0xffffffff-no-rj-mo")</f>
        <v>https://yt3.ggpht.com/a/AATXAJwzfDqMgRBv8rR2KfGGol84uj3I9AJK8LADbw=s88-c-k-c0xffffffff-no-rj-mo</v>
      </c>
      <c r="G12" s="66"/>
      <c r="H12" s="70" t="s">
        <v>562</v>
      </c>
      <c r="I12" s="71"/>
      <c r="J12" s="71"/>
      <c r="K12" s="70" t="s">
        <v>562</v>
      </c>
      <c r="L12" s="74">
        <v>909.9090909090909</v>
      </c>
      <c r="M12" s="75">
        <v>944.5001220703125</v>
      </c>
      <c r="N12" s="75">
        <v>637.3082275390625</v>
      </c>
      <c r="O12" s="76"/>
      <c r="P12" s="77"/>
      <c r="Q12" s="77"/>
      <c r="R12" s="85"/>
      <c r="S12" s="48">
        <v>1</v>
      </c>
      <c r="T12" s="48">
        <v>1</v>
      </c>
      <c r="U12" s="49">
        <v>0</v>
      </c>
      <c r="V12" s="49">
        <v>0.037037</v>
      </c>
      <c r="W12" s="49">
        <v>0.064297</v>
      </c>
      <c r="X12" s="49">
        <v>0.556884</v>
      </c>
      <c r="Y12" s="49">
        <v>0</v>
      </c>
      <c r="Z12" s="49">
        <v>1</v>
      </c>
      <c r="AA12" s="72">
        <v>12</v>
      </c>
      <c r="AB12" s="72"/>
      <c r="AC12" s="73"/>
      <c r="AD12" s="79" t="s">
        <v>562</v>
      </c>
      <c r="AE12" s="79"/>
      <c r="AF12" s="79"/>
      <c r="AG12" s="79"/>
      <c r="AH12" s="79"/>
      <c r="AI12" s="79"/>
      <c r="AJ12" s="83">
        <v>43945.88487268519</v>
      </c>
      <c r="AK12" s="81" t="str">
        <f>HYPERLINK("https://yt3.ggpht.com/a/AATXAJwzfDqMgRBv8rR2KfGGol84uj3I9AJK8LADbw=s88-c-k-c0xffffffff-no-rj-mo")</f>
        <v>https://yt3.ggpht.com/a/AATXAJwzfDqMgRBv8rR2KfGGol84uj3I9AJK8LADbw=s88-c-k-c0xffffffff-no-rj-mo</v>
      </c>
      <c r="AL12" s="79">
        <v>0</v>
      </c>
      <c r="AM12" s="79">
        <v>0</v>
      </c>
      <c r="AN12" s="79">
        <v>0</v>
      </c>
      <c r="AO12" s="79" t="b">
        <v>0</v>
      </c>
      <c r="AP12" s="79">
        <v>0</v>
      </c>
      <c r="AQ12" s="79"/>
      <c r="AR12" s="79"/>
      <c r="AS12" s="79" t="s">
        <v>1028</v>
      </c>
      <c r="AT12" s="81" t="str">
        <f>HYPERLINK("https://www.youtube.com/channel/UCYyKfXHo6Jho0ICP9TZFZRg")</f>
        <v>https://www.youtube.com/channel/UCYyKfXHo6Jho0ICP9TZFZRg</v>
      </c>
      <c r="AU12" s="79" t="str">
        <f>REPLACE(INDEX(GroupVertices[Group],MATCH(Vertices[[#This Row],[Vertex]],GroupVertices[Vertex],0)),1,1,"")</f>
        <v>2</v>
      </c>
      <c r="AV12" s="48">
        <v>3</v>
      </c>
      <c r="AW12" s="49">
        <v>13.043478260869565</v>
      </c>
      <c r="AX12" s="48">
        <v>0</v>
      </c>
      <c r="AY12" s="49">
        <v>0</v>
      </c>
      <c r="AZ12" s="48">
        <v>0</v>
      </c>
      <c r="BA12" s="49">
        <v>0</v>
      </c>
      <c r="BB12" s="48">
        <v>20</v>
      </c>
      <c r="BC12" s="49">
        <v>86.95652173913044</v>
      </c>
      <c r="BD12" s="48">
        <v>23</v>
      </c>
      <c r="BE12" s="48"/>
      <c r="BF12" s="48"/>
      <c r="BG12" s="48"/>
      <c r="BH12" s="48"/>
      <c r="BI12" s="48"/>
      <c r="BJ12" s="48"/>
      <c r="BK12" s="121" t="s">
        <v>1664</v>
      </c>
      <c r="BL12" s="121" t="s">
        <v>1664</v>
      </c>
      <c r="BM12" s="121" t="s">
        <v>1787</v>
      </c>
      <c r="BN12" s="121" t="s">
        <v>1787</v>
      </c>
      <c r="BO12" s="2"/>
      <c r="BP12" s="3"/>
      <c r="BQ12" s="3"/>
      <c r="BR12" s="3"/>
      <c r="BS12" s="3"/>
    </row>
    <row r="13" spans="1:71" ht="15">
      <c r="A13" s="65" t="s">
        <v>222</v>
      </c>
      <c r="B13" s="66"/>
      <c r="C13" s="66"/>
      <c r="D13" s="67">
        <v>600</v>
      </c>
      <c r="E13" s="69"/>
      <c r="F13" s="99" t="str">
        <f>HYPERLINK("https://yt3.ggpht.com/a/AATXAJzgdEv-hibYy_gXqNYhZbPcEL17IW-yJ1WV_Q=s88-c-k-c0xffffffff-no-rj-mo")</f>
        <v>https://yt3.ggpht.com/a/AATXAJzgdEv-hibYy_gXqNYhZbPcEL17IW-yJ1WV_Q=s88-c-k-c0xffffffff-no-rj-mo</v>
      </c>
      <c r="G13" s="66"/>
      <c r="H13" s="70" t="s">
        <v>563</v>
      </c>
      <c r="I13" s="71"/>
      <c r="J13" s="71"/>
      <c r="K13" s="70" t="s">
        <v>563</v>
      </c>
      <c r="L13" s="74">
        <v>909.9090909090909</v>
      </c>
      <c r="M13" s="75">
        <v>934.9137573242188</v>
      </c>
      <c r="N13" s="75">
        <v>204.4596710205078</v>
      </c>
      <c r="O13" s="76"/>
      <c r="P13" s="77"/>
      <c r="Q13" s="77"/>
      <c r="R13" s="85"/>
      <c r="S13" s="48">
        <v>1</v>
      </c>
      <c r="T13" s="48">
        <v>1</v>
      </c>
      <c r="U13" s="49">
        <v>0</v>
      </c>
      <c r="V13" s="49">
        <v>0.037037</v>
      </c>
      <c r="W13" s="49">
        <v>0.064297</v>
      </c>
      <c r="X13" s="49">
        <v>0.556884</v>
      </c>
      <c r="Y13" s="49">
        <v>0</v>
      </c>
      <c r="Z13" s="49">
        <v>1</v>
      </c>
      <c r="AA13" s="72">
        <v>13</v>
      </c>
      <c r="AB13" s="72"/>
      <c r="AC13" s="73"/>
      <c r="AD13" s="79" t="s">
        <v>563</v>
      </c>
      <c r="AE13" s="79"/>
      <c r="AF13" s="79"/>
      <c r="AG13" s="79"/>
      <c r="AH13" s="79"/>
      <c r="AI13" s="79"/>
      <c r="AJ13" s="83">
        <v>41085.93409722222</v>
      </c>
      <c r="AK13" s="81" t="str">
        <f>HYPERLINK("https://yt3.ggpht.com/a/AATXAJzgdEv-hibYy_gXqNYhZbPcEL17IW-yJ1WV_Q=s88-c-k-c0xffffffff-no-rj-mo")</f>
        <v>https://yt3.ggpht.com/a/AATXAJzgdEv-hibYy_gXqNYhZbPcEL17IW-yJ1WV_Q=s88-c-k-c0xffffffff-no-rj-mo</v>
      </c>
      <c r="AL13" s="79">
        <v>0</v>
      </c>
      <c r="AM13" s="79">
        <v>0</v>
      </c>
      <c r="AN13" s="79">
        <v>0</v>
      </c>
      <c r="AO13" s="79" t="b">
        <v>0</v>
      </c>
      <c r="AP13" s="79">
        <v>0</v>
      </c>
      <c r="AQ13" s="79"/>
      <c r="AR13" s="79"/>
      <c r="AS13" s="79" t="s">
        <v>1028</v>
      </c>
      <c r="AT13" s="81" t="str">
        <f>HYPERLINK("https://www.youtube.com/channel/UCHVkfQ6eBHYzyRh0LLjpNpg")</f>
        <v>https://www.youtube.com/channel/UCHVkfQ6eBHYzyRh0LLjpNpg</v>
      </c>
      <c r="AU13" s="79" t="str">
        <f>REPLACE(INDEX(GroupVertices[Group],MATCH(Vertices[[#This Row],[Vertex]],GroupVertices[Vertex],0)),1,1,"")</f>
        <v>2</v>
      </c>
      <c r="AV13" s="48">
        <v>1</v>
      </c>
      <c r="AW13" s="49">
        <v>100</v>
      </c>
      <c r="AX13" s="48">
        <v>0</v>
      </c>
      <c r="AY13" s="49">
        <v>0</v>
      </c>
      <c r="AZ13" s="48">
        <v>0</v>
      </c>
      <c r="BA13" s="49">
        <v>0</v>
      </c>
      <c r="BB13" s="48">
        <v>0</v>
      </c>
      <c r="BC13" s="49">
        <v>0</v>
      </c>
      <c r="BD13" s="48">
        <v>1</v>
      </c>
      <c r="BE13" s="48"/>
      <c r="BF13" s="48"/>
      <c r="BG13" s="48"/>
      <c r="BH13" s="48"/>
      <c r="BI13" s="48"/>
      <c r="BJ13" s="48"/>
      <c r="BK13" s="121" t="s">
        <v>1204</v>
      </c>
      <c r="BL13" s="121" t="s">
        <v>1204</v>
      </c>
      <c r="BM13" s="121" t="s">
        <v>1544</v>
      </c>
      <c r="BN13" s="121" t="s">
        <v>1544</v>
      </c>
      <c r="BO13" s="2"/>
      <c r="BP13" s="3"/>
      <c r="BQ13" s="3"/>
      <c r="BR13" s="3"/>
      <c r="BS13" s="3"/>
    </row>
    <row r="14" spans="1:71" ht="15">
      <c r="A14" s="65" t="s">
        <v>223</v>
      </c>
      <c r="B14" s="66"/>
      <c r="C14" s="66"/>
      <c r="D14" s="67">
        <v>600</v>
      </c>
      <c r="E14" s="69"/>
      <c r="F14" s="99" t="str">
        <f>HYPERLINK("https://yt3.ggpht.com/a/AATXAJyz0PiFWByjVu6HclVesQKY3jdH9gJ9WIfZKnYIBA=s88-c-k-c0xffffffff-no-rj-mo")</f>
        <v>https://yt3.ggpht.com/a/AATXAJyz0PiFWByjVu6HclVesQKY3jdH9gJ9WIfZKnYIBA=s88-c-k-c0xffffffff-no-rj-mo</v>
      </c>
      <c r="G14" s="66"/>
      <c r="H14" s="70" t="s">
        <v>564</v>
      </c>
      <c r="I14" s="71"/>
      <c r="J14" s="71"/>
      <c r="K14" s="70" t="s">
        <v>564</v>
      </c>
      <c r="L14" s="74">
        <v>909.9090909090909</v>
      </c>
      <c r="M14" s="75">
        <v>1886.388916015625</v>
      </c>
      <c r="N14" s="75">
        <v>204.4596710205078</v>
      </c>
      <c r="O14" s="76"/>
      <c r="P14" s="77"/>
      <c r="Q14" s="77"/>
      <c r="R14" s="85"/>
      <c r="S14" s="48">
        <v>1</v>
      </c>
      <c r="T14" s="48">
        <v>1</v>
      </c>
      <c r="U14" s="49">
        <v>0</v>
      </c>
      <c r="V14" s="49">
        <v>0.037037</v>
      </c>
      <c r="W14" s="49">
        <v>0.064297</v>
      </c>
      <c r="X14" s="49">
        <v>0.556884</v>
      </c>
      <c r="Y14" s="49">
        <v>0</v>
      </c>
      <c r="Z14" s="49">
        <v>1</v>
      </c>
      <c r="AA14" s="72">
        <v>14</v>
      </c>
      <c r="AB14" s="72"/>
      <c r="AC14" s="73"/>
      <c r="AD14" s="79" t="s">
        <v>564</v>
      </c>
      <c r="AE14" s="79"/>
      <c r="AF14" s="79"/>
      <c r="AG14" s="79"/>
      <c r="AH14" s="79"/>
      <c r="AI14" s="79"/>
      <c r="AJ14" s="83">
        <v>40465.50908564815</v>
      </c>
      <c r="AK14" s="81" t="str">
        <f>HYPERLINK("https://yt3.ggpht.com/a/AATXAJyz0PiFWByjVu6HclVesQKY3jdH9gJ9WIfZKnYIBA=s88-c-k-c0xffffffff-no-rj-mo")</f>
        <v>https://yt3.ggpht.com/a/AATXAJyz0PiFWByjVu6HclVesQKY3jdH9gJ9WIfZKnYIBA=s88-c-k-c0xffffffff-no-rj-mo</v>
      </c>
      <c r="AL14" s="79">
        <v>377</v>
      </c>
      <c r="AM14" s="79">
        <v>0</v>
      </c>
      <c r="AN14" s="79">
        <v>1</v>
      </c>
      <c r="AO14" s="79" t="b">
        <v>0</v>
      </c>
      <c r="AP14" s="79">
        <v>3</v>
      </c>
      <c r="AQ14" s="79"/>
      <c r="AR14" s="79"/>
      <c r="AS14" s="79" t="s">
        <v>1028</v>
      </c>
      <c r="AT14" s="81" t="str">
        <f>HYPERLINK("https://www.youtube.com/channel/UCIOXfx8ziM1LrWylHIsrN0Q")</f>
        <v>https://www.youtube.com/channel/UCIOXfx8ziM1LrWylHIsrN0Q</v>
      </c>
      <c r="AU14" s="79" t="str">
        <f>REPLACE(INDEX(GroupVertices[Group],MATCH(Vertices[[#This Row],[Vertex]],GroupVertices[Vertex],0)),1,1,"")</f>
        <v>2</v>
      </c>
      <c r="AV14" s="48">
        <v>0</v>
      </c>
      <c r="AW14" s="49">
        <v>0</v>
      </c>
      <c r="AX14" s="48">
        <v>0</v>
      </c>
      <c r="AY14" s="49">
        <v>0</v>
      </c>
      <c r="AZ14" s="48">
        <v>0</v>
      </c>
      <c r="BA14" s="49">
        <v>0</v>
      </c>
      <c r="BB14" s="48">
        <v>47</v>
      </c>
      <c r="BC14" s="49">
        <v>100</v>
      </c>
      <c r="BD14" s="48">
        <v>47</v>
      </c>
      <c r="BE14" s="48"/>
      <c r="BF14" s="48"/>
      <c r="BG14" s="48"/>
      <c r="BH14" s="48"/>
      <c r="BI14" s="48"/>
      <c r="BJ14" s="48"/>
      <c r="BK14" s="121" t="s">
        <v>1665</v>
      </c>
      <c r="BL14" s="121" t="s">
        <v>1665</v>
      </c>
      <c r="BM14" s="121" t="s">
        <v>1788</v>
      </c>
      <c r="BN14" s="121" t="s">
        <v>1788</v>
      </c>
      <c r="BO14" s="2"/>
      <c r="BP14" s="3"/>
      <c r="BQ14" s="3"/>
      <c r="BR14" s="3"/>
      <c r="BS14" s="3"/>
    </row>
    <row r="15" spans="1:71" ht="15">
      <c r="A15" s="65" t="s">
        <v>224</v>
      </c>
      <c r="B15" s="66"/>
      <c r="C15" s="66"/>
      <c r="D15" s="67">
        <v>1000</v>
      </c>
      <c r="E15" s="69"/>
      <c r="F15" s="99" t="str">
        <f>HYPERLINK("https://yt3.ggpht.com/a/AATXAJxl49PwH4CQZ59U9nBWwGA8npbabvLoV98uQeRl5A=s88-c-k-c0xffffffff-no-rj-mo")</f>
        <v>https://yt3.ggpht.com/a/AATXAJxl49PwH4CQZ59U9nBWwGA8npbabvLoV98uQeRl5A=s88-c-k-c0xffffffff-no-rj-mo</v>
      </c>
      <c r="G15" s="66"/>
      <c r="H15" s="70" t="s">
        <v>565</v>
      </c>
      <c r="I15" s="71"/>
      <c r="J15" s="71"/>
      <c r="K15" s="70" t="s">
        <v>565</v>
      </c>
      <c r="L15" s="74">
        <v>2727.7272727272725</v>
      </c>
      <c r="M15" s="75">
        <v>3908.940673828125</v>
      </c>
      <c r="N15" s="75">
        <v>7925.5546875</v>
      </c>
      <c r="O15" s="76"/>
      <c r="P15" s="77"/>
      <c r="Q15" s="77"/>
      <c r="R15" s="85"/>
      <c r="S15" s="48">
        <v>3</v>
      </c>
      <c r="T15" s="48">
        <v>3</v>
      </c>
      <c r="U15" s="49">
        <v>38</v>
      </c>
      <c r="V15" s="49">
        <v>0.03125</v>
      </c>
      <c r="W15" s="49">
        <v>0</v>
      </c>
      <c r="X15" s="49">
        <v>1.531161</v>
      </c>
      <c r="Y15" s="49">
        <v>0</v>
      </c>
      <c r="Z15" s="49">
        <v>1</v>
      </c>
      <c r="AA15" s="72">
        <v>15</v>
      </c>
      <c r="AB15" s="72"/>
      <c r="AC15" s="73"/>
      <c r="AD15" s="79" t="s">
        <v>565</v>
      </c>
      <c r="AE15" s="79"/>
      <c r="AF15" s="79"/>
      <c r="AG15" s="79"/>
      <c r="AH15" s="79"/>
      <c r="AI15" s="79"/>
      <c r="AJ15" s="83">
        <v>41872.47539351852</v>
      </c>
      <c r="AK15" s="81" t="str">
        <f>HYPERLINK("https://yt3.ggpht.com/a/AATXAJxl49PwH4CQZ59U9nBWwGA8npbabvLoV98uQeRl5A=s88-c-k-c0xffffffff-no-rj-mo")</f>
        <v>https://yt3.ggpht.com/a/AATXAJxl49PwH4CQZ59U9nBWwGA8npbabvLoV98uQeRl5A=s88-c-k-c0xffffffff-no-rj-mo</v>
      </c>
      <c r="AL15" s="79">
        <v>20153</v>
      </c>
      <c r="AM15" s="79">
        <v>0</v>
      </c>
      <c r="AN15" s="79">
        <v>1360</v>
      </c>
      <c r="AO15" s="79" t="b">
        <v>0</v>
      </c>
      <c r="AP15" s="79">
        <v>56</v>
      </c>
      <c r="AQ15" s="79"/>
      <c r="AR15" s="79"/>
      <c r="AS15" s="79" t="s">
        <v>1028</v>
      </c>
      <c r="AT15" s="81" t="str">
        <f>HYPERLINK("https://www.youtube.com/channel/UCIUV3lP4RQEOqbY1funMH3w")</f>
        <v>https://www.youtube.com/channel/UCIUV3lP4RQEOqbY1funMH3w</v>
      </c>
      <c r="AU15" s="79" t="str">
        <f>REPLACE(INDEX(GroupVertices[Group],MATCH(Vertices[[#This Row],[Vertex]],GroupVertices[Vertex],0)),1,1,"")</f>
        <v>3</v>
      </c>
      <c r="AV15" s="48">
        <v>3</v>
      </c>
      <c r="AW15" s="49">
        <v>15.789473684210526</v>
      </c>
      <c r="AX15" s="48">
        <v>0</v>
      </c>
      <c r="AY15" s="49">
        <v>0</v>
      </c>
      <c r="AZ15" s="48">
        <v>0</v>
      </c>
      <c r="BA15" s="49">
        <v>0</v>
      </c>
      <c r="BB15" s="48">
        <v>16</v>
      </c>
      <c r="BC15" s="49">
        <v>84.21052631578948</v>
      </c>
      <c r="BD15" s="48">
        <v>19</v>
      </c>
      <c r="BE15" s="48"/>
      <c r="BF15" s="48"/>
      <c r="BG15" s="48"/>
      <c r="BH15" s="48"/>
      <c r="BI15" s="48"/>
      <c r="BJ15" s="48"/>
      <c r="BK15" s="121" t="s">
        <v>1666</v>
      </c>
      <c r="BL15" s="121" t="s">
        <v>1666</v>
      </c>
      <c r="BM15" s="121" t="s">
        <v>1789</v>
      </c>
      <c r="BN15" s="121" t="s">
        <v>1789</v>
      </c>
      <c r="BO15" s="2"/>
      <c r="BP15" s="3"/>
      <c r="BQ15" s="3"/>
      <c r="BR15" s="3"/>
      <c r="BS15" s="3"/>
    </row>
    <row r="16" spans="1:71" ht="15">
      <c r="A16" s="65" t="s">
        <v>225</v>
      </c>
      <c r="B16" s="66"/>
      <c r="C16" s="66"/>
      <c r="D16" s="67">
        <v>600</v>
      </c>
      <c r="E16" s="69"/>
      <c r="F16" s="99" t="str">
        <f>HYPERLINK("https://yt3.ggpht.com/a/AATXAJyCxOw2uGs59AeltH-R5jF4pdtMLf5M4EdDNw=s88-c-k-c0xffffffff-no-rj-mo")</f>
        <v>https://yt3.ggpht.com/a/AATXAJyCxOw2uGs59AeltH-R5jF4pdtMLf5M4EdDNw=s88-c-k-c0xffffffff-no-rj-mo</v>
      </c>
      <c r="G16" s="66"/>
      <c r="H16" s="70" t="s">
        <v>566</v>
      </c>
      <c r="I16" s="71"/>
      <c r="J16" s="71"/>
      <c r="K16" s="70" t="s">
        <v>566</v>
      </c>
      <c r="L16" s="74">
        <v>909.9090909090909</v>
      </c>
      <c r="M16" s="75">
        <v>3502.83447265625</v>
      </c>
      <c r="N16" s="75">
        <v>8296.00390625</v>
      </c>
      <c r="O16" s="76"/>
      <c r="P16" s="77"/>
      <c r="Q16" s="77"/>
      <c r="R16" s="85"/>
      <c r="S16" s="48">
        <v>1</v>
      </c>
      <c r="T16" s="48">
        <v>1</v>
      </c>
      <c r="U16" s="49">
        <v>0</v>
      </c>
      <c r="V16" s="49">
        <v>0.02381</v>
      </c>
      <c r="W16" s="49">
        <v>0</v>
      </c>
      <c r="X16" s="49">
        <v>0.583829</v>
      </c>
      <c r="Y16" s="49">
        <v>0</v>
      </c>
      <c r="Z16" s="49">
        <v>1</v>
      </c>
      <c r="AA16" s="72">
        <v>16</v>
      </c>
      <c r="AB16" s="72"/>
      <c r="AC16" s="73"/>
      <c r="AD16" s="79" t="s">
        <v>566</v>
      </c>
      <c r="AE16" s="79"/>
      <c r="AF16" s="79"/>
      <c r="AG16" s="79"/>
      <c r="AH16" s="79"/>
      <c r="AI16" s="79"/>
      <c r="AJ16" s="83">
        <v>42627.409525462965</v>
      </c>
      <c r="AK16" s="81" t="str">
        <f>HYPERLINK("https://yt3.ggpht.com/a/AATXAJyCxOw2uGs59AeltH-R5jF4pdtMLf5M4EdDNw=s88-c-k-c0xffffffff-no-rj-mo")</f>
        <v>https://yt3.ggpht.com/a/AATXAJyCxOw2uGs59AeltH-R5jF4pdtMLf5M4EdDNw=s88-c-k-c0xffffffff-no-rj-mo</v>
      </c>
      <c r="AL16" s="79">
        <v>0</v>
      </c>
      <c r="AM16" s="79">
        <v>0</v>
      </c>
      <c r="AN16" s="79">
        <v>0</v>
      </c>
      <c r="AO16" s="79" t="b">
        <v>0</v>
      </c>
      <c r="AP16" s="79">
        <v>0</v>
      </c>
      <c r="AQ16" s="79"/>
      <c r="AR16" s="79"/>
      <c r="AS16" s="79" t="s">
        <v>1028</v>
      </c>
      <c r="AT16" s="81" t="str">
        <f>HYPERLINK("https://www.youtube.com/channel/UCQgAbIWD4HdKm-HJ91VvZuw")</f>
        <v>https://www.youtube.com/channel/UCQgAbIWD4HdKm-HJ91VvZuw</v>
      </c>
      <c r="AU16" s="79" t="str">
        <f>REPLACE(INDEX(GroupVertices[Group],MATCH(Vertices[[#This Row],[Vertex]],GroupVertices[Vertex],0)),1,1,"")</f>
        <v>3</v>
      </c>
      <c r="AV16" s="48">
        <v>1</v>
      </c>
      <c r="AW16" s="49">
        <v>50</v>
      </c>
      <c r="AX16" s="48">
        <v>0</v>
      </c>
      <c r="AY16" s="49">
        <v>0</v>
      </c>
      <c r="AZ16" s="48">
        <v>0</v>
      </c>
      <c r="BA16" s="49">
        <v>0</v>
      </c>
      <c r="BB16" s="48">
        <v>1</v>
      </c>
      <c r="BC16" s="49">
        <v>50</v>
      </c>
      <c r="BD16" s="48">
        <v>2</v>
      </c>
      <c r="BE16" s="48"/>
      <c r="BF16" s="48"/>
      <c r="BG16" s="48"/>
      <c r="BH16" s="48"/>
      <c r="BI16" s="48"/>
      <c r="BJ16" s="48"/>
      <c r="BK16" s="121" t="s">
        <v>1217</v>
      </c>
      <c r="BL16" s="121" t="s">
        <v>1217</v>
      </c>
      <c r="BM16" s="121" t="s">
        <v>1544</v>
      </c>
      <c r="BN16" s="121" t="s">
        <v>1544</v>
      </c>
      <c r="BO16" s="2"/>
      <c r="BP16" s="3"/>
      <c r="BQ16" s="3"/>
      <c r="BR16" s="3"/>
      <c r="BS16" s="3"/>
    </row>
    <row r="17" spans="1:71" ht="15">
      <c r="A17" s="65" t="s">
        <v>226</v>
      </c>
      <c r="B17" s="66"/>
      <c r="C17" s="66"/>
      <c r="D17" s="67">
        <v>200</v>
      </c>
      <c r="E17" s="69"/>
      <c r="F17" s="99" t="str">
        <f>HYPERLINK("https://yt3.ggpht.com/a/AATXAJzEsuaKtrVw1zlyS6KypQvX4HDK-Fq8ElD-7Q=s88-c-k-c0xffffffff-no-rj-mo")</f>
        <v>https://yt3.ggpht.com/a/AATXAJzEsuaKtrVw1zlyS6KypQvX4HDK-Fq8ElD-7Q=s88-c-k-c0xffffffff-no-rj-mo</v>
      </c>
      <c r="G17" s="66"/>
      <c r="H17" s="70" t="s">
        <v>567</v>
      </c>
      <c r="I17" s="71"/>
      <c r="J17" s="71"/>
      <c r="K17" s="70" t="s">
        <v>567</v>
      </c>
      <c r="L17" s="74">
        <v>1</v>
      </c>
      <c r="M17" s="75">
        <v>3502.83447265625</v>
      </c>
      <c r="N17" s="75">
        <v>148.10658264160156</v>
      </c>
      <c r="O17" s="76"/>
      <c r="P17" s="77"/>
      <c r="Q17" s="77"/>
      <c r="R17" s="85"/>
      <c r="S17" s="48">
        <v>0</v>
      </c>
      <c r="T17" s="48">
        <v>1</v>
      </c>
      <c r="U17" s="49">
        <v>0</v>
      </c>
      <c r="V17" s="49">
        <v>0.0625</v>
      </c>
      <c r="W17" s="49">
        <v>0</v>
      </c>
      <c r="X17" s="49">
        <v>0.568597</v>
      </c>
      <c r="Y17" s="49">
        <v>0</v>
      </c>
      <c r="Z17" s="49">
        <v>0</v>
      </c>
      <c r="AA17" s="72">
        <v>17</v>
      </c>
      <c r="AB17" s="72"/>
      <c r="AC17" s="73"/>
      <c r="AD17" s="79" t="s">
        <v>567</v>
      </c>
      <c r="AE17" s="79"/>
      <c r="AF17" s="79"/>
      <c r="AG17" s="79"/>
      <c r="AH17" s="79"/>
      <c r="AI17" s="79"/>
      <c r="AJ17" s="83">
        <v>43766.67673611111</v>
      </c>
      <c r="AK17" s="81" t="str">
        <f>HYPERLINK("https://yt3.ggpht.com/a/AATXAJzEsuaKtrVw1zlyS6KypQvX4HDK-Fq8ElD-7Q=s88-c-k-c0xffffffff-no-rj-mo")</f>
        <v>https://yt3.ggpht.com/a/AATXAJzEsuaKtrVw1zlyS6KypQvX4HDK-Fq8ElD-7Q=s88-c-k-c0xffffffff-no-rj-mo</v>
      </c>
      <c r="AL17" s="79">
        <v>0</v>
      </c>
      <c r="AM17" s="79">
        <v>0</v>
      </c>
      <c r="AN17" s="79">
        <v>0</v>
      </c>
      <c r="AO17" s="79" t="b">
        <v>0</v>
      </c>
      <c r="AP17" s="79">
        <v>0</v>
      </c>
      <c r="AQ17" s="79"/>
      <c r="AR17" s="79"/>
      <c r="AS17" s="79" t="s">
        <v>1028</v>
      </c>
      <c r="AT17" s="81" t="str">
        <f>HYPERLINK("https://www.youtube.com/channel/UCHuFeq6O8IE77zuClBDkATg")</f>
        <v>https://www.youtube.com/channel/UCHuFeq6O8IE77zuClBDkATg</v>
      </c>
      <c r="AU17" s="79" t="str">
        <f>REPLACE(INDEX(GroupVertices[Group],MATCH(Vertices[[#This Row],[Vertex]],GroupVertices[Vertex],0)),1,1,"")</f>
        <v>7</v>
      </c>
      <c r="AV17" s="48">
        <v>0</v>
      </c>
      <c r="AW17" s="49">
        <v>0</v>
      </c>
      <c r="AX17" s="48">
        <v>0</v>
      </c>
      <c r="AY17" s="49">
        <v>0</v>
      </c>
      <c r="AZ17" s="48">
        <v>0</v>
      </c>
      <c r="BA17" s="49">
        <v>0</v>
      </c>
      <c r="BB17" s="48">
        <v>24</v>
      </c>
      <c r="BC17" s="49">
        <v>100</v>
      </c>
      <c r="BD17" s="48">
        <v>24</v>
      </c>
      <c r="BE17" s="48"/>
      <c r="BF17" s="48"/>
      <c r="BG17" s="48"/>
      <c r="BH17" s="48"/>
      <c r="BI17" s="48"/>
      <c r="BJ17" s="48"/>
      <c r="BK17" s="121" t="s">
        <v>1667</v>
      </c>
      <c r="BL17" s="121" t="s">
        <v>1667</v>
      </c>
      <c r="BM17" s="121" t="s">
        <v>1790</v>
      </c>
      <c r="BN17" s="121" t="s">
        <v>1790</v>
      </c>
      <c r="BO17" s="2"/>
      <c r="BP17" s="3"/>
      <c r="BQ17" s="3"/>
      <c r="BR17" s="3"/>
      <c r="BS17" s="3"/>
    </row>
    <row r="18" spans="1:71" ht="15">
      <c r="A18" s="65" t="s">
        <v>227</v>
      </c>
      <c r="B18" s="66"/>
      <c r="C18" s="66"/>
      <c r="D18" s="67">
        <v>600</v>
      </c>
      <c r="E18" s="69"/>
      <c r="F18" s="99" t="str">
        <f>HYPERLINK("https://yt3.ggpht.com/a/AATXAJycLPb9LXaxFQl7fjpziVKoMf4NmNvLG7X1QQ=s88-c-k-c0xffffffff-no-rj-mo")</f>
        <v>https://yt3.ggpht.com/a/AATXAJycLPb9LXaxFQl7fjpziVKoMf4NmNvLG7X1QQ=s88-c-k-c0xffffffff-no-rj-mo</v>
      </c>
      <c r="G18" s="66"/>
      <c r="H18" s="70" t="s">
        <v>568</v>
      </c>
      <c r="I18" s="71"/>
      <c r="J18" s="71"/>
      <c r="K18" s="70" t="s">
        <v>568</v>
      </c>
      <c r="L18" s="74">
        <v>909.9090909090909</v>
      </c>
      <c r="M18" s="75">
        <v>3996.141357421875</v>
      </c>
      <c r="N18" s="75">
        <v>618.6159057617188</v>
      </c>
      <c r="O18" s="76"/>
      <c r="P18" s="77"/>
      <c r="Q18" s="77"/>
      <c r="R18" s="85"/>
      <c r="S18" s="48">
        <v>1</v>
      </c>
      <c r="T18" s="48">
        <v>1</v>
      </c>
      <c r="U18" s="49">
        <v>10</v>
      </c>
      <c r="V18" s="49">
        <v>0.090909</v>
      </c>
      <c r="W18" s="49">
        <v>0</v>
      </c>
      <c r="X18" s="49">
        <v>0.984936</v>
      </c>
      <c r="Y18" s="49">
        <v>0</v>
      </c>
      <c r="Z18" s="49">
        <v>0</v>
      </c>
      <c r="AA18" s="72">
        <v>18</v>
      </c>
      <c r="AB18" s="72"/>
      <c r="AC18" s="73"/>
      <c r="AD18" s="79" t="s">
        <v>568</v>
      </c>
      <c r="AE18" s="79"/>
      <c r="AF18" s="79"/>
      <c r="AG18" s="79"/>
      <c r="AH18" s="79"/>
      <c r="AI18" s="79"/>
      <c r="AJ18" s="83">
        <v>40328.430231481485</v>
      </c>
      <c r="AK18" s="81" t="str">
        <f>HYPERLINK("https://yt3.ggpht.com/a/AATXAJycLPb9LXaxFQl7fjpziVKoMf4NmNvLG7X1QQ=s88-c-k-c0xffffffff-no-rj-mo")</f>
        <v>https://yt3.ggpht.com/a/AATXAJycLPb9LXaxFQl7fjpziVKoMf4NmNvLG7X1QQ=s88-c-k-c0xffffffff-no-rj-mo</v>
      </c>
      <c r="AL18" s="79">
        <v>227</v>
      </c>
      <c r="AM18" s="79">
        <v>0</v>
      </c>
      <c r="AN18" s="79">
        <v>1</v>
      </c>
      <c r="AO18" s="79" t="b">
        <v>0</v>
      </c>
      <c r="AP18" s="79">
        <v>15</v>
      </c>
      <c r="AQ18" s="79"/>
      <c r="AR18" s="79"/>
      <c r="AS18" s="79" t="s">
        <v>1028</v>
      </c>
      <c r="AT18" s="81" t="str">
        <f>HYPERLINK("https://www.youtube.com/channel/UCMHwup1V_k48AWCCFNe2yqQ")</f>
        <v>https://www.youtube.com/channel/UCMHwup1V_k48AWCCFNe2yqQ</v>
      </c>
      <c r="AU18" s="79" t="str">
        <f>REPLACE(INDEX(GroupVertices[Group],MATCH(Vertices[[#This Row],[Vertex]],GroupVertices[Vertex],0)),1,1,"")</f>
        <v>7</v>
      </c>
      <c r="AV18" s="48">
        <v>2</v>
      </c>
      <c r="AW18" s="49">
        <v>4.761904761904762</v>
      </c>
      <c r="AX18" s="48">
        <v>0</v>
      </c>
      <c r="AY18" s="49">
        <v>0</v>
      </c>
      <c r="AZ18" s="48">
        <v>0</v>
      </c>
      <c r="BA18" s="49">
        <v>0</v>
      </c>
      <c r="BB18" s="48">
        <v>40</v>
      </c>
      <c r="BC18" s="49">
        <v>95.23809523809524</v>
      </c>
      <c r="BD18" s="48">
        <v>42</v>
      </c>
      <c r="BE18" s="48"/>
      <c r="BF18" s="48"/>
      <c r="BG18" s="48"/>
      <c r="BH18" s="48"/>
      <c r="BI18" s="48"/>
      <c r="BJ18" s="48"/>
      <c r="BK18" s="121" t="s">
        <v>1668</v>
      </c>
      <c r="BL18" s="121" t="s">
        <v>1668</v>
      </c>
      <c r="BM18" s="121" t="s">
        <v>1791</v>
      </c>
      <c r="BN18" s="121" t="s">
        <v>1791</v>
      </c>
      <c r="BO18" s="2"/>
      <c r="BP18" s="3"/>
      <c r="BQ18" s="3"/>
      <c r="BR18" s="3"/>
      <c r="BS18" s="3"/>
    </row>
    <row r="19" spans="1:71" ht="15">
      <c r="A19" s="65" t="s">
        <v>328</v>
      </c>
      <c r="B19" s="66"/>
      <c r="C19" s="66"/>
      <c r="D19" s="67">
        <v>1000</v>
      </c>
      <c r="E19" s="69"/>
      <c r="F19" s="99" t="str">
        <f>HYPERLINK("https://yt3.ggpht.com/a/AATXAJzxjU53ldjMBD60NaigvNI-4kflq4f11q4KKaOB=s88-c-k-c0xffffffff-no-rj-mo")</f>
        <v>https://yt3.ggpht.com/a/AATXAJzxjU53ldjMBD60NaigvNI-4kflq4f11q4KKaOB=s88-c-k-c0xffffffff-no-rj-mo</v>
      </c>
      <c r="G19" s="66"/>
      <c r="H19" s="70" t="s">
        <v>875</v>
      </c>
      <c r="I19" s="71"/>
      <c r="J19" s="71"/>
      <c r="K19" s="70" t="s">
        <v>875</v>
      </c>
      <c r="L19" s="74">
        <v>3636.6363636363635</v>
      </c>
      <c r="M19" s="75">
        <v>4505.3603515625</v>
      </c>
      <c r="N19" s="75">
        <v>1108.389892578125</v>
      </c>
      <c r="O19" s="76"/>
      <c r="P19" s="77"/>
      <c r="Q19" s="77"/>
      <c r="R19" s="85"/>
      <c r="S19" s="48">
        <v>4</v>
      </c>
      <c r="T19" s="48">
        <v>0</v>
      </c>
      <c r="U19" s="49">
        <v>19</v>
      </c>
      <c r="V19" s="49">
        <v>0.125</v>
      </c>
      <c r="W19" s="49">
        <v>0</v>
      </c>
      <c r="X19" s="49">
        <v>1.654722</v>
      </c>
      <c r="Y19" s="49">
        <v>0</v>
      </c>
      <c r="Z19" s="49">
        <v>0</v>
      </c>
      <c r="AA19" s="72">
        <v>19</v>
      </c>
      <c r="AB19" s="72"/>
      <c r="AC19" s="73"/>
      <c r="AD19" s="79" t="s">
        <v>875</v>
      </c>
      <c r="AE19" s="79" t="s">
        <v>920</v>
      </c>
      <c r="AF19" s="79"/>
      <c r="AG19" s="79"/>
      <c r="AH19" s="79"/>
      <c r="AI19" s="79" t="s">
        <v>985</v>
      </c>
      <c r="AJ19" s="83">
        <v>42511.149664351855</v>
      </c>
      <c r="AK19" s="81" t="str">
        <f>HYPERLINK("https://yt3.ggpht.com/a/AATXAJzxjU53ldjMBD60NaigvNI-4kflq4f11q4KKaOB=s88-c-k-c0xffffffff-no-rj-mo")</f>
        <v>https://yt3.ggpht.com/a/AATXAJzxjU53ldjMBD60NaigvNI-4kflq4f11q4KKaOB=s88-c-k-c0xffffffff-no-rj-mo</v>
      </c>
      <c r="AL19" s="79">
        <v>4367255</v>
      </c>
      <c r="AM19" s="79">
        <v>0</v>
      </c>
      <c r="AN19" s="79">
        <v>34500</v>
      </c>
      <c r="AO19" s="79" t="b">
        <v>0</v>
      </c>
      <c r="AP19" s="79">
        <v>425</v>
      </c>
      <c r="AQ19" s="79"/>
      <c r="AR19" s="79"/>
      <c r="AS19" s="79" t="s">
        <v>1028</v>
      </c>
      <c r="AT19" s="81" t="str">
        <f>HYPERLINK("https://www.youtube.com/channel/UCy2rBgj4M1tzK-urTZ28zcA")</f>
        <v>https://www.youtube.com/channel/UCy2rBgj4M1tzK-urTZ28zcA</v>
      </c>
      <c r="AU19" s="79" t="str">
        <f>REPLACE(INDEX(GroupVertices[Group],MATCH(Vertices[[#This Row],[Vertex]],GroupVertices[Vertex],0)),1,1,"")</f>
        <v>7</v>
      </c>
      <c r="AV19" s="48"/>
      <c r="AW19" s="49"/>
      <c r="AX19" s="48"/>
      <c r="AY19" s="49"/>
      <c r="AZ19" s="48"/>
      <c r="BA19" s="49"/>
      <c r="BB19" s="48"/>
      <c r="BC19" s="49"/>
      <c r="BD19" s="48"/>
      <c r="BE19" s="48"/>
      <c r="BF19" s="48"/>
      <c r="BG19" s="48"/>
      <c r="BH19" s="48"/>
      <c r="BI19" s="48"/>
      <c r="BJ19" s="48"/>
      <c r="BK19" s="48"/>
      <c r="BL19" s="48"/>
      <c r="BM19" s="48"/>
      <c r="BN19" s="48"/>
      <c r="BO19" s="2"/>
      <c r="BP19" s="3"/>
      <c r="BQ19" s="3"/>
      <c r="BR19" s="3"/>
      <c r="BS19" s="3"/>
    </row>
    <row r="20" spans="1:71" ht="15">
      <c r="A20" s="65" t="s">
        <v>228</v>
      </c>
      <c r="B20" s="66"/>
      <c r="C20" s="66"/>
      <c r="D20" s="67">
        <v>1000</v>
      </c>
      <c r="E20" s="69"/>
      <c r="F20" s="99" t="str">
        <f>HYPERLINK("https://yt3.ggpht.com/a/AATXAJzJV5daLOPD4JtzMzh8uAfIOnyVEmkD9aNjrA=s88-c-k-c0xffffffff-no-rj-mo")</f>
        <v>https://yt3.ggpht.com/a/AATXAJzJV5daLOPD4JtzMzh8uAfIOnyVEmkD9aNjrA=s88-c-k-c0xffffffff-no-rj-mo</v>
      </c>
      <c r="G20" s="66"/>
      <c r="H20" s="70" t="s">
        <v>569</v>
      </c>
      <c r="I20" s="71"/>
      <c r="J20" s="71"/>
      <c r="K20" s="70" t="s">
        <v>569</v>
      </c>
      <c r="L20" s="74">
        <v>1818.8181818181818</v>
      </c>
      <c r="M20" s="75">
        <v>7212.654296875</v>
      </c>
      <c r="N20" s="75">
        <v>2073.491943359375</v>
      </c>
      <c r="O20" s="76"/>
      <c r="P20" s="77"/>
      <c r="Q20" s="77"/>
      <c r="R20" s="85"/>
      <c r="S20" s="48">
        <v>2</v>
      </c>
      <c r="T20" s="48">
        <v>2</v>
      </c>
      <c r="U20" s="49">
        <v>2</v>
      </c>
      <c r="V20" s="49">
        <v>0.5</v>
      </c>
      <c r="W20" s="49">
        <v>0</v>
      </c>
      <c r="X20" s="49">
        <v>1.459453</v>
      </c>
      <c r="Y20" s="49">
        <v>0</v>
      </c>
      <c r="Z20" s="49">
        <v>1</v>
      </c>
      <c r="AA20" s="72">
        <v>20</v>
      </c>
      <c r="AB20" s="72"/>
      <c r="AC20" s="73"/>
      <c r="AD20" s="79" t="s">
        <v>569</v>
      </c>
      <c r="AE20" s="79" t="s">
        <v>921</v>
      </c>
      <c r="AF20" s="79"/>
      <c r="AG20" s="79"/>
      <c r="AH20" s="79"/>
      <c r="AI20" s="79"/>
      <c r="AJ20" s="83">
        <v>42009.065833333334</v>
      </c>
      <c r="AK20" s="81" t="str">
        <f>HYPERLINK("https://yt3.ggpht.com/a/AATXAJzJV5daLOPD4JtzMzh8uAfIOnyVEmkD9aNjrA=s88-c-k-c0xffffffff-no-rj-mo")</f>
        <v>https://yt3.ggpht.com/a/AATXAJzJV5daLOPD4JtzMzh8uAfIOnyVEmkD9aNjrA=s88-c-k-c0xffffffff-no-rj-mo</v>
      </c>
      <c r="AL20" s="79">
        <v>67224</v>
      </c>
      <c r="AM20" s="79">
        <v>0</v>
      </c>
      <c r="AN20" s="79">
        <v>0</v>
      </c>
      <c r="AO20" s="79" t="b">
        <v>1</v>
      </c>
      <c r="AP20" s="79">
        <v>90</v>
      </c>
      <c r="AQ20" s="79"/>
      <c r="AR20" s="79"/>
      <c r="AS20" s="79" t="s">
        <v>1028</v>
      </c>
      <c r="AT20" s="81" t="str">
        <f>HYPERLINK("https://www.youtube.com/channel/UCz4eajnBYLumJR1qQj2SR9w")</f>
        <v>https://www.youtube.com/channel/UCz4eajnBYLumJR1qQj2SR9w</v>
      </c>
      <c r="AU20" s="79" t="str">
        <f>REPLACE(INDEX(GroupVertices[Group],MATCH(Vertices[[#This Row],[Vertex]],GroupVertices[Vertex],0)),1,1,"")</f>
        <v>19</v>
      </c>
      <c r="AV20" s="48">
        <v>0</v>
      </c>
      <c r="AW20" s="49">
        <v>0</v>
      </c>
      <c r="AX20" s="48">
        <v>0</v>
      </c>
      <c r="AY20" s="49">
        <v>0</v>
      </c>
      <c r="AZ20" s="48">
        <v>0</v>
      </c>
      <c r="BA20" s="49">
        <v>0</v>
      </c>
      <c r="BB20" s="48">
        <v>15</v>
      </c>
      <c r="BC20" s="49">
        <v>100</v>
      </c>
      <c r="BD20" s="48">
        <v>15</v>
      </c>
      <c r="BE20" s="48"/>
      <c r="BF20" s="48"/>
      <c r="BG20" s="48"/>
      <c r="BH20" s="48"/>
      <c r="BI20" s="48"/>
      <c r="BJ20" s="48"/>
      <c r="BK20" s="121" t="s">
        <v>1669</v>
      </c>
      <c r="BL20" s="121" t="s">
        <v>1763</v>
      </c>
      <c r="BM20" s="121" t="s">
        <v>1792</v>
      </c>
      <c r="BN20" s="121" t="s">
        <v>1792</v>
      </c>
      <c r="BO20" s="2"/>
      <c r="BP20" s="3"/>
      <c r="BQ20" s="3"/>
      <c r="BR20" s="3"/>
      <c r="BS20" s="3"/>
    </row>
    <row r="21" spans="1:71" ht="15">
      <c r="A21" s="65" t="s">
        <v>229</v>
      </c>
      <c r="B21" s="66"/>
      <c r="C21" s="66"/>
      <c r="D21" s="67">
        <v>600</v>
      </c>
      <c r="E21" s="69"/>
      <c r="F21" s="99" t="str">
        <f>HYPERLINK("https://yt3.ggpht.com/a/AATXAJx9zkLvQ6X_VE8-ZxbV1KulVlfqlHDNJ7Zpfg=s88-c-k-c0xffffffff-no-rj-mo")</f>
        <v>https://yt3.ggpht.com/a/AATXAJx9zkLvQ6X_VE8-ZxbV1KulVlfqlHDNJ7Zpfg=s88-c-k-c0xffffffff-no-rj-mo</v>
      </c>
      <c r="G21" s="66"/>
      <c r="H21" s="70" t="s">
        <v>570</v>
      </c>
      <c r="I21" s="71"/>
      <c r="J21" s="71"/>
      <c r="K21" s="70" t="s">
        <v>570</v>
      </c>
      <c r="L21" s="74">
        <v>909.9090909090909</v>
      </c>
      <c r="M21" s="75">
        <v>7844.22607421875</v>
      </c>
      <c r="N21" s="75">
        <v>2673.14306640625</v>
      </c>
      <c r="O21" s="76"/>
      <c r="P21" s="77"/>
      <c r="Q21" s="77"/>
      <c r="R21" s="85"/>
      <c r="S21" s="48">
        <v>1</v>
      </c>
      <c r="T21" s="48">
        <v>1</v>
      </c>
      <c r="U21" s="49">
        <v>0</v>
      </c>
      <c r="V21" s="49">
        <v>0.333333</v>
      </c>
      <c r="W21" s="49">
        <v>0</v>
      </c>
      <c r="X21" s="49">
        <v>0.770267</v>
      </c>
      <c r="Y21" s="49">
        <v>0</v>
      </c>
      <c r="Z21" s="49">
        <v>1</v>
      </c>
      <c r="AA21" s="72">
        <v>21</v>
      </c>
      <c r="AB21" s="72"/>
      <c r="AC21" s="73"/>
      <c r="AD21" s="79" t="s">
        <v>570</v>
      </c>
      <c r="AE21" s="79"/>
      <c r="AF21" s="79"/>
      <c r="AG21" s="79"/>
      <c r="AH21" s="79"/>
      <c r="AI21" s="79"/>
      <c r="AJ21" s="83">
        <v>43117.46844907408</v>
      </c>
      <c r="AK21" s="81" t="str">
        <f>HYPERLINK("https://yt3.ggpht.com/a/AATXAJx9zkLvQ6X_VE8-ZxbV1KulVlfqlHDNJ7Zpfg=s88-c-k-c0xffffffff-no-rj-mo")</f>
        <v>https://yt3.ggpht.com/a/AATXAJx9zkLvQ6X_VE8-ZxbV1KulVlfqlHDNJ7Zpfg=s88-c-k-c0xffffffff-no-rj-mo</v>
      </c>
      <c r="AL21" s="79">
        <v>0</v>
      </c>
      <c r="AM21" s="79">
        <v>0</v>
      </c>
      <c r="AN21" s="79">
        <v>1</v>
      </c>
      <c r="AO21" s="79" t="b">
        <v>0</v>
      </c>
      <c r="AP21" s="79">
        <v>0</v>
      </c>
      <c r="AQ21" s="79"/>
      <c r="AR21" s="79"/>
      <c r="AS21" s="79" t="s">
        <v>1028</v>
      </c>
      <c r="AT21" s="81" t="str">
        <f>HYPERLINK("https://www.youtube.com/channel/UCTM43tLnMPEe1n93r_hJIJQ")</f>
        <v>https://www.youtube.com/channel/UCTM43tLnMPEe1n93r_hJIJQ</v>
      </c>
      <c r="AU21" s="79" t="str">
        <f>REPLACE(INDEX(GroupVertices[Group],MATCH(Vertices[[#This Row],[Vertex]],GroupVertices[Vertex],0)),1,1,"")</f>
        <v>19</v>
      </c>
      <c r="AV21" s="48">
        <v>0</v>
      </c>
      <c r="AW21" s="49">
        <v>0</v>
      </c>
      <c r="AX21" s="48">
        <v>0</v>
      </c>
      <c r="AY21" s="49">
        <v>0</v>
      </c>
      <c r="AZ21" s="48">
        <v>0</v>
      </c>
      <c r="BA21" s="49">
        <v>0</v>
      </c>
      <c r="BB21" s="48">
        <v>4</v>
      </c>
      <c r="BC21" s="49">
        <v>100</v>
      </c>
      <c r="BD21" s="48">
        <v>4</v>
      </c>
      <c r="BE21" s="48"/>
      <c r="BF21" s="48"/>
      <c r="BG21" s="48"/>
      <c r="BH21" s="48"/>
      <c r="BI21" s="48"/>
      <c r="BJ21" s="48"/>
      <c r="BK21" s="121" t="s">
        <v>361</v>
      </c>
      <c r="BL21" s="121" t="s">
        <v>361</v>
      </c>
      <c r="BM21" s="121" t="s">
        <v>1793</v>
      </c>
      <c r="BN21" s="121" t="s">
        <v>1793</v>
      </c>
      <c r="BO21" s="2"/>
      <c r="BP21" s="3"/>
      <c r="BQ21" s="3"/>
      <c r="BR21" s="3"/>
      <c r="BS21" s="3"/>
    </row>
    <row r="22" spans="1:71" ht="15">
      <c r="A22" s="65" t="s">
        <v>230</v>
      </c>
      <c r="B22" s="66"/>
      <c r="C22" s="66"/>
      <c r="D22" s="67">
        <v>600</v>
      </c>
      <c r="E22" s="69"/>
      <c r="F22" s="99" t="str">
        <f>HYPERLINK("https://yt3.ggpht.com/a/AATXAJxNUjKVU3wT7E1nWnXUooxl2FSorARffmp2SRyi-A=s88-c-k-c0xffffffff-no-rj-mo")</f>
        <v>https://yt3.ggpht.com/a/AATXAJxNUjKVU3wT7E1nWnXUooxl2FSorARffmp2SRyi-A=s88-c-k-c0xffffffff-no-rj-mo</v>
      </c>
      <c r="G22" s="66"/>
      <c r="H22" s="70" t="s">
        <v>571</v>
      </c>
      <c r="I22" s="71"/>
      <c r="J22" s="71"/>
      <c r="K22" s="70" t="s">
        <v>571</v>
      </c>
      <c r="L22" s="74">
        <v>909.9090909090909</v>
      </c>
      <c r="M22" s="75">
        <v>6581.0830078125</v>
      </c>
      <c r="N22" s="75">
        <v>1473.841064453125</v>
      </c>
      <c r="O22" s="76"/>
      <c r="P22" s="77"/>
      <c r="Q22" s="77"/>
      <c r="R22" s="85"/>
      <c r="S22" s="48">
        <v>1</v>
      </c>
      <c r="T22" s="48">
        <v>1</v>
      </c>
      <c r="U22" s="49">
        <v>0</v>
      </c>
      <c r="V22" s="49">
        <v>0.333333</v>
      </c>
      <c r="W22" s="49">
        <v>0</v>
      </c>
      <c r="X22" s="49">
        <v>0.770267</v>
      </c>
      <c r="Y22" s="49">
        <v>0</v>
      </c>
      <c r="Z22" s="49">
        <v>1</v>
      </c>
      <c r="AA22" s="72">
        <v>22</v>
      </c>
      <c r="AB22" s="72"/>
      <c r="AC22" s="73"/>
      <c r="AD22" s="79" t="s">
        <v>571</v>
      </c>
      <c r="AE22" s="79" t="s">
        <v>922</v>
      </c>
      <c r="AF22" s="79"/>
      <c r="AG22" s="79"/>
      <c r="AH22" s="79"/>
      <c r="AI22" s="79"/>
      <c r="AJ22" s="83">
        <v>42707.84918981481</v>
      </c>
      <c r="AK22" s="81" t="str">
        <f>HYPERLINK("https://yt3.ggpht.com/a/AATXAJxNUjKVU3wT7E1nWnXUooxl2FSorARffmp2SRyi-A=s88-c-k-c0xffffffff-no-rj-mo")</f>
        <v>https://yt3.ggpht.com/a/AATXAJxNUjKVU3wT7E1nWnXUooxl2FSorARffmp2SRyi-A=s88-c-k-c0xffffffff-no-rj-mo</v>
      </c>
      <c r="AL22" s="79">
        <v>16853</v>
      </c>
      <c r="AM22" s="79">
        <v>0</v>
      </c>
      <c r="AN22" s="79">
        <v>0</v>
      </c>
      <c r="AO22" s="79" t="b">
        <v>1</v>
      </c>
      <c r="AP22" s="79">
        <v>72</v>
      </c>
      <c r="AQ22" s="79"/>
      <c r="AR22" s="79"/>
      <c r="AS22" s="79" t="s">
        <v>1028</v>
      </c>
      <c r="AT22" s="81" t="str">
        <f>HYPERLINK("https://www.youtube.com/channel/UCh_KxM9jaD6DCzneVuwjXNA")</f>
        <v>https://www.youtube.com/channel/UCh_KxM9jaD6DCzneVuwjXNA</v>
      </c>
      <c r="AU22" s="79" t="str">
        <f>REPLACE(INDEX(GroupVertices[Group],MATCH(Vertices[[#This Row],[Vertex]],GroupVertices[Vertex],0)),1,1,"")</f>
        <v>19</v>
      </c>
      <c r="AV22" s="48">
        <v>0</v>
      </c>
      <c r="AW22" s="49">
        <v>0</v>
      </c>
      <c r="AX22" s="48">
        <v>0</v>
      </c>
      <c r="AY22" s="49">
        <v>0</v>
      </c>
      <c r="AZ22" s="48">
        <v>0</v>
      </c>
      <c r="BA22" s="49">
        <v>0</v>
      </c>
      <c r="BB22" s="48">
        <v>15</v>
      </c>
      <c r="BC22" s="49">
        <v>100</v>
      </c>
      <c r="BD22" s="48">
        <v>15</v>
      </c>
      <c r="BE22" s="48"/>
      <c r="BF22" s="48"/>
      <c r="BG22" s="48"/>
      <c r="BH22" s="48"/>
      <c r="BI22" s="48"/>
      <c r="BJ22" s="48"/>
      <c r="BK22" s="121" t="s">
        <v>1670</v>
      </c>
      <c r="BL22" s="121" t="s">
        <v>1670</v>
      </c>
      <c r="BM22" s="121" t="s">
        <v>1794</v>
      </c>
      <c r="BN22" s="121" t="s">
        <v>1794</v>
      </c>
      <c r="BO22" s="2"/>
      <c r="BP22" s="3"/>
      <c r="BQ22" s="3"/>
      <c r="BR22" s="3"/>
      <c r="BS22" s="3"/>
    </row>
    <row r="23" spans="1:71" ht="15">
      <c r="A23" s="65" t="s">
        <v>231</v>
      </c>
      <c r="B23" s="66"/>
      <c r="C23" s="66"/>
      <c r="D23" s="67">
        <v>1000</v>
      </c>
      <c r="E23" s="69"/>
      <c r="F23" s="99" t="str">
        <f>HYPERLINK("https://yt3.ggpht.com/a/AATXAJynzVN1Jggw0j-qjRinB8lLfThEazg55knBKg=s88-c-k-c0xffffffff-no-rj-mo")</f>
        <v>https://yt3.ggpht.com/a/AATXAJynzVN1Jggw0j-qjRinB8lLfThEazg55knBKg=s88-c-k-c0xffffffff-no-rj-mo</v>
      </c>
      <c r="G23" s="66"/>
      <c r="H23" s="70" t="s">
        <v>572</v>
      </c>
      <c r="I23" s="71"/>
      <c r="J23" s="71"/>
      <c r="K23" s="70" t="s">
        <v>572</v>
      </c>
      <c r="L23" s="74">
        <v>1818.8181818181818</v>
      </c>
      <c r="M23" s="75">
        <v>3882.832275390625</v>
      </c>
      <c r="N23" s="75">
        <v>2827.81201171875</v>
      </c>
      <c r="O23" s="76"/>
      <c r="P23" s="77"/>
      <c r="Q23" s="77"/>
      <c r="R23" s="85"/>
      <c r="S23" s="48">
        <v>2</v>
      </c>
      <c r="T23" s="48">
        <v>2</v>
      </c>
      <c r="U23" s="49">
        <v>10</v>
      </c>
      <c r="V23" s="49">
        <v>0.076923</v>
      </c>
      <c r="W23" s="49">
        <v>0</v>
      </c>
      <c r="X23" s="49">
        <v>1.021971</v>
      </c>
      <c r="Y23" s="49">
        <v>0</v>
      </c>
      <c r="Z23" s="49">
        <v>1</v>
      </c>
      <c r="AA23" s="72">
        <v>23</v>
      </c>
      <c r="AB23" s="72"/>
      <c r="AC23" s="73"/>
      <c r="AD23" s="79" t="s">
        <v>572</v>
      </c>
      <c r="AE23" s="79" t="s">
        <v>923</v>
      </c>
      <c r="AF23" s="79"/>
      <c r="AG23" s="79"/>
      <c r="AH23" s="79"/>
      <c r="AI23" s="79" t="s">
        <v>986</v>
      </c>
      <c r="AJ23" s="83">
        <v>43669.05798611111</v>
      </c>
      <c r="AK23" s="81" t="str">
        <f>HYPERLINK("https://yt3.ggpht.com/a/AATXAJynzVN1Jggw0j-qjRinB8lLfThEazg55knBKg=s88-c-k-c0xffffffff-no-rj-mo")</f>
        <v>https://yt3.ggpht.com/a/AATXAJynzVN1Jggw0j-qjRinB8lLfThEazg55knBKg=s88-c-k-c0xffffffff-no-rj-mo</v>
      </c>
      <c r="AL23" s="79">
        <v>52431</v>
      </c>
      <c r="AM23" s="79">
        <v>0</v>
      </c>
      <c r="AN23" s="79">
        <v>1840</v>
      </c>
      <c r="AO23" s="79" t="b">
        <v>0</v>
      </c>
      <c r="AP23" s="79">
        <v>57</v>
      </c>
      <c r="AQ23" s="79"/>
      <c r="AR23" s="79"/>
      <c r="AS23" s="79" t="s">
        <v>1028</v>
      </c>
      <c r="AT23" s="81" t="str">
        <f>HYPERLINK("https://www.youtube.com/channel/UCR5WT6Lkv9pdX_xsvQ6YyDg")</f>
        <v>https://www.youtube.com/channel/UCR5WT6Lkv9pdX_xsvQ6YyDg</v>
      </c>
      <c r="AU23" s="79" t="str">
        <f>REPLACE(INDEX(GroupVertices[Group],MATCH(Vertices[[#This Row],[Vertex]],GroupVertices[Vertex],0)),1,1,"")</f>
        <v>8</v>
      </c>
      <c r="AV23" s="48">
        <v>5</v>
      </c>
      <c r="AW23" s="49">
        <v>8.19672131147541</v>
      </c>
      <c r="AX23" s="48">
        <v>0</v>
      </c>
      <c r="AY23" s="49">
        <v>0</v>
      </c>
      <c r="AZ23" s="48">
        <v>0</v>
      </c>
      <c r="BA23" s="49">
        <v>0</v>
      </c>
      <c r="BB23" s="48">
        <v>56</v>
      </c>
      <c r="BC23" s="49">
        <v>91.80327868852459</v>
      </c>
      <c r="BD23" s="48">
        <v>61</v>
      </c>
      <c r="BE23" s="48"/>
      <c r="BF23" s="48"/>
      <c r="BG23" s="48"/>
      <c r="BH23" s="48"/>
      <c r="BI23" s="48"/>
      <c r="BJ23" s="48"/>
      <c r="BK23" s="121" t="s">
        <v>1671</v>
      </c>
      <c r="BL23" s="121" t="s">
        <v>1764</v>
      </c>
      <c r="BM23" s="121" t="s">
        <v>1795</v>
      </c>
      <c r="BN23" s="121" t="s">
        <v>1795</v>
      </c>
      <c r="BO23" s="2"/>
      <c r="BP23" s="3"/>
      <c r="BQ23" s="3"/>
      <c r="BR23" s="3"/>
      <c r="BS23" s="3"/>
    </row>
    <row r="24" spans="1:71" ht="15">
      <c r="A24" s="65" t="s">
        <v>232</v>
      </c>
      <c r="B24" s="66"/>
      <c r="C24" s="66"/>
      <c r="D24" s="67">
        <v>1000</v>
      </c>
      <c r="E24" s="69"/>
      <c r="F24" s="99" t="str">
        <f>HYPERLINK("https://yt3.ggpht.com/a/AATXAJz_5QAKHXIbcpbj7I4lQpYxgc5_rYj8aDpulQ=s88-c-k-c0xffffffff-no-rj-mo")</f>
        <v>https://yt3.ggpht.com/a/AATXAJz_5QAKHXIbcpbj7I4lQpYxgc5_rYj8aDpulQ=s88-c-k-c0xffffffff-no-rj-mo</v>
      </c>
      <c r="G24" s="66"/>
      <c r="H24" s="70" t="s">
        <v>573</v>
      </c>
      <c r="I24" s="71"/>
      <c r="J24" s="71"/>
      <c r="K24" s="70" t="s">
        <v>573</v>
      </c>
      <c r="L24" s="74">
        <v>1818.8181818181818</v>
      </c>
      <c r="M24" s="75">
        <v>4271.45458984375</v>
      </c>
      <c r="N24" s="75">
        <v>3310.452392578125</v>
      </c>
      <c r="O24" s="76"/>
      <c r="P24" s="77"/>
      <c r="Q24" s="77"/>
      <c r="R24" s="85"/>
      <c r="S24" s="48">
        <v>2</v>
      </c>
      <c r="T24" s="48">
        <v>2</v>
      </c>
      <c r="U24" s="49">
        <v>16</v>
      </c>
      <c r="V24" s="49">
        <v>0.1</v>
      </c>
      <c r="W24" s="49">
        <v>0</v>
      </c>
      <c r="X24" s="49">
        <v>1.03546</v>
      </c>
      <c r="Y24" s="49">
        <v>0</v>
      </c>
      <c r="Z24" s="49">
        <v>1</v>
      </c>
      <c r="AA24" s="72">
        <v>24</v>
      </c>
      <c r="AB24" s="72"/>
      <c r="AC24" s="73"/>
      <c r="AD24" s="79" t="s">
        <v>573</v>
      </c>
      <c r="AE24" s="79"/>
      <c r="AF24" s="79"/>
      <c r="AG24" s="79"/>
      <c r="AH24" s="79"/>
      <c r="AI24" s="79"/>
      <c r="AJ24" s="83">
        <v>42280.69484953704</v>
      </c>
      <c r="AK24" s="81" t="str">
        <f>HYPERLINK("https://yt3.ggpht.com/a/AATXAJz_5QAKHXIbcpbj7I4lQpYxgc5_rYj8aDpulQ=s88-c-k-c0xffffffff-no-rj-mo")</f>
        <v>https://yt3.ggpht.com/a/AATXAJz_5QAKHXIbcpbj7I4lQpYxgc5_rYj8aDpulQ=s88-c-k-c0xffffffff-no-rj-mo</v>
      </c>
      <c r="AL24" s="79">
        <v>0</v>
      </c>
      <c r="AM24" s="79">
        <v>0</v>
      </c>
      <c r="AN24" s="79">
        <v>0</v>
      </c>
      <c r="AO24" s="79" t="b">
        <v>0</v>
      </c>
      <c r="AP24" s="79">
        <v>0</v>
      </c>
      <c r="AQ24" s="79"/>
      <c r="AR24" s="79"/>
      <c r="AS24" s="79" t="s">
        <v>1028</v>
      </c>
      <c r="AT24" s="81" t="str">
        <f>HYPERLINK("https://www.youtube.com/channel/UCJNf_zUjSFMnCJSjjr2I2cw")</f>
        <v>https://www.youtube.com/channel/UCJNf_zUjSFMnCJSjjr2I2cw</v>
      </c>
      <c r="AU24" s="79" t="str">
        <f>REPLACE(INDEX(GroupVertices[Group],MATCH(Vertices[[#This Row],[Vertex]],GroupVertices[Vertex],0)),1,1,"")</f>
        <v>8</v>
      </c>
      <c r="AV24" s="48">
        <v>0</v>
      </c>
      <c r="AW24" s="49">
        <v>0</v>
      </c>
      <c r="AX24" s="48">
        <v>0</v>
      </c>
      <c r="AY24" s="49">
        <v>0</v>
      </c>
      <c r="AZ24" s="48">
        <v>0</v>
      </c>
      <c r="BA24" s="49">
        <v>0</v>
      </c>
      <c r="BB24" s="48">
        <v>25</v>
      </c>
      <c r="BC24" s="49">
        <v>100</v>
      </c>
      <c r="BD24" s="48">
        <v>25</v>
      </c>
      <c r="BE24" s="48"/>
      <c r="BF24" s="48"/>
      <c r="BG24" s="48"/>
      <c r="BH24" s="48"/>
      <c r="BI24" s="48"/>
      <c r="BJ24" s="48"/>
      <c r="BK24" s="121" t="s">
        <v>1672</v>
      </c>
      <c r="BL24" s="121" t="s">
        <v>1672</v>
      </c>
      <c r="BM24" s="121" t="s">
        <v>1796</v>
      </c>
      <c r="BN24" s="121" t="s">
        <v>1796</v>
      </c>
      <c r="BO24" s="2"/>
      <c r="BP24" s="3"/>
      <c r="BQ24" s="3"/>
      <c r="BR24" s="3"/>
      <c r="BS24" s="3"/>
    </row>
    <row r="25" spans="1:71" ht="15">
      <c r="A25" s="65" t="s">
        <v>233</v>
      </c>
      <c r="B25" s="66"/>
      <c r="C25" s="66"/>
      <c r="D25" s="67">
        <v>1000</v>
      </c>
      <c r="E25" s="69"/>
      <c r="F25" s="99" t="str">
        <f>HYPERLINK("https://yt3.ggpht.com/a/AATXAJyUZn6Zux5y1fuN9xeJDnb3ndOJXXJeT4bxk652=s88-c-k-c0xffffffff-no-rj-mo")</f>
        <v>https://yt3.ggpht.com/a/AATXAJyUZn6Zux5y1fuN9xeJDnb3ndOJXXJeT4bxk652=s88-c-k-c0xffffffff-no-rj-mo</v>
      </c>
      <c r="G25" s="66"/>
      <c r="H25" s="70" t="s">
        <v>574</v>
      </c>
      <c r="I25" s="71"/>
      <c r="J25" s="71"/>
      <c r="K25" s="70" t="s">
        <v>574</v>
      </c>
      <c r="L25" s="74">
        <v>1818.8181818181818</v>
      </c>
      <c r="M25" s="75">
        <v>3502.83447265625</v>
      </c>
      <c r="N25" s="75">
        <v>2355.255859375</v>
      </c>
      <c r="O25" s="76"/>
      <c r="P25" s="77"/>
      <c r="Q25" s="77"/>
      <c r="R25" s="85"/>
      <c r="S25" s="48">
        <v>2</v>
      </c>
      <c r="T25" s="48">
        <v>2</v>
      </c>
      <c r="U25" s="49">
        <v>0</v>
      </c>
      <c r="V25" s="49">
        <v>0.055556</v>
      </c>
      <c r="W25" s="49">
        <v>0</v>
      </c>
      <c r="X25" s="49">
        <v>1.016238</v>
      </c>
      <c r="Y25" s="49">
        <v>0</v>
      </c>
      <c r="Z25" s="49">
        <v>1</v>
      </c>
      <c r="AA25" s="72">
        <v>25</v>
      </c>
      <c r="AB25" s="72"/>
      <c r="AC25" s="73"/>
      <c r="AD25" s="79" t="s">
        <v>574</v>
      </c>
      <c r="AE25" s="79"/>
      <c r="AF25" s="79"/>
      <c r="AG25" s="79"/>
      <c r="AH25" s="79"/>
      <c r="AI25" s="79"/>
      <c r="AJ25" s="83">
        <v>41168.72635416667</v>
      </c>
      <c r="AK25" s="81" t="str">
        <f>HYPERLINK("https://yt3.ggpht.com/a/AATXAJyUZn6Zux5y1fuN9xeJDnb3ndOJXXJeT4bxk652=s88-c-k-c0xffffffff-no-rj-mo")</f>
        <v>https://yt3.ggpht.com/a/AATXAJyUZn6Zux5y1fuN9xeJDnb3ndOJXXJeT4bxk652=s88-c-k-c0xffffffff-no-rj-mo</v>
      </c>
      <c r="AL25" s="79">
        <v>13</v>
      </c>
      <c r="AM25" s="79">
        <v>0</v>
      </c>
      <c r="AN25" s="79">
        <v>0</v>
      </c>
      <c r="AO25" s="79" t="b">
        <v>0</v>
      </c>
      <c r="AP25" s="79">
        <v>1</v>
      </c>
      <c r="AQ25" s="79"/>
      <c r="AR25" s="79"/>
      <c r="AS25" s="79" t="s">
        <v>1028</v>
      </c>
      <c r="AT25" s="81" t="str">
        <f>HYPERLINK("https://www.youtube.com/channel/UCOnfASrbw0effD5EpxKpnmA")</f>
        <v>https://www.youtube.com/channel/UCOnfASrbw0effD5EpxKpnmA</v>
      </c>
      <c r="AU25" s="79" t="str">
        <f>REPLACE(INDEX(GroupVertices[Group],MATCH(Vertices[[#This Row],[Vertex]],GroupVertices[Vertex],0)),1,1,"")</f>
        <v>8</v>
      </c>
      <c r="AV25" s="48">
        <v>4</v>
      </c>
      <c r="AW25" s="49">
        <v>14.814814814814815</v>
      </c>
      <c r="AX25" s="48">
        <v>0</v>
      </c>
      <c r="AY25" s="49">
        <v>0</v>
      </c>
      <c r="AZ25" s="48">
        <v>0</v>
      </c>
      <c r="BA25" s="49">
        <v>0</v>
      </c>
      <c r="BB25" s="48">
        <v>23</v>
      </c>
      <c r="BC25" s="49">
        <v>85.18518518518519</v>
      </c>
      <c r="BD25" s="48">
        <v>27</v>
      </c>
      <c r="BE25" s="48"/>
      <c r="BF25" s="48"/>
      <c r="BG25" s="48"/>
      <c r="BH25" s="48"/>
      <c r="BI25" s="48"/>
      <c r="BJ25" s="48"/>
      <c r="BK25" s="121" t="s">
        <v>1673</v>
      </c>
      <c r="BL25" s="121" t="s">
        <v>1673</v>
      </c>
      <c r="BM25" s="121" t="s">
        <v>1797</v>
      </c>
      <c r="BN25" s="121" t="s">
        <v>1797</v>
      </c>
      <c r="BO25" s="2"/>
      <c r="BP25" s="3"/>
      <c r="BQ25" s="3"/>
      <c r="BR25" s="3"/>
      <c r="BS25" s="3"/>
    </row>
    <row r="26" spans="1:71" ht="15">
      <c r="A26" s="65" t="s">
        <v>234</v>
      </c>
      <c r="B26" s="66"/>
      <c r="C26" s="66"/>
      <c r="D26" s="67">
        <v>1000</v>
      </c>
      <c r="E26" s="69"/>
      <c r="F26" s="99" t="str">
        <f>HYPERLINK("https://yt3.ggpht.com/a/AATXAJwkGqpi_dlHGNBqkZ_WJJK_1HW_YSU1UnwzLg=s88-c-k-c0xffffffff-no-rj-mo")</f>
        <v>https://yt3.ggpht.com/a/AATXAJwkGqpi_dlHGNBqkZ_WJJK_1HW_YSU1UnwzLg=s88-c-k-c0xffffffff-no-rj-mo</v>
      </c>
      <c r="G26" s="66"/>
      <c r="H26" s="70" t="s">
        <v>575</v>
      </c>
      <c r="I26" s="71"/>
      <c r="J26" s="71"/>
      <c r="K26" s="70" t="s">
        <v>575</v>
      </c>
      <c r="L26" s="74">
        <v>2727.7272727272725</v>
      </c>
      <c r="M26" s="75">
        <v>7001.447265625</v>
      </c>
      <c r="N26" s="75">
        <v>3940.911376953125</v>
      </c>
      <c r="O26" s="76"/>
      <c r="P26" s="77"/>
      <c r="Q26" s="77"/>
      <c r="R26" s="85"/>
      <c r="S26" s="48">
        <v>3</v>
      </c>
      <c r="T26" s="48">
        <v>3</v>
      </c>
      <c r="U26" s="49">
        <v>6</v>
      </c>
      <c r="V26" s="49">
        <v>0.333333</v>
      </c>
      <c r="W26" s="49">
        <v>0</v>
      </c>
      <c r="X26" s="49">
        <v>1.918911</v>
      </c>
      <c r="Y26" s="49">
        <v>0</v>
      </c>
      <c r="Z26" s="49">
        <v>1</v>
      </c>
      <c r="AA26" s="72">
        <v>26</v>
      </c>
      <c r="AB26" s="72"/>
      <c r="AC26" s="73"/>
      <c r="AD26" s="79" t="s">
        <v>575</v>
      </c>
      <c r="AE26" s="79" t="s">
        <v>924</v>
      </c>
      <c r="AF26" s="79"/>
      <c r="AG26" s="79"/>
      <c r="AH26" s="79"/>
      <c r="AI26" s="79" t="s">
        <v>987</v>
      </c>
      <c r="AJ26" s="83">
        <v>43180.70885416667</v>
      </c>
      <c r="AK26" s="81" t="str">
        <f>HYPERLINK("https://yt3.ggpht.com/a/AATXAJwkGqpi_dlHGNBqkZ_WJJK_1HW_YSU1UnwzLg=s88-c-k-c0xffffffff-no-rj-mo")</f>
        <v>https://yt3.ggpht.com/a/AATXAJwkGqpi_dlHGNBqkZ_WJJK_1HW_YSU1UnwzLg=s88-c-k-c0xffffffff-no-rj-mo</v>
      </c>
      <c r="AL26" s="79">
        <v>480158</v>
      </c>
      <c r="AM26" s="79">
        <v>0</v>
      </c>
      <c r="AN26" s="79">
        <v>4590</v>
      </c>
      <c r="AO26" s="79" t="b">
        <v>0</v>
      </c>
      <c r="AP26" s="79">
        <v>599</v>
      </c>
      <c r="AQ26" s="79"/>
      <c r="AR26" s="79"/>
      <c r="AS26" s="79" t="s">
        <v>1028</v>
      </c>
      <c r="AT26" s="81" t="str">
        <f>HYPERLINK("https://www.youtube.com/channel/UCHQ7g1xX-e9rghxNR4ChsOg")</f>
        <v>https://www.youtube.com/channel/UCHQ7g1xX-e9rghxNR4ChsOg</v>
      </c>
      <c r="AU26" s="79" t="str">
        <f>REPLACE(INDEX(GroupVertices[Group],MATCH(Vertices[[#This Row],[Vertex]],GroupVertices[Vertex],0)),1,1,"")</f>
        <v>16</v>
      </c>
      <c r="AV26" s="48">
        <v>1</v>
      </c>
      <c r="AW26" s="49">
        <v>25</v>
      </c>
      <c r="AX26" s="48">
        <v>0</v>
      </c>
      <c r="AY26" s="49">
        <v>0</v>
      </c>
      <c r="AZ26" s="48">
        <v>0</v>
      </c>
      <c r="BA26" s="49">
        <v>0</v>
      </c>
      <c r="BB26" s="48">
        <v>3</v>
      </c>
      <c r="BC26" s="49">
        <v>75</v>
      </c>
      <c r="BD26" s="48">
        <v>4</v>
      </c>
      <c r="BE26" s="48"/>
      <c r="BF26" s="48"/>
      <c r="BG26" s="48"/>
      <c r="BH26" s="48"/>
      <c r="BI26" s="48"/>
      <c r="BJ26" s="48"/>
      <c r="BK26" s="121" t="s">
        <v>1544</v>
      </c>
      <c r="BL26" s="121" t="s">
        <v>1544</v>
      </c>
      <c r="BM26" s="121" t="s">
        <v>1544</v>
      </c>
      <c r="BN26" s="121" t="s">
        <v>1544</v>
      </c>
      <c r="BO26" s="2"/>
      <c r="BP26" s="3"/>
      <c r="BQ26" s="3"/>
      <c r="BR26" s="3"/>
      <c r="BS26" s="3"/>
    </row>
    <row r="27" spans="1:71" ht="15">
      <c r="A27" s="65" t="s">
        <v>235</v>
      </c>
      <c r="B27" s="66"/>
      <c r="C27" s="66"/>
      <c r="D27" s="67">
        <v>600</v>
      </c>
      <c r="E27" s="69"/>
      <c r="F27" s="99" t="str">
        <f>HYPERLINK("https://yt3.ggpht.com/a/AATXAJxal-Uh5OgnXOm0JhvI5NXBJzdcrvJqJa8RZw=s88-c-k-c0xffffffff-no-rj-mo")</f>
        <v>https://yt3.ggpht.com/a/AATXAJxal-Uh5OgnXOm0JhvI5NXBJzdcrvJqJa8RZw=s88-c-k-c0xffffffff-no-rj-mo</v>
      </c>
      <c r="G27" s="66"/>
      <c r="H27" s="70" t="s">
        <v>576</v>
      </c>
      <c r="I27" s="71"/>
      <c r="J27" s="71"/>
      <c r="K27" s="70" t="s">
        <v>576</v>
      </c>
      <c r="L27" s="74">
        <v>909.9090909090909</v>
      </c>
      <c r="M27" s="75">
        <v>6581.0830078125</v>
      </c>
      <c r="N27" s="75">
        <v>4811.65771484375</v>
      </c>
      <c r="O27" s="76"/>
      <c r="P27" s="77"/>
      <c r="Q27" s="77"/>
      <c r="R27" s="85"/>
      <c r="S27" s="48">
        <v>1</v>
      </c>
      <c r="T27" s="48">
        <v>1</v>
      </c>
      <c r="U27" s="49">
        <v>0</v>
      </c>
      <c r="V27" s="49">
        <v>0.2</v>
      </c>
      <c r="W27" s="49">
        <v>0</v>
      </c>
      <c r="X27" s="49">
        <v>0.693691</v>
      </c>
      <c r="Y27" s="49">
        <v>0</v>
      </c>
      <c r="Z27" s="49">
        <v>1</v>
      </c>
      <c r="AA27" s="72">
        <v>27</v>
      </c>
      <c r="AB27" s="72"/>
      <c r="AC27" s="73"/>
      <c r="AD27" s="79" t="s">
        <v>576</v>
      </c>
      <c r="AE27" s="79" t="s">
        <v>925</v>
      </c>
      <c r="AF27" s="79"/>
      <c r="AG27" s="79"/>
      <c r="AH27" s="79"/>
      <c r="AI27" s="79"/>
      <c r="AJ27" s="83">
        <v>41086.225439814814</v>
      </c>
      <c r="AK27" s="81" t="str">
        <f>HYPERLINK("https://yt3.ggpht.com/a/AATXAJxal-Uh5OgnXOm0JhvI5NXBJzdcrvJqJa8RZw=s88-c-k-c0xffffffff-no-rj-mo")</f>
        <v>https://yt3.ggpht.com/a/AATXAJxal-Uh5OgnXOm0JhvI5NXBJzdcrvJqJa8RZw=s88-c-k-c0xffffffff-no-rj-mo</v>
      </c>
      <c r="AL27" s="79">
        <v>4337</v>
      </c>
      <c r="AM27" s="79">
        <v>0</v>
      </c>
      <c r="AN27" s="79">
        <v>0</v>
      </c>
      <c r="AO27" s="79" t="b">
        <v>1</v>
      </c>
      <c r="AP27" s="79">
        <v>32</v>
      </c>
      <c r="AQ27" s="79"/>
      <c r="AR27" s="79"/>
      <c r="AS27" s="79" t="s">
        <v>1028</v>
      </c>
      <c r="AT27" s="81" t="str">
        <f>HYPERLINK("https://www.youtube.com/channel/UCKhZm9FwH3Agf6k2p_OIsAQ")</f>
        <v>https://www.youtube.com/channel/UCKhZm9FwH3Agf6k2p_OIsAQ</v>
      </c>
      <c r="AU27" s="79" t="str">
        <f>REPLACE(INDEX(GroupVertices[Group],MATCH(Vertices[[#This Row],[Vertex]],GroupVertices[Vertex],0)),1,1,"")</f>
        <v>16</v>
      </c>
      <c r="AV27" s="48">
        <v>1</v>
      </c>
      <c r="AW27" s="49">
        <v>100</v>
      </c>
      <c r="AX27" s="48">
        <v>0</v>
      </c>
      <c r="AY27" s="49">
        <v>0</v>
      </c>
      <c r="AZ27" s="48">
        <v>0</v>
      </c>
      <c r="BA27" s="49">
        <v>0</v>
      </c>
      <c r="BB27" s="48">
        <v>0</v>
      </c>
      <c r="BC27" s="49">
        <v>0</v>
      </c>
      <c r="BD27" s="48">
        <v>1</v>
      </c>
      <c r="BE27" s="48"/>
      <c r="BF27" s="48"/>
      <c r="BG27" s="48"/>
      <c r="BH27" s="48"/>
      <c r="BI27" s="48"/>
      <c r="BJ27" s="48"/>
      <c r="BK27" s="121" t="s">
        <v>1194</v>
      </c>
      <c r="BL27" s="121" t="s">
        <v>1194</v>
      </c>
      <c r="BM27" s="121" t="s">
        <v>1544</v>
      </c>
      <c r="BN27" s="121" t="s">
        <v>1544</v>
      </c>
      <c r="BO27" s="2"/>
      <c r="BP27" s="3"/>
      <c r="BQ27" s="3"/>
      <c r="BR27" s="3"/>
      <c r="BS27" s="3"/>
    </row>
    <row r="28" spans="1:71" ht="15">
      <c r="A28" s="65" t="s">
        <v>236</v>
      </c>
      <c r="B28" s="66"/>
      <c r="C28" s="66"/>
      <c r="D28" s="67">
        <v>600</v>
      </c>
      <c r="E28" s="69"/>
      <c r="F28" s="99" t="str">
        <f>HYPERLINK("https://yt3.ggpht.com/a/AATXAJwt1O2RyHnyHwqNhwoZ_KzZ0mXfsw4tUo6U21brTQ=s88-c-k-c0xffffffff-no-rj-mo")</f>
        <v>https://yt3.ggpht.com/a/AATXAJwt1O2RyHnyHwqNhwoZ_KzZ0mXfsw4tUo6U21brTQ=s88-c-k-c0xffffffff-no-rj-mo</v>
      </c>
      <c r="G28" s="66"/>
      <c r="H28" s="70" t="s">
        <v>577</v>
      </c>
      <c r="I28" s="71"/>
      <c r="J28" s="71"/>
      <c r="K28" s="70" t="s">
        <v>577</v>
      </c>
      <c r="L28" s="74">
        <v>909.9090909090909</v>
      </c>
      <c r="M28" s="75">
        <v>7610.70361328125</v>
      </c>
      <c r="N28" s="75">
        <v>4193.43896484375</v>
      </c>
      <c r="O28" s="76"/>
      <c r="P28" s="77"/>
      <c r="Q28" s="77"/>
      <c r="R28" s="85"/>
      <c r="S28" s="48">
        <v>1</v>
      </c>
      <c r="T28" s="48">
        <v>1</v>
      </c>
      <c r="U28" s="49">
        <v>0</v>
      </c>
      <c r="V28" s="49">
        <v>0.2</v>
      </c>
      <c r="W28" s="49">
        <v>0</v>
      </c>
      <c r="X28" s="49">
        <v>0.693691</v>
      </c>
      <c r="Y28" s="49">
        <v>0</v>
      </c>
      <c r="Z28" s="49">
        <v>1</v>
      </c>
      <c r="AA28" s="72">
        <v>28</v>
      </c>
      <c r="AB28" s="72"/>
      <c r="AC28" s="73"/>
      <c r="AD28" s="79" t="s">
        <v>577</v>
      </c>
      <c r="AE28" s="79"/>
      <c r="AF28" s="79"/>
      <c r="AG28" s="79"/>
      <c r="AH28" s="79"/>
      <c r="AI28" s="79"/>
      <c r="AJ28" s="83">
        <v>41445.65074074074</v>
      </c>
      <c r="AK28" s="81" t="str">
        <f>HYPERLINK("https://yt3.ggpht.com/a/AATXAJwt1O2RyHnyHwqNhwoZ_KzZ0mXfsw4tUo6U21brTQ=s88-c-k-c0xffffffff-no-rj-mo")</f>
        <v>https://yt3.ggpht.com/a/AATXAJwt1O2RyHnyHwqNhwoZ_KzZ0mXfsw4tUo6U21brTQ=s88-c-k-c0xffffffff-no-rj-mo</v>
      </c>
      <c r="AL28" s="79">
        <v>0</v>
      </c>
      <c r="AM28" s="79">
        <v>0</v>
      </c>
      <c r="AN28" s="79">
        <v>12</v>
      </c>
      <c r="AO28" s="79" t="b">
        <v>0</v>
      </c>
      <c r="AP28" s="79">
        <v>0</v>
      </c>
      <c r="AQ28" s="79"/>
      <c r="AR28" s="79"/>
      <c r="AS28" s="79" t="s">
        <v>1028</v>
      </c>
      <c r="AT28" s="81" t="str">
        <f>HYPERLINK("https://www.youtube.com/channel/UCrh8CGftRFYnUFanFFE932A")</f>
        <v>https://www.youtube.com/channel/UCrh8CGftRFYnUFanFFE932A</v>
      </c>
      <c r="AU28" s="79" t="str">
        <f>REPLACE(INDEX(GroupVertices[Group],MATCH(Vertices[[#This Row],[Vertex]],GroupVertices[Vertex],0)),1,1,"")</f>
        <v>16</v>
      </c>
      <c r="AV28" s="48">
        <v>0</v>
      </c>
      <c r="AW28" s="49">
        <v>0</v>
      </c>
      <c r="AX28" s="48">
        <v>0</v>
      </c>
      <c r="AY28" s="49">
        <v>0</v>
      </c>
      <c r="AZ28" s="48">
        <v>0</v>
      </c>
      <c r="BA28" s="49">
        <v>0</v>
      </c>
      <c r="BB28" s="48">
        <v>6</v>
      </c>
      <c r="BC28" s="49">
        <v>100</v>
      </c>
      <c r="BD28" s="48">
        <v>6</v>
      </c>
      <c r="BE28" s="48"/>
      <c r="BF28" s="48"/>
      <c r="BG28" s="48"/>
      <c r="BH28" s="48"/>
      <c r="BI28" s="48"/>
      <c r="BJ28" s="48"/>
      <c r="BK28" s="121" t="s">
        <v>1674</v>
      </c>
      <c r="BL28" s="121" t="s">
        <v>1674</v>
      </c>
      <c r="BM28" s="121" t="s">
        <v>1544</v>
      </c>
      <c r="BN28" s="121" t="s">
        <v>1544</v>
      </c>
      <c r="BO28" s="2"/>
      <c r="BP28" s="3"/>
      <c r="BQ28" s="3"/>
      <c r="BR28" s="3"/>
      <c r="BS28" s="3"/>
    </row>
    <row r="29" spans="1:71" ht="15">
      <c r="A29" s="65" t="s">
        <v>237</v>
      </c>
      <c r="B29" s="66"/>
      <c r="C29" s="66"/>
      <c r="D29" s="67">
        <v>600</v>
      </c>
      <c r="E29" s="69"/>
      <c r="F29" s="99" t="str">
        <f>HYPERLINK("https://yt3.ggpht.com/a/AATXAJww3cSFGNoxKjp8dlaAUhF8EkodMXA17p7eAQ=s88-c-k-c0xffffffff-no-rj-mo")</f>
        <v>https://yt3.ggpht.com/a/AATXAJww3cSFGNoxKjp8dlaAUhF8EkodMXA17p7eAQ=s88-c-k-c0xffffffff-no-rj-mo</v>
      </c>
      <c r="G29" s="66"/>
      <c r="H29" s="70" t="s">
        <v>578</v>
      </c>
      <c r="I29" s="71"/>
      <c r="J29" s="71"/>
      <c r="K29" s="70" t="s">
        <v>578</v>
      </c>
      <c r="L29" s="74">
        <v>909.9090909090909</v>
      </c>
      <c r="M29" s="75">
        <v>6812.5556640625</v>
      </c>
      <c r="N29" s="75">
        <v>2817.63720703125</v>
      </c>
      <c r="O29" s="76"/>
      <c r="P29" s="77"/>
      <c r="Q29" s="77"/>
      <c r="R29" s="85"/>
      <c r="S29" s="48">
        <v>1</v>
      </c>
      <c r="T29" s="48">
        <v>1</v>
      </c>
      <c r="U29" s="49">
        <v>0</v>
      </c>
      <c r="V29" s="49">
        <v>0.2</v>
      </c>
      <c r="W29" s="49">
        <v>0</v>
      </c>
      <c r="X29" s="49">
        <v>0.693691</v>
      </c>
      <c r="Y29" s="49">
        <v>0</v>
      </c>
      <c r="Z29" s="49">
        <v>1</v>
      </c>
      <c r="AA29" s="72">
        <v>29</v>
      </c>
      <c r="AB29" s="72"/>
      <c r="AC29" s="73"/>
      <c r="AD29" s="79" t="s">
        <v>578</v>
      </c>
      <c r="AE29" s="79"/>
      <c r="AF29" s="79"/>
      <c r="AG29" s="79"/>
      <c r="AH29" s="79"/>
      <c r="AI29" s="79"/>
      <c r="AJ29" s="83">
        <v>41198.35900462963</v>
      </c>
      <c r="AK29" s="81" t="str">
        <f>HYPERLINK("https://yt3.ggpht.com/a/AATXAJww3cSFGNoxKjp8dlaAUhF8EkodMXA17p7eAQ=s88-c-k-c0xffffffff-no-rj-mo")</f>
        <v>https://yt3.ggpht.com/a/AATXAJww3cSFGNoxKjp8dlaAUhF8EkodMXA17p7eAQ=s88-c-k-c0xffffffff-no-rj-mo</v>
      </c>
      <c r="AL29" s="79">
        <v>0</v>
      </c>
      <c r="AM29" s="79">
        <v>0</v>
      </c>
      <c r="AN29" s="79">
        <v>0</v>
      </c>
      <c r="AO29" s="79" t="b">
        <v>0</v>
      </c>
      <c r="AP29" s="79">
        <v>0</v>
      </c>
      <c r="AQ29" s="79"/>
      <c r="AR29" s="79"/>
      <c r="AS29" s="79" t="s">
        <v>1028</v>
      </c>
      <c r="AT29" s="81" t="str">
        <f>HYPERLINK("https://www.youtube.com/channel/UCYyWCfl36cbHL4ObejxDLNw")</f>
        <v>https://www.youtube.com/channel/UCYyWCfl36cbHL4ObejxDLNw</v>
      </c>
      <c r="AU29" s="79" t="str">
        <f>REPLACE(INDEX(GroupVertices[Group],MATCH(Vertices[[#This Row],[Vertex]],GroupVertices[Vertex],0)),1,1,"")</f>
        <v>16</v>
      </c>
      <c r="AV29" s="48">
        <v>1</v>
      </c>
      <c r="AW29" s="49">
        <v>33.333333333333336</v>
      </c>
      <c r="AX29" s="48">
        <v>0</v>
      </c>
      <c r="AY29" s="49">
        <v>0</v>
      </c>
      <c r="AZ29" s="48">
        <v>0</v>
      </c>
      <c r="BA29" s="49">
        <v>0</v>
      </c>
      <c r="BB29" s="48">
        <v>2</v>
      </c>
      <c r="BC29" s="49">
        <v>66.66666666666667</v>
      </c>
      <c r="BD29" s="48">
        <v>3</v>
      </c>
      <c r="BE29" s="48"/>
      <c r="BF29" s="48"/>
      <c r="BG29" s="48"/>
      <c r="BH29" s="48"/>
      <c r="BI29" s="48"/>
      <c r="BJ29" s="48"/>
      <c r="BK29" s="121" t="s">
        <v>1675</v>
      </c>
      <c r="BL29" s="121" t="s">
        <v>1675</v>
      </c>
      <c r="BM29" s="121" t="s">
        <v>1798</v>
      </c>
      <c r="BN29" s="121" t="s">
        <v>1798</v>
      </c>
      <c r="BO29" s="2"/>
      <c r="BP29" s="3"/>
      <c r="BQ29" s="3"/>
      <c r="BR29" s="3"/>
      <c r="BS29" s="3"/>
    </row>
    <row r="30" spans="1:71" ht="15">
      <c r="A30" s="65" t="s">
        <v>238</v>
      </c>
      <c r="B30" s="66"/>
      <c r="C30" s="66"/>
      <c r="D30" s="67">
        <v>1000</v>
      </c>
      <c r="E30" s="69"/>
      <c r="F30" s="99" t="str">
        <f>HYPERLINK("https://yt3.ggpht.com/a/AATXAJzSnWOvy2j_W6T8enuw8wWQUcr-Jd4Lp6wEkh4N=s88-c-k-c0xffffffff-no-rj-mo")</f>
        <v>https://yt3.ggpht.com/a/AATXAJzSnWOvy2j_W6T8enuw8wWQUcr-Jd4Lp6wEkh4N=s88-c-k-c0xffffffff-no-rj-mo</v>
      </c>
      <c r="G30" s="66"/>
      <c r="H30" s="70" t="s">
        <v>579</v>
      </c>
      <c r="I30" s="71"/>
      <c r="J30" s="71"/>
      <c r="K30" s="70" t="s">
        <v>579</v>
      </c>
      <c r="L30" s="74">
        <v>3636.6363636363635</v>
      </c>
      <c r="M30" s="75">
        <v>4680.85400390625</v>
      </c>
      <c r="N30" s="75">
        <v>3819.111572265625</v>
      </c>
      <c r="O30" s="76"/>
      <c r="P30" s="77"/>
      <c r="Q30" s="77"/>
      <c r="R30" s="85"/>
      <c r="S30" s="48">
        <v>4</v>
      </c>
      <c r="T30" s="48">
        <v>4</v>
      </c>
      <c r="U30" s="49">
        <v>24</v>
      </c>
      <c r="V30" s="49">
        <v>0.111111</v>
      </c>
      <c r="W30" s="49">
        <v>0</v>
      </c>
      <c r="X30" s="49">
        <v>2.122932</v>
      </c>
      <c r="Y30" s="49">
        <v>0</v>
      </c>
      <c r="Z30" s="49">
        <v>1</v>
      </c>
      <c r="AA30" s="72">
        <v>30</v>
      </c>
      <c r="AB30" s="72"/>
      <c r="AC30" s="73"/>
      <c r="AD30" s="79" t="s">
        <v>579</v>
      </c>
      <c r="AE30" s="79" t="s">
        <v>926</v>
      </c>
      <c r="AF30" s="79"/>
      <c r="AG30" s="79"/>
      <c r="AH30" s="79"/>
      <c r="AI30" s="79" t="s">
        <v>988</v>
      </c>
      <c r="AJ30" s="83">
        <v>39936.90703703704</v>
      </c>
      <c r="AK30" s="81" t="str">
        <f>HYPERLINK("https://yt3.ggpht.com/a/AATXAJzSnWOvy2j_W6T8enuw8wWQUcr-Jd4Lp6wEkh4N=s88-c-k-c0xffffffff-no-rj-mo")</f>
        <v>https://yt3.ggpht.com/a/AATXAJzSnWOvy2j_W6T8enuw8wWQUcr-Jd4Lp6wEkh4N=s88-c-k-c0xffffffff-no-rj-mo</v>
      </c>
      <c r="AL30" s="79">
        <v>160212</v>
      </c>
      <c r="AM30" s="79">
        <v>0</v>
      </c>
      <c r="AN30" s="79">
        <v>2650</v>
      </c>
      <c r="AO30" s="79" t="b">
        <v>0</v>
      </c>
      <c r="AP30" s="79">
        <v>79</v>
      </c>
      <c r="AQ30" s="79"/>
      <c r="AR30" s="79"/>
      <c r="AS30" s="79" t="s">
        <v>1028</v>
      </c>
      <c r="AT30" s="81" t="str">
        <f>HYPERLINK("https://www.youtube.com/channel/UCLKL6RjR4FG0_kWNw7mJS1A")</f>
        <v>https://www.youtube.com/channel/UCLKL6RjR4FG0_kWNw7mJS1A</v>
      </c>
      <c r="AU30" s="79" t="str">
        <f>REPLACE(INDEX(GroupVertices[Group],MATCH(Vertices[[#This Row],[Vertex]],GroupVertices[Vertex],0)),1,1,"")</f>
        <v>8</v>
      </c>
      <c r="AV30" s="48">
        <v>0</v>
      </c>
      <c r="AW30" s="49">
        <v>0</v>
      </c>
      <c r="AX30" s="48">
        <v>0</v>
      </c>
      <c r="AY30" s="49">
        <v>0</v>
      </c>
      <c r="AZ30" s="48">
        <v>0</v>
      </c>
      <c r="BA30" s="49">
        <v>0</v>
      </c>
      <c r="BB30" s="48">
        <v>37</v>
      </c>
      <c r="BC30" s="49">
        <v>100</v>
      </c>
      <c r="BD30" s="48">
        <v>37</v>
      </c>
      <c r="BE30" s="48"/>
      <c r="BF30" s="48"/>
      <c r="BG30" s="48"/>
      <c r="BH30" s="48"/>
      <c r="BI30" s="48"/>
      <c r="BJ30" s="48"/>
      <c r="BK30" s="121" t="s">
        <v>1676</v>
      </c>
      <c r="BL30" s="121" t="s">
        <v>1765</v>
      </c>
      <c r="BM30" s="121" t="s">
        <v>1799</v>
      </c>
      <c r="BN30" s="121" t="s">
        <v>1883</v>
      </c>
      <c r="BO30" s="2"/>
      <c r="BP30" s="3"/>
      <c r="BQ30" s="3"/>
      <c r="BR30" s="3"/>
      <c r="BS30" s="3"/>
    </row>
    <row r="31" spans="1:71" ht="15">
      <c r="A31" s="65" t="s">
        <v>239</v>
      </c>
      <c r="B31" s="66"/>
      <c r="C31" s="66"/>
      <c r="D31" s="67">
        <v>600</v>
      </c>
      <c r="E31" s="69"/>
      <c r="F31" s="99" t="str">
        <f>HYPERLINK("https://yt3.ggpht.com/a/AATXAJytnjtwXNlKAsKX3QQv-3oe0YP6ADwjx4mUWQ=s88-c-k-c0xffffffff-no-rj-mo")</f>
        <v>https://yt3.ggpht.com/a/AATXAJytnjtwXNlKAsKX3QQv-3oe0YP6ADwjx4mUWQ=s88-c-k-c0xffffffff-no-rj-mo</v>
      </c>
      <c r="G31" s="66"/>
      <c r="H31" s="70" t="s">
        <v>580</v>
      </c>
      <c r="I31" s="71"/>
      <c r="J31" s="71"/>
      <c r="K31" s="70" t="s">
        <v>580</v>
      </c>
      <c r="L31" s="74">
        <v>909.9090909090909</v>
      </c>
      <c r="M31" s="75">
        <v>4279.02685546875</v>
      </c>
      <c r="N31" s="75">
        <v>4421.52294921875</v>
      </c>
      <c r="O31" s="76"/>
      <c r="P31" s="77"/>
      <c r="Q31" s="77"/>
      <c r="R31" s="85"/>
      <c r="S31" s="48">
        <v>1</v>
      </c>
      <c r="T31" s="48">
        <v>1</v>
      </c>
      <c r="U31" s="49">
        <v>0</v>
      </c>
      <c r="V31" s="49">
        <v>0.071429</v>
      </c>
      <c r="W31" s="49">
        <v>0</v>
      </c>
      <c r="X31" s="49">
        <v>0.601123</v>
      </c>
      <c r="Y31" s="49">
        <v>0</v>
      </c>
      <c r="Z31" s="49">
        <v>1</v>
      </c>
      <c r="AA31" s="72">
        <v>31</v>
      </c>
      <c r="AB31" s="72"/>
      <c r="AC31" s="73"/>
      <c r="AD31" s="79" t="s">
        <v>580</v>
      </c>
      <c r="AE31" s="79"/>
      <c r="AF31" s="79"/>
      <c r="AG31" s="79"/>
      <c r="AH31" s="79"/>
      <c r="AI31" s="79"/>
      <c r="AJ31" s="83">
        <v>39500.82413194444</v>
      </c>
      <c r="AK31" s="81" t="str">
        <f>HYPERLINK("https://yt3.ggpht.com/a/AATXAJytnjtwXNlKAsKX3QQv-3oe0YP6ADwjx4mUWQ=s88-c-k-c0xffffffff-no-rj-mo")</f>
        <v>https://yt3.ggpht.com/a/AATXAJytnjtwXNlKAsKX3QQv-3oe0YP6ADwjx4mUWQ=s88-c-k-c0xffffffff-no-rj-mo</v>
      </c>
      <c r="AL31" s="79">
        <v>249530</v>
      </c>
      <c r="AM31" s="79">
        <v>0</v>
      </c>
      <c r="AN31" s="79">
        <v>151</v>
      </c>
      <c r="AO31" s="79" t="b">
        <v>0</v>
      </c>
      <c r="AP31" s="79">
        <v>16</v>
      </c>
      <c r="AQ31" s="79"/>
      <c r="AR31" s="79"/>
      <c r="AS31" s="79" t="s">
        <v>1028</v>
      </c>
      <c r="AT31" s="81" t="str">
        <f>HYPERLINK("https://www.youtube.com/channel/UCMhHl1VbqopFrfmyV9nmCWA")</f>
        <v>https://www.youtube.com/channel/UCMhHl1VbqopFrfmyV9nmCWA</v>
      </c>
      <c r="AU31" s="79" t="str">
        <f>REPLACE(INDEX(GroupVertices[Group],MATCH(Vertices[[#This Row],[Vertex]],GroupVertices[Vertex],0)),1,1,"")</f>
        <v>8</v>
      </c>
      <c r="AV31" s="48">
        <v>0</v>
      </c>
      <c r="AW31" s="49">
        <v>0</v>
      </c>
      <c r="AX31" s="48">
        <v>0</v>
      </c>
      <c r="AY31" s="49">
        <v>0</v>
      </c>
      <c r="AZ31" s="48">
        <v>0</v>
      </c>
      <c r="BA31" s="49">
        <v>0</v>
      </c>
      <c r="BB31" s="48">
        <v>15</v>
      </c>
      <c r="BC31" s="49">
        <v>100</v>
      </c>
      <c r="BD31" s="48">
        <v>15</v>
      </c>
      <c r="BE31" s="48"/>
      <c r="BF31" s="48"/>
      <c r="BG31" s="48"/>
      <c r="BH31" s="48"/>
      <c r="BI31" s="48"/>
      <c r="BJ31" s="48"/>
      <c r="BK31" s="121" t="s">
        <v>1677</v>
      </c>
      <c r="BL31" s="121" t="s">
        <v>1677</v>
      </c>
      <c r="BM31" s="121" t="s">
        <v>1800</v>
      </c>
      <c r="BN31" s="121" t="s">
        <v>1800</v>
      </c>
      <c r="BO31" s="2"/>
      <c r="BP31" s="3"/>
      <c r="BQ31" s="3"/>
      <c r="BR31" s="3"/>
      <c r="BS31" s="3"/>
    </row>
    <row r="32" spans="1:71" ht="15">
      <c r="A32" s="65" t="s">
        <v>240</v>
      </c>
      <c r="B32" s="66"/>
      <c r="C32" s="66"/>
      <c r="D32" s="67">
        <v>600</v>
      </c>
      <c r="E32" s="69"/>
      <c r="F32" s="99" t="str">
        <f>HYPERLINK("https://yt3.ggpht.com/a/AATXAJzFcFWAklOO7WPrD3lVeeFRXhlb6vEvIRJ0Tw=s88-c-k-c0xffffffff-no-rj-mo")</f>
        <v>https://yt3.ggpht.com/a/AATXAJzFcFWAklOO7WPrD3lVeeFRXhlb6vEvIRJ0Tw=s88-c-k-c0xffffffff-no-rj-mo</v>
      </c>
      <c r="G32" s="66"/>
      <c r="H32" s="70" t="s">
        <v>581</v>
      </c>
      <c r="I32" s="71"/>
      <c r="J32" s="71"/>
      <c r="K32" s="70" t="s">
        <v>581</v>
      </c>
      <c r="L32" s="74">
        <v>909.9090909090909</v>
      </c>
      <c r="M32" s="75">
        <v>5091.2373046875</v>
      </c>
      <c r="N32" s="75">
        <v>4328.91748046875</v>
      </c>
      <c r="O32" s="76"/>
      <c r="P32" s="77"/>
      <c r="Q32" s="77"/>
      <c r="R32" s="85"/>
      <c r="S32" s="48">
        <v>1</v>
      </c>
      <c r="T32" s="48">
        <v>1</v>
      </c>
      <c r="U32" s="49">
        <v>0</v>
      </c>
      <c r="V32" s="49">
        <v>0.071429</v>
      </c>
      <c r="W32" s="49">
        <v>0</v>
      </c>
      <c r="X32" s="49">
        <v>0.601123</v>
      </c>
      <c r="Y32" s="49">
        <v>0</v>
      </c>
      <c r="Z32" s="49">
        <v>1</v>
      </c>
      <c r="AA32" s="72">
        <v>32</v>
      </c>
      <c r="AB32" s="72"/>
      <c r="AC32" s="73"/>
      <c r="AD32" s="79" t="s">
        <v>581</v>
      </c>
      <c r="AE32" s="79"/>
      <c r="AF32" s="79"/>
      <c r="AG32" s="79"/>
      <c r="AH32" s="79"/>
      <c r="AI32" s="79"/>
      <c r="AJ32" s="83">
        <v>40817.69966435185</v>
      </c>
      <c r="AK32" s="81" t="str">
        <f>HYPERLINK("https://yt3.ggpht.com/a/AATXAJzFcFWAklOO7WPrD3lVeeFRXhlb6vEvIRJ0Tw=s88-c-k-c0xffffffff-no-rj-mo")</f>
        <v>https://yt3.ggpht.com/a/AATXAJzFcFWAklOO7WPrD3lVeeFRXhlb6vEvIRJ0Tw=s88-c-k-c0xffffffff-no-rj-mo</v>
      </c>
      <c r="AL32" s="79">
        <v>0</v>
      </c>
      <c r="AM32" s="79">
        <v>0</v>
      </c>
      <c r="AN32" s="79">
        <v>2</v>
      </c>
      <c r="AO32" s="79" t="b">
        <v>0</v>
      </c>
      <c r="AP32" s="79">
        <v>0</v>
      </c>
      <c r="AQ32" s="79"/>
      <c r="AR32" s="79"/>
      <c r="AS32" s="79" t="s">
        <v>1028</v>
      </c>
      <c r="AT32" s="81" t="str">
        <f>HYPERLINK("https://www.youtube.com/channel/UCUGy2u7dX3z-0TxexjH6Y7Q")</f>
        <v>https://www.youtube.com/channel/UCUGy2u7dX3z-0TxexjH6Y7Q</v>
      </c>
      <c r="AU32" s="79" t="str">
        <f>REPLACE(INDEX(GroupVertices[Group],MATCH(Vertices[[#This Row],[Vertex]],GroupVertices[Vertex],0)),1,1,"")</f>
        <v>8</v>
      </c>
      <c r="AV32" s="48">
        <v>0</v>
      </c>
      <c r="AW32" s="49">
        <v>0</v>
      </c>
      <c r="AX32" s="48">
        <v>0</v>
      </c>
      <c r="AY32" s="49">
        <v>0</v>
      </c>
      <c r="AZ32" s="48">
        <v>0</v>
      </c>
      <c r="BA32" s="49">
        <v>0</v>
      </c>
      <c r="BB32" s="48">
        <v>6</v>
      </c>
      <c r="BC32" s="49">
        <v>100</v>
      </c>
      <c r="BD32" s="48">
        <v>6</v>
      </c>
      <c r="BE32" s="48"/>
      <c r="BF32" s="48"/>
      <c r="BG32" s="48"/>
      <c r="BH32" s="48"/>
      <c r="BI32" s="48"/>
      <c r="BJ32" s="48"/>
      <c r="BK32" s="121" t="s">
        <v>1678</v>
      </c>
      <c r="BL32" s="121" t="s">
        <v>1678</v>
      </c>
      <c r="BM32" s="121" t="s">
        <v>1801</v>
      </c>
      <c r="BN32" s="121" t="s">
        <v>1801</v>
      </c>
      <c r="BO32" s="2"/>
      <c r="BP32" s="3"/>
      <c r="BQ32" s="3"/>
      <c r="BR32" s="3"/>
      <c r="BS32" s="3"/>
    </row>
    <row r="33" spans="1:71" ht="15">
      <c r="A33" s="65" t="s">
        <v>241</v>
      </c>
      <c r="B33" s="66"/>
      <c r="C33" s="66"/>
      <c r="D33" s="67">
        <v>600</v>
      </c>
      <c r="E33" s="69"/>
      <c r="F33" s="99" t="str">
        <f>HYPERLINK("https://yt3.ggpht.com/a/AATXAJzsuAx0PEfAkb8T_mpNPCw8-VY9v9NEaaNhHA=s88-c-k-c0xffffffff-no-rj-mo")</f>
        <v>https://yt3.ggpht.com/a/AATXAJzsuAx0PEfAkb8T_mpNPCw8-VY9v9NEaaNhHA=s88-c-k-c0xffffffff-no-rj-mo</v>
      </c>
      <c r="G33" s="66"/>
      <c r="H33" s="70" t="s">
        <v>582</v>
      </c>
      <c r="I33" s="71"/>
      <c r="J33" s="71"/>
      <c r="K33" s="70" t="s">
        <v>582</v>
      </c>
      <c r="L33" s="74">
        <v>909.9090909090909</v>
      </c>
      <c r="M33" s="75">
        <v>5328.55419921875</v>
      </c>
      <c r="N33" s="75">
        <v>3522.110595703125</v>
      </c>
      <c r="O33" s="76"/>
      <c r="P33" s="77"/>
      <c r="Q33" s="77"/>
      <c r="R33" s="85"/>
      <c r="S33" s="48">
        <v>1</v>
      </c>
      <c r="T33" s="48">
        <v>1</v>
      </c>
      <c r="U33" s="49">
        <v>0</v>
      </c>
      <c r="V33" s="49">
        <v>0.071429</v>
      </c>
      <c r="W33" s="49">
        <v>0</v>
      </c>
      <c r="X33" s="49">
        <v>0.601123</v>
      </c>
      <c r="Y33" s="49">
        <v>0</v>
      </c>
      <c r="Z33" s="49">
        <v>1</v>
      </c>
      <c r="AA33" s="72">
        <v>33</v>
      </c>
      <c r="AB33" s="72"/>
      <c r="AC33" s="73"/>
      <c r="AD33" s="79" t="s">
        <v>582</v>
      </c>
      <c r="AE33" s="79"/>
      <c r="AF33" s="79"/>
      <c r="AG33" s="79"/>
      <c r="AH33" s="79"/>
      <c r="AI33" s="79"/>
      <c r="AJ33" s="83">
        <v>43041.352326388886</v>
      </c>
      <c r="AK33" s="81" t="str">
        <f>HYPERLINK("https://yt3.ggpht.com/a/AATXAJzsuAx0PEfAkb8T_mpNPCw8-VY9v9NEaaNhHA=s88-c-k-c0xffffffff-no-rj-mo")</f>
        <v>https://yt3.ggpht.com/a/AATXAJzsuAx0PEfAkb8T_mpNPCw8-VY9v9NEaaNhHA=s88-c-k-c0xffffffff-no-rj-mo</v>
      </c>
      <c r="AL33" s="79">
        <v>0</v>
      </c>
      <c r="AM33" s="79">
        <v>0</v>
      </c>
      <c r="AN33" s="79">
        <v>0</v>
      </c>
      <c r="AO33" s="79" t="b">
        <v>0</v>
      </c>
      <c r="AP33" s="79">
        <v>0</v>
      </c>
      <c r="AQ33" s="79"/>
      <c r="AR33" s="79"/>
      <c r="AS33" s="79" t="s">
        <v>1028</v>
      </c>
      <c r="AT33" s="81" t="str">
        <f>HYPERLINK("https://www.youtube.com/channel/UC-rXjJvywcQKgiGeGcZCATA")</f>
        <v>https://www.youtube.com/channel/UC-rXjJvywcQKgiGeGcZCATA</v>
      </c>
      <c r="AU33" s="79" t="str">
        <f>REPLACE(INDEX(GroupVertices[Group],MATCH(Vertices[[#This Row],[Vertex]],GroupVertices[Vertex],0)),1,1,"")</f>
        <v>8</v>
      </c>
      <c r="AV33" s="48">
        <v>0</v>
      </c>
      <c r="AW33" s="49">
        <v>0</v>
      </c>
      <c r="AX33" s="48">
        <v>0</v>
      </c>
      <c r="AY33" s="49">
        <v>0</v>
      </c>
      <c r="AZ33" s="48">
        <v>0</v>
      </c>
      <c r="BA33" s="49">
        <v>0</v>
      </c>
      <c r="BB33" s="48">
        <v>30</v>
      </c>
      <c r="BC33" s="49">
        <v>100</v>
      </c>
      <c r="BD33" s="48">
        <v>30</v>
      </c>
      <c r="BE33" s="48"/>
      <c r="BF33" s="48"/>
      <c r="BG33" s="48"/>
      <c r="BH33" s="48"/>
      <c r="BI33" s="48"/>
      <c r="BJ33" s="48"/>
      <c r="BK33" s="121" t="s">
        <v>1679</v>
      </c>
      <c r="BL33" s="121" t="s">
        <v>1679</v>
      </c>
      <c r="BM33" s="121" t="s">
        <v>1802</v>
      </c>
      <c r="BN33" s="121" t="s">
        <v>1802</v>
      </c>
      <c r="BO33" s="2"/>
      <c r="BP33" s="3"/>
      <c r="BQ33" s="3"/>
      <c r="BR33" s="3"/>
      <c r="BS33" s="3"/>
    </row>
    <row r="34" spans="1:71" ht="15">
      <c r="A34" s="65" t="s">
        <v>242</v>
      </c>
      <c r="B34" s="66"/>
      <c r="C34" s="66"/>
      <c r="D34" s="67">
        <v>600</v>
      </c>
      <c r="E34" s="69"/>
      <c r="F34" s="99" t="str">
        <f>HYPERLINK("https://yt3.ggpht.com/a/AATXAJyIQ57Fo4z9sjanp7SLrlz5JvepgfJ5KbIuSA=s88-c-k-c0xffffffff-no-rj-mo")</f>
        <v>https://yt3.ggpht.com/a/AATXAJyIQ57Fo4z9sjanp7SLrlz5JvepgfJ5KbIuSA=s88-c-k-c0xffffffff-no-rj-mo</v>
      </c>
      <c r="G34" s="66"/>
      <c r="H34" s="70" t="s">
        <v>583</v>
      </c>
      <c r="I34" s="71"/>
      <c r="J34" s="71"/>
      <c r="K34" s="70" t="s">
        <v>583</v>
      </c>
      <c r="L34" s="74">
        <v>909.9090909090909</v>
      </c>
      <c r="M34" s="75">
        <v>3396.68798828125</v>
      </c>
      <c r="N34" s="75">
        <v>1043.9310302734375</v>
      </c>
      <c r="O34" s="76"/>
      <c r="P34" s="77"/>
      <c r="Q34" s="77"/>
      <c r="R34" s="85"/>
      <c r="S34" s="48">
        <v>1</v>
      </c>
      <c r="T34" s="48">
        <v>1</v>
      </c>
      <c r="U34" s="49">
        <v>0</v>
      </c>
      <c r="V34" s="49">
        <v>0.037037</v>
      </c>
      <c r="W34" s="49">
        <v>0.064297</v>
      </c>
      <c r="X34" s="49">
        <v>0.556884</v>
      </c>
      <c r="Y34" s="49">
        <v>0</v>
      </c>
      <c r="Z34" s="49">
        <v>1</v>
      </c>
      <c r="AA34" s="72">
        <v>34</v>
      </c>
      <c r="AB34" s="72"/>
      <c r="AC34" s="73"/>
      <c r="AD34" s="79" t="s">
        <v>583</v>
      </c>
      <c r="AE34" s="79"/>
      <c r="AF34" s="79"/>
      <c r="AG34" s="79"/>
      <c r="AH34" s="79"/>
      <c r="AI34" s="79"/>
      <c r="AJ34" s="83">
        <v>41474.30210648148</v>
      </c>
      <c r="AK34" s="81" t="str">
        <f>HYPERLINK("https://yt3.ggpht.com/a/AATXAJyIQ57Fo4z9sjanp7SLrlz5JvepgfJ5KbIuSA=s88-c-k-c0xffffffff-no-rj-mo")</f>
        <v>https://yt3.ggpht.com/a/AATXAJyIQ57Fo4z9sjanp7SLrlz5JvepgfJ5KbIuSA=s88-c-k-c0xffffffff-no-rj-mo</v>
      </c>
      <c r="AL34" s="79">
        <v>0</v>
      </c>
      <c r="AM34" s="79">
        <v>0</v>
      </c>
      <c r="AN34" s="79">
        <v>0</v>
      </c>
      <c r="AO34" s="79" t="b">
        <v>0</v>
      </c>
      <c r="AP34" s="79">
        <v>0</v>
      </c>
      <c r="AQ34" s="79"/>
      <c r="AR34" s="79"/>
      <c r="AS34" s="79" t="s">
        <v>1028</v>
      </c>
      <c r="AT34" s="81" t="str">
        <f>HYPERLINK("https://www.youtube.com/channel/UCmTk8A8oJsDRZk15-Zs0rng")</f>
        <v>https://www.youtube.com/channel/UCmTk8A8oJsDRZk15-Zs0rng</v>
      </c>
      <c r="AU34" s="79" t="str">
        <f>REPLACE(INDEX(GroupVertices[Group],MATCH(Vertices[[#This Row],[Vertex]],GroupVertices[Vertex],0)),1,1,"")</f>
        <v>2</v>
      </c>
      <c r="AV34" s="48">
        <v>0</v>
      </c>
      <c r="AW34" s="49">
        <v>0</v>
      </c>
      <c r="AX34" s="48">
        <v>0</v>
      </c>
      <c r="AY34" s="49">
        <v>0</v>
      </c>
      <c r="AZ34" s="48">
        <v>0</v>
      </c>
      <c r="BA34" s="49">
        <v>0</v>
      </c>
      <c r="BB34" s="48">
        <v>11</v>
      </c>
      <c r="BC34" s="49">
        <v>100</v>
      </c>
      <c r="BD34" s="48">
        <v>11</v>
      </c>
      <c r="BE34" s="48" t="s">
        <v>1470</v>
      </c>
      <c r="BF34" s="48" t="s">
        <v>1470</v>
      </c>
      <c r="BG34" s="48" t="s">
        <v>812</v>
      </c>
      <c r="BH34" s="48" t="s">
        <v>812</v>
      </c>
      <c r="BI34" s="48"/>
      <c r="BJ34" s="48"/>
      <c r="BK34" s="121" t="s">
        <v>1680</v>
      </c>
      <c r="BL34" s="121" t="s">
        <v>1680</v>
      </c>
      <c r="BM34" s="121" t="s">
        <v>1803</v>
      </c>
      <c r="BN34" s="121" t="s">
        <v>1803</v>
      </c>
      <c r="BO34" s="2"/>
      <c r="BP34" s="3"/>
      <c r="BQ34" s="3"/>
      <c r="BR34" s="3"/>
      <c r="BS34" s="3"/>
    </row>
    <row r="35" spans="1:71" ht="15">
      <c r="A35" s="65" t="s">
        <v>243</v>
      </c>
      <c r="B35" s="66"/>
      <c r="C35" s="66"/>
      <c r="D35" s="67">
        <v>1000</v>
      </c>
      <c r="E35" s="69"/>
      <c r="F35" s="99" t="str">
        <f>HYPERLINK("https://yt3.ggpht.com/a/AATXAJxYNexvn-znQoXeWiEPSvFEDxlL4c-HHWkVvThgzA=s88-c-k-c0xffffffff-no-rj-mo")</f>
        <v>https://yt3.ggpht.com/a/AATXAJxYNexvn-znQoXeWiEPSvFEDxlL4c-HHWkVvThgzA=s88-c-k-c0xffffffff-no-rj-mo</v>
      </c>
      <c r="G35" s="66"/>
      <c r="H35" s="70" t="s">
        <v>584</v>
      </c>
      <c r="I35" s="71"/>
      <c r="J35" s="71"/>
      <c r="K35" s="70" t="s">
        <v>584</v>
      </c>
      <c r="L35" s="74">
        <v>1818.8181818181818</v>
      </c>
      <c r="M35" s="75">
        <v>213.3612823486328</v>
      </c>
      <c r="N35" s="75">
        <v>1247.2010498046875</v>
      </c>
      <c r="O35" s="76"/>
      <c r="P35" s="77"/>
      <c r="Q35" s="77"/>
      <c r="R35" s="85"/>
      <c r="S35" s="48">
        <v>2</v>
      </c>
      <c r="T35" s="48">
        <v>2</v>
      </c>
      <c r="U35" s="49">
        <v>0</v>
      </c>
      <c r="V35" s="49">
        <v>0.037037</v>
      </c>
      <c r="W35" s="49">
        <v>0.089801</v>
      </c>
      <c r="X35" s="49">
        <v>0.968494</v>
      </c>
      <c r="Y35" s="49">
        <v>0</v>
      </c>
      <c r="Z35" s="49">
        <v>1</v>
      </c>
      <c r="AA35" s="72">
        <v>35</v>
      </c>
      <c r="AB35" s="72"/>
      <c r="AC35" s="73"/>
      <c r="AD35" s="79" t="s">
        <v>584</v>
      </c>
      <c r="AE35" s="79"/>
      <c r="AF35" s="79"/>
      <c r="AG35" s="79"/>
      <c r="AH35" s="79"/>
      <c r="AI35" s="79"/>
      <c r="AJ35" s="83">
        <v>41557.75641203704</v>
      </c>
      <c r="AK35" s="81" t="str">
        <f>HYPERLINK("https://yt3.ggpht.com/a/AATXAJxYNexvn-znQoXeWiEPSvFEDxlL4c-HHWkVvThgzA=s88-c-k-c0xffffffff-no-rj-mo")</f>
        <v>https://yt3.ggpht.com/a/AATXAJxYNexvn-znQoXeWiEPSvFEDxlL4c-HHWkVvThgzA=s88-c-k-c0xffffffff-no-rj-mo</v>
      </c>
      <c r="AL35" s="79">
        <v>129</v>
      </c>
      <c r="AM35" s="79">
        <v>0</v>
      </c>
      <c r="AN35" s="79">
        <v>1</v>
      </c>
      <c r="AO35" s="79" t="b">
        <v>0</v>
      </c>
      <c r="AP35" s="79">
        <v>3</v>
      </c>
      <c r="AQ35" s="79"/>
      <c r="AR35" s="79"/>
      <c r="AS35" s="79" t="s">
        <v>1028</v>
      </c>
      <c r="AT35" s="81" t="str">
        <f>HYPERLINK("https://www.youtube.com/channel/UC6bRQV45_B5wpO2bnDjDyow")</f>
        <v>https://www.youtube.com/channel/UC6bRQV45_B5wpO2bnDjDyow</v>
      </c>
      <c r="AU35" s="79" t="str">
        <f>REPLACE(INDEX(GroupVertices[Group],MATCH(Vertices[[#This Row],[Vertex]],GroupVertices[Vertex],0)),1,1,"")</f>
        <v>2</v>
      </c>
      <c r="AV35" s="48">
        <v>0</v>
      </c>
      <c r="AW35" s="49">
        <v>0</v>
      </c>
      <c r="AX35" s="48">
        <v>1</v>
      </c>
      <c r="AY35" s="49">
        <v>1.7543859649122806</v>
      </c>
      <c r="AZ35" s="48">
        <v>0</v>
      </c>
      <c r="BA35" s="49">
        <v>0</v>
      </c>
      <c r="BB35" s="48">
        <v>56</v>
      </c>
      <c r="BC35" s="49">
        <v>98.24561403508773</v>
      </c>
      <c r="BD35" s="48">
        <v>57</v>
      </c>
      <c r="BE35" s="48"/>
      <c r="BF35" s="48"/>
      <c r="BG35" s="48"/>
      <c r="BH35" s="48"/>
      <c r="BI35" s="48"/>
      <c r="BJ35" s="48"/>
      <c r="BK35" s="121" t="s">
        <v>1681</v>
      </c>
      <c r="BL35" s="121" t="s">
        <v>1681</v>
      </c>
      <c r="BM35" s="121" t="s">
        <v>1804</v>
      </c>
      <c r="BN35" s="121" t="s">
        <v>1804</v>
      </c>
      <c r="BO35" s="2"/>
      <c r="BP35" s="3"/>
      <c r="BQ35" s="3"/>
      <c r="BR35" s="3"/>
      <c r="BS35" s="3"/>
    </row>
    <row r="36" spans="1:71" ht="15">
      <c r="A36" s="65" t="s">
        <v>244</v>
      </c>
      <c r="B36" s="66"/>
      <c r="C36" s="66"/>
      <c r="D36" s="67">
        <v>1000</v>
      </c>
      <c r="E36" s="69"/>
      <c r="F36" s="99" t="str">
        <f>HYPERLINK("https://yt3.ggpht.com/a/AATXAJyt800pttNamnhqjr20Q71UQ6EnxfMOJRnhFA=s88-c-k-c0xffffffff-no-rj-mo")</f>
        <v>https://yt3.ggpht.com/a/AATXAJyt800pttNamnhqjr20Q71UQ6EnxfMOJRnhFA=s88-c-k-c0xffffffff-no-rj-mo</v>
      </c>
      <c r="G36" s="66"/>
      <c r="H36" s="70" t="s">
        <v>585</v>
      </c>
      <c r="I36" s="71"/>
      <c r="J36" s="71"/>
      <c r="K36" s="70" t="s">
        <v>585</v>
      </c>
      <c r="L36" s="74">
        <v>2727.7272727272725</v>
      </c>
      <c r="M36" s="75">
        <v>5859.39892578125</v>
      </c>
      <c r="N36" s="75">
        <v>1267.768310546875</v>
      </c>
      <c r="O36" s="76"/>
      <c r="P36" s="77"/>
      <c r="Q36" s="77"/>
      <c r="R36" s="85"/>
      <c r="S36" s="48">
        <v>3</v>
      </c>
      <c r="T36" s="48">
        <v>3</v>
      </c>
      <c r="U36" s="49">
        <v>6</v>
      </c>
      <c r="V36" s="49">
        <v>0.333333</v>
      </c>
      <c r="W36" s="49">
        <v>0</v>
      </c>
      <c r="X36" s="49">
        <v>1.918911</v>
      </c>
      <c r="Y36" s="49">
        <v>0</v>
      </c>
      <c r="Z36" s="49">
        <v>1</v>
      </c>
      <c r="AA36" s="72">
        <v>36</v>
      </c>
      <c r="AB36" s="72"/>
      <c r="AC36" s="73"/>
      <c r="AD36" s="79" t="s">
        <v>585</v>
      </c>
      <c r="AE36" s="79"/>
      <c r="AF36" s="79"/>
      <c r="AG36" s="79"/>
      <c r="AH36" s="79"/>
      <c r="AI36" s="79"/>
      <c r="AJ36" s="83">
        <v>43974.953356481485</v>
      </c>
      <c r="AK36" s="81" t="str">
        <f>HYPERLINK("https://yt3.ggpht.com/a/AATXAJyt800pttNamnhqjr20Q71UQ6EnxfMOJRnhFA=s88-c-k-c0xffffffff-no-rj-mo")</f>
        <v>https://yt3.ggpht.com/a/AATXAJyt800pttNamnhqjr20Q71UQ6EnxfMOJRnhFA=s88-c-k-c0xffffffff-no-rj-mo</v>
      </c>
      <c r="AL36" s="79">
        <v>783</v>
      </c>
      <c r="AM36" s="79">
        <v>0</v>
      </c>
      <c r="AN36" s="79">
        <v>177</v>
      </c>
      <c r="AO36" s="79" t="b">
        <v>0</v>
      </c>
      <c r="AP36" s="79">
        <v>2</v>
      </c>
      <c r="AQ36" s="79"/>
      <c r="AR36" s="79"/>
      <c r="AS36" s="79" t="s">
        <v>1028</v>
      </c>
      <c r="AT36" s="81" t="str">
        <f>HYPERLINK("https://www.youtube.com/channel/UCOZRKgwJMnfnipCEy9CxCjg")</f>
        <v>https://www.youtube.com/channel/UCOZRKgwJMnfnipCEy9CxCjg</v>
      </c>
      <c r="AU36" s="79" t="str">
        <f>REPLACE(INDEX(GroupVertices[Group],MATCH(Vertices[[#This Row],[Vertex]],GroupVertices[Vertex],0)),1,1,"")</f>
        <v>15</v>
      </c>
      <c r="AV36" s="48">
        <v>5</v>
      </c>
      <c r="AW36" s="49">
        <v>11.11111111111111</v>
      </c>
      <c r="AX36" s="48">
        <v>0</v>
      </c>
      <c r="AY36" s="49">
        <v>0</v>
      </c>
      <c r="AZ36" s="48">
        <v>0</v>
      </c>
      <c r="BA36" s="49">
        <v>0</v>
      </c>
      <c r="BB36" s="48">
        <v>40</v>
      </c>
      <c r="BC36" s="49">
        <v>88.88888888888889</v>
      </c>
      <c r="BD36" s="48">
        <v>45</v>
      </c>
      <c r="BE36" s="48"/>
      <c r="BF36" s="48"/>
      <c r="BG36" s="48"/>
      <c r="BH36" s="48"/>
      <c r="BI36" s="48"/>
      <c r="BJ36" s="48"/>
      <c r="BK36" s="121" t="s">
        <v>1682</v>
      </c>
      <c r="BL36" s="121" t="s">
        <v>1682</v>
      </c>
      <c r="BM36" s="121" t="s">
        <v>1805</v>
      </c>
      <c r="BN36" s="121" t="s">
        <v>1805</v>
      </c>
      <c r="BO36" s="2"/>
      <c r="BP36" s="3"/>
      <c r="BQ36" s="3"/>
      <c r="BR36" s="3"/>
      <c r="BS36" s="3"/>
    </row>
    <row r="37" spans="1:71" ht="15">
      <c r="A37" s="65" t="s">
        <v>245</v>
      </c>
      <c r="B37" s="66"/>
      <c r="C37" s="66"/>
      <c r="D37" s="67">
        <v>600</v>
      </c>
      <c r="E37" s="69"/>
      <c r="F37" s="99" t="str">
        <f>HYPERLINK("https://yt3.ggpht.com/a/AATXAJxAjF_0OvulYOKww7q_OFmJcsLYzNhk7U0QgA=s88-c-k-c0xffffffff-no-rj-mo")</f>
        <v>https://yt3.ggpht.com/a/AATXAJxAjF_0OvulYOKww7q_OFmJcsLYzNhk7U0QgA=s88-c-k-c0xffffffff-no-rj-mo</v>
      </c>
      <c r="G37" s="66"/>
      <c r="H37" s="70" t="s">
        <v>586</v>
      </c>
      <c r="I37" s="71"/>
      <c r="J37" s="71"/>
      <c r="K37" s="70" t="s">
        <v>586</v>
      </c>
      <c r="L37" s="74">
        <v>909.9090909090909</v>
      </c>
      <c r="M37" s="75">
        <v>5434.70068359375</v>
      </c>
      <c r="N37" s="75">
        <v>2138.514404296875</v>
      </c>
      <c r="O37" s="76"/>
      <c r="P37" s="77"/>
      <c r="Q37" s="77"/>
      <c r="R37" s="85"/>
      <c r="S37" s="48">
        <v>1</v>
      </c>
      <c r="T37" s="48">
        <v>1</v>
      </c>
      <c r="U37" s="49">
        <v>0</v>
      </c>
      <c r="V37" s="49">
        <v>0.2</v>
      </c>
      <c r="W37" s="49">
        <v>0</v>
      </c>
      <c r="X37" s="49">
        <v>0.693691</v>
      </c>
      <c r="Y37" s="49">
        <v>0</v>
      </c>
      <c r="Z37" s="49">
        <v>1</v>
      </c>
      <c r="AA37" s="72">
        <v>37</v>
      </c>
      <c r="AB37" s="72"/>
      <c r="AC37" s="73"/>
      <c r="AD37" s="79" t="s">
        <v>586</v>
      </c>
      <c r="AE37" s="79"/>
      <c r="AF37" s="79"/>
      <c r="AG37" s="79"/>
      <c r="AH37" s="79"/>
      <c r="AI37" s="79"/>
      <c r="AJ37" s="83">
        <v>41567.74596064815</v>
      </c>
      <c r="AK37" s="81" t="str">
        <f>HYPERLINK("https://yt3.ggpht.com/a/AATXAJxAjF_0OvulYOKww7q_OFmJcsLYzNhk7U0QgA=s88-c-k-c0xffffffff-no-rj-mo")</f>
        <v>https://yt3.ggpht.com/a/AATXAJxAjF_0OvulYOKww7q_OFmJcsLYzNhk7U0QgA=s88-c-k-c0xffffffff-no-rj-mo</v>
      </c>
      <c r="AL37" s="79">
        <v>12</v>
      </c>
      <c r="AM37" s="79">
        <v>0</v>
      </c>
      <c r="AN37" s="79">
        <v>0</v>
      </c>
      <c r="AO37" s="79" t="b">
        <v>0</v>
      </c>
      <c r="AP37" s="79">
        <v>1</v>
      </c>
      <c r="AQ37" s="79"/>
      <c r="AR37" s="79"/>
      <c r="AS37" s="79" t="s">
        <v>1028</v>
      </c>
      <c r="AT37" s="81" t="str">
        <f>HYPERLINK("https://www.youtube.com/channel/UCefzkIWdkuRt3d5LpN315rw")</f>
        <v>https://www.youtube.com/channel/UCefzkIWdkuRt3d5LpN315rw</v>
      </c>
      <c r="AU37" s="79" t="str">
        <f>REPLACE(INDEX(GroupVertices[Group],MATCH(Vertices[[#This Row],[Vertex]],GroupVertices[Vertex],0)),1,1,"")</f>
        <v>15</v>
      </c>
      <c r="AV37" s="48">
        <v>1</v>
      </c>
      <c r="AW37" s="49">
        <v>8.333333333333334</v>
      </c>
      <c r="AX37" s="48">
        <v>0</v>
      </c>
      <c r="AY37" s="49">
        <v>0</v>
      </c>
      <c r="AZ37" s="48">
        <v>0</v>
      </c>
      <c r="BA37" s="49">
        <v>0</v>
      </c>
      <c r="BB37" s="48">
        <v>11</v>
      </c>
      <c r="BC37" s="49">
        <v>91.66666666666667</v>
      </c>
      <c r="BD37" s="48">
        <v>12</v>
      </c>
      <c r="BE37" s="48"/>
      <c r="BF37" s="48"/>
      <c r="BG37" s="48"/>
      <c r="BH37" s="48"/>
      <c r="BI37" s="48"/>
      <c r="BJ37" s="48"/>
      <c r="BK37" s="121" t="s">
        <v>1683</v>
      </c>
      <c r="BL37" s="121" t="s">
        <v>1683</v>
      </c>
      <c r="BM37" s="121" t="s">
        <v>1806</v>
      </c>
      <c r="BN37" s="121" t="s">
        <v>1806</v>
      </c>
      <c r="BO37" s="2"/>
      <c r="BP37" s="3"/>
      <c r="BQ37" s="3"/>
      <c r="BR37" s="3"/>
      <c r="BS37" s="3"/>
    </row>
    <row r="38" spans="1:71" ht="15">
      <c r="A38" s="65" t="s">
        <v>246</v>
      </c>
      <c r="B38" s="66"/>
      <c r="C38" s="66"/>
      <c r="D38" s="67">
        <v>600</v>
      </c>
      <c r="E38" s="69"/>
      <c r="F38" s="99" t="str">
        <f>HYPERLINK("https://yt3.ggpht.com/a/AATXAJwix4AhvKNNRXX1OCsoziRDrG7VCBRtYfhWZ6HD=s88-c-k-c0xffffffff-no-rj-mo")</f>
        <v>https://yt3.ggpht.com/a/AATXAJwix4AhvKNNRXX1OCsoziRDrG7VCBRtYfhWZ6HD=s88-c-k-c0xffffffff-no-rj-mo</v>
      </c>
      <c r="G38" s="66"/>
      <c r="H38" s="70" t="s">
        <v>587</v>
      </c>
      <c r="I38" s="71"/>
      <c r="J38" s="71"/>
      <c r="K38" s="70" t="s">
        <v>587</v>
      </c>
      <c r="L38" s="74">
        <v>909.9090909090909</v>
      </c>
      <c r="M38" s="75">
        <v>6474.9365234375</v>
      </c>
      <c r="N38" s="75">
        <v>1520.2962646484375</v>
      </c>
      <c r="O38" s="76"/>
      <c r="P38" s="77"/>
      <c r="Q38" s="77"/>
      <c r="R38" s="85"/>
      <c r="S38" s="48">
        <v>1</v>
      </c>
      <c r="T38" s="48">
        <v>1</v>
      </c>
      <c r="U38" s="49">
        <v>0</v>
      </c>
      <c r="V38" s="49">
        <v>0.2</v>
      </c>
      <c r="W38" s="49">
        <v>0</v>
      </c>
      <c r="X38" s="49">
        <v>0.693691</v>
      </c>
      <c r="Y38" s="49">
        <v>0</v>
      </c>
      <c r="Z38" s="49">
        <v>1</v>
      </c>
      <c r="AA38" s="72">
        <v>38</v>
      </c>
      <c r="AB38" s="72"/>
      <c r="AC38" s="73"/>
      <c r="AD38" s="79" t="s">
        <v>587</v>
      </c>
      <c r="AE38" s="79"/>
      <c r="AF38" s="79"/>
      <c r="AG38" s="79"/>
      <c r="AH38" s="79"/>
      <c r="AI38" s="79"/>
      <c r="AJ38" s="83">
        <v>40989.00027777778</v>
      </c>
      <c r="AK38" s="81" t="str">
        <f>HYPERLINK("https://yt3.ggpht.com/a/AATXAJwix4AhvKNNRXX1OCsoziRDrG7VCBRtYfhWZ6HD=s88-c-k-c0xffffffff-no-rj-mo")</f>
        <v>https://yt3.ggpht.com/a/AATXAJwix4AhvKNNRXX1OCsoziRDrG7VCBRtYfhWZ6HD=s88-c-k-c0xffffffff-no-rj-mo</v>
      </c>
      <c r="AL38" s="79">
        <v>70</v>
      </c>
      <c r="AM38" s="79">
        <v>0</v>
      </c>
      <c r="AN38" s="79">
        <v>0</v>
      </c>
      <c r="AO38" s="79" t="b">
        <v>0</v>
      </c>
      <c r="AP38" s="79">
        <v>1</v>
      </c>
      <c r="AQ38" s="79"/>
      <c r="AR38" s="79"/>
      <c r="AS38" s="79" t="s">
        <v>1028</v>
      </c>
      <c r="AT38" s="81" t="str">
        <f>HYPERLINK("https://www.youtube.com/channel/UCKp092ExKFKNPf0rFaWOS8Q")</f>
        <v>https://www.youtube.com/channel/UCKp092ExKFKNPf0rFaWOS8Q</v>
      </c>
      <c r="AU38" s="79" t="str">
        <f>REPLACE(INDEX(GroupVertices[Group],MATCH(Vertices[[#This Row],[Vertex]],GroupVertices[Vertex],0)),1,1,"")</f>
        <v>15</v>
      </c>
      <c r="AV38" s="48">
        <v>2</v>
      </c>
      <c r="AW38" s="49">
        <v>28.571428571428573</v>
      </c>
      <c r="AX38" s="48">
        <v>0</v>
      </c>
      <c r="AY38" s="49">
        <v>0</v>
      </c>
      <c r="AZ38" s="48">
        <v>0</v>
      </c>
      <c r="BA38" s="49">
        <v>0</v>
      </c>
      <c r="BB38" s="48">
        <v>5</v>
      </c>
      <c r="BC38" s="49">
        <v>71.42857142857143</v>
      </c>
      <c r="BD38" s="48">
        <v>7</v>
      </c>
      <c r="BE38" s="48"/>
      <c r="BF38" s="48"/>
      <c r="BG38" s="48"/>
      <c r="BH38" s="48"/>
      <c r="BI38" s="48"/>
      <c r="BJ38" s="48"/>
      <c r="BK38" s="121" t="s">
        <v>1684</v>
      </c>
      <c r="BL38" s="121" t="s">
        <v>1684</v>
      </c>
      <c r="BM38" s="121" t="s">
        <v>1807</v>
      </c>
      <c r="BN38" s="121" t="s">
        <v>1807</v>
      </c>
      <c r="BO38" s="2"/>
      <c r="BP38" s="3"/>
      <c r="BQ38" s="3"/>
      <c r="BR38" s="3"/>
      <c r="BS38" s="3"/>
    </row>
    <row r="39" spans="1:71" ht="15">
      <c r="A39" s="65" t="s">
        <v>247</v>
      </c>
      <c r="B39" s="66"/>
      <c r="C39" s="66"/>
      <c r="D39" s="67">
        <v>600</v>
      </c>
      <c r="E39" s="69"/>
      <c r="F39" s="99" t="str">
        <f>HYPERLINK("https://yt3.ggpht.com/a/AATXAJwiz93wXi0Qx7Uf1620jqrkmtp0DWeYNaxn0w=s88-c-k-c0xffffffff-no-rj-mo")</f>
        <v>https://yt3.ggpht.com/a/AATXAJwiz93wXi0Qx7Uf1620jqrkmtp0DWeYNaxn0w=s88-c-k-c0xffffffff-no-rj-mo</v>
      </c>
      <c r="G39" s="66"/>
      <c r="H39" s="70" t="s">
        <v>588</v>
      </c>
      <c r="I39" s="71"/>
      <c r="J39" s="71"/>
      <c r="K39" s="70" t="s">
        <v>588</v>
      </c>
      <c r="L39" s="74">
        <v>909.9090909090909</v>
      </c>
      <c r="M39" s="75">
        <v>5668.560546875</v>
      </c>
      <c r="N39" s="75">
        <v>204.4596710205078</v>
      </c>
      <c r="O39" s="76"/>
      <c r="P39" s="77"/>
      <c r="Q39" s="77"/>
      <c r="R39" s="85"/>
      <c r="S39" s="48">
        <v>1</v>
      </c>
      <c r="T39" s="48">
        <v>1</v>
      </c>
      <c r="U39" s="49">
        <v>0</v>
      </c>
      <c r="V39" s="49">
        <v>0.2</v>
      </c>
      <c r="W39" s="49">
        <v>0</v>
      </c>
      <c r="X39" s="49">
        <v>0.693691</v>
      </c>
      <c r="Y39" s="49">
        <v>0</v>
      </c>
      <c r="Z39" s="49">
        <v>1</v>
      </c>
      <c r="AA39" s="72">
        <v>39</v>
      </c>
      <c r="AB39" s="72"/>
      <c r="AC39" s="73"/>
      <c r="AD39" s="79" t="s">
        <v>588</v>
      </c>
      <c r="AE39" s="79"/>
      <c r="AF39" s="79"/>
      <c r="AG39" s="79"/>
      <c r="AH39" s="79"/>
      <c r="AI39" s="79"/>
      <c r="AJ39" s="83">
        <v>40805.13443287037</v>
      </c>
      <c r="AK39" s="81" t="str">
        <f>HYPERLINK("https://yt3.ggpht.com/a/AATXAJwiz93wXi0Qx7Uf1620jqrkmtp0DWeYNaxn0w=s88-c-k-c0xffffffff-no-rj-mo")</f>
        <v>https://yt3.ggpht.com/a/AATXAJwiz93wXi0Qx7Uf1620jqrkmtp0DWeYNaxn0w=s88-c-k-c0xffffffff-no-rj-mo</v>
      </c>
      <c r="AL39" s="79">
        <v>76</v>
      </c>
      <c r="AM39" s="79">
        <v>0</v>
      </c>
      <c r="AN39" s="79">
        <v>3</v>
      </c>
      <c r="AO39" s="79" t="b">
        <v>0</v>
      </c>
      <c r="AP39" s="79">
        <v>1</v>
      </c>
      <c r="AQ39" s="79"/>
      <c r="AR39" s="79"/>
      <c r="AS39" s="79" t="s">
        <v>1028</v>
      </c>
      <c r="AT39" s="81" t="str">
        <f>HYPERLINK("https://www.youtube.com/channel/UCB4WHxT7ICmN6NBDBHlhysA")</f>
        <v>https://www.youtube.com/channel/UCB4WHxT7ICmN6NBDBHlhysA</v>
      </c>
      <c r="AU39" s="79" t="str">
        <f>REPLACE(INDEX(GroupVertices[Group],MATCH(Vertices[[#This Row],[Vertex]],GroupVertices[Vertex],0)),1,1,"")</f>
        <v>15</v>
      </c>
      <c r="AV39" s="48">
        <v>4</v>
      </c>
      <c r="AW39" s="49">
        <v>9.30232558139535</v>
      </c>
      <c r="AX39" s="48">
        <v>0</v>
      </c>
      <c r="AY39" s="49">
        <v>0</v>
      </c>
      <c r="AZ39" s="48">
        <v>0</v>
      </c>
      <c r="BA39" s="49">
        <v>0</v>
      </c>
      <c r="BB39" s="48">
        <v>39</v>
      </c>
      <c r="BC39" s="49">
        <v>90.69767441860465</v>
      </c>
      <c r="BD39" s="48">
        <v>43</v>
      </c>
      <c r="BE39" s="48"/>
      <c r="BF39" s="48"/>
      <c r="BG39" s="48"/>
      <c r="BH39" s="48"/>
      <c r="BI39" s="48"/>
      <c r="BJ39" s="48"/>
      <c r="BK39" s="121" t="s">
        <v>1685</v>
      </c>
      <c r="BL39" s="121" t="s">
        <v>1685</v>
      </c>
      <c r="BM39" s="121" t="s">
        <v>1808</v>
      </c>
      <c r="BN39" s="121" t="s">
        <v>1808</v>
      </c>
      <c r="BO39" s="2"/>
      <c r="BP39" s="3"/>
      <c r="BQ39" s="3"/>
      <c r="BR39" s="3"/>
      <c r="BS39" s="3"/>
    </row>
    <row r="40" spans="1:71" ht="15">
      <c r="A40" s="65" t="s">
        <v>248</v>
      </c>
      <c r="B40" s="66"/>
      <c r="C40" s="66"/>
      <c r="D40" s="67">
        <v>200</v>
      </c>
      <c r="E40" s="69"/>
      <c r="F40" s="99" t="str">
        <f>HYPERLINK("https://yt3.ggpht.com/a/AATXAJxT14eu2Q9w55IYuZLqQfigI9jCGYwmEWYtwA=s88-c-k-c0xffffffff-no-rj-mo")</f>
        <v>https://yt3.ggpht.com/a/AATXAJxT14eu2Q9w55IYuZLqQfigI9jCGYwmEWYtwA=s88-c-k-c0xffffffff-no-rj-mo</v>
      </c>
      <c r="G40" s="66"/>
      <c r="H40" s="70" t="s">
        <v>589</v>
      </c>
      <c r="I40" s="71"/>
      <c r="J40" s="71"/>
      <c r="K40" s="70" t="s">
        <v>589</v>
      </c>
      <c r="L40" s="74">
        <v>1</v>
      </c>
      <c r="M40" s="75">
        <v>7143.6591796875</v>
      </c>
      <c r="N40" s="75">
        <v>4956.15185546875</v>
      </c>
      <c r="O40" s="76"/>
      <c r="P40" s="77"/>
      <c r="Q40" s="77"/>
      <c r="R40" s="85"/>
      <c r="S40" s="48">
        <v>0</v>
      </c>
      <c r="T40" s="48">
        <v>1</v>
      </c>
      <c r="U40" s="49">
        <v>0</v>
      </c>
      <c r="V40" s="49">
        <v>0.1</v>
      </c>
      <c r="W40" s="49">
        <v>0</v>
      </c>
      <c r="X40" s="49">
        <v>0.672632</v>
      </c>
      <c r="Y40" s="49">
        <v>0</v>
      </c>
      <c r="Z40" s="49">
        <v>0</v>
      </c>
      <c r="AA40" s="72">
        <v>40</v>
      </c>
      <c r="AB40" s="72"/>
      <c r="AC40" s="73"/>
      <c r="AD40" s="79" t="s">
        <v>589</v>
      </c>
      <c r="AE40" s="79"/>
      <c r="AF40" s="79"/>
      <c r="AG40" s="79"/>
      <c r="AH40" s="79"/>
      <c r="AI40" s="79"/>
      <c r="AJ40" s="83">
        <v>43914.69085648148</v>
      </c>
      <c r="AK40" s="81" t="str">
        <f>HYPERLINK("https://yt3.ggpht.com/a/AATXAJxT14eu2Q9w55IYuZLqQfigI9jCGYwmEWYtwA=s88-c-k-c0xffffffff-no-rj-mo")</f>
        <v>https://yt3.ggpht.com/a/AATXAJxT14eu2Q9w55IYuZLqQfigI9jCGYwmEWYtwA=s88-c-k-c0xffffffff-no-rj-mo</v>
      </c>
      <c r="AL40" s="79">
        <v>0</v>
      </c>
      <c r="AM40" s="79">
        <v>0</v>
      </c>
      <c r="AN40" s="79">
        <v>0</v>
      </c>
      <c r="AO40" s="79" t="b">
        <v>0</v>
      </c>
      <c r="AP40" s="79">
        <v>0</v>
      </c>
      <c r="AQ40" s="79"/>
      <c r="AR40" s="79"/>
      <c r="AS40" s="79" t="s">
        <v>1028</v>
      </c>
      <c r="AT40" s="81" t="str">
        <f>HYPERLINK("https://www.youtube.com/channel/UC0kpOb4XER93vxjw7DysYsg")</f>
        <v>https://www.youtube.com/channel/UC0kpOb4XER93vxjw7DysYsg</v>
      </c>
      <c r="AU40" s="79" t="str">
        <f>REPLACE(INDEX(GroupVertices[Group],MATCH(Vertices[[#This Row],[Vertex]],GroupVertices[Vertex],0)),1,1,"")</f>
        <v>12</v>
      </c>
      <c r="AV40" s="48">
        <v>0</v>
      </c>
      <c r="AW40" s="49">
        <v>0</v>
      </c>
      <c r="AX40" s="48">
        <v>0</v>
      </c>
      <c r="AY40" s="49">
        <v>0</v>
      </c>
      <c r="AZ40" s="48">
        <v>0</v>
      </c>
      <c r="BA40" s="49">
        <v>0</v>
      </c>
      <c r="BB40" s="48">
        <v>12</v>
      </c>
      <c r="BC40" s="49">
        <v>100</v>
      </c>
      <c r="BD40" s="48">
        <v>12</v>
      </c>
      <c r="BE40" s="48"/>
      <c r="BF40" s="48"/>
      <c r="BG40" s="48"/>
      <c r="BH40" s="48"/>
      <c r="BI40" s="48"/>
      <c r="BJ40" s="48"/>
      <c r="BK40" s="121" t="s">
        <v>1686</v>
      </c>
      <c r="BL40" s="121" t="s">
        <v>1686</v>
      </c>
      <c r="BM40" s="121" t="s">
        <v>1809</v>
      </c>
      <c r="BN40" s="121" t="s">
        <v>1809</v>
      </c>
      <c r="BO40" s="2"/>
      <c r="BP40" s="3"/>
      <c r="BQ40" s="3"/>
      <c r="BR40" s="3"/>
      <c r="BS40" s="3"/>
    </row>
    <row r="41" spans="1:71" ht="15">
      <c r="A41" s="65" t="s">
        <v>249</v>
      </c>
      <c r="B41" s="66"/>
      <c r="C41" s="66"/>
      <c r="D41" s="67">
        <v>600</v>
      </c>
      <c r="E41" s="69"/>
      <c r="F41" s="99" t="str">
        <f>HYPERLINK("https://yt3.ggpht.com/a/AATXAJzo8UZcj7Cu8z-8wUTAdiZRDn10iKrX9r1hdA=s88-c-k-c0xffffffff-no-rj-mo")</f>
        <v>https://yt3.ggpht.com/a/AATXAJzo8UZcj7Cu8z-8wUTAdiZRDn10iKrX9r1hdA=s88-c-k-c0xffffffff-no-rj-mo</v>
      </c>
      <c r="G41" s="66"/>
      <c r="H41" s="70" t="s">
        <v>590</v>
      </c>
      <c r="I41" s="71"/>
      <c r="J41" s="71"/>
      <c r="K41" s="70" t="s">
        <v>590</v>
      </c>
      <c r="L41" s="74">
        <v>909.9090909090909</v>
      </c>
      <c r="M41" s="75">
        <v>7465.373046875</v>
      </c>
      <c r="N41" s="75">
        <v>5465.87158203125</v>
      </c>
      <c r="O41" s="76"/>
      <c r="P41" s="77"/>
      <c r="Q41" s="77"/>
      <c r="R41" s="85"/>
      <c r="S41" s="48">
        <v>1</v>
      </c>
      <c r="T41" s="48">
        <v>1</v>
      </c>
      <c r="U41" s="49">
        <v>6</v>
      </c>
      <c r="V41" s="49">
        <v>0.142857</v>
      </c>
      <c r="W41" s="49">
        <v>0</v>
      </c>
      <c r="X41" s="49">
        <v>1.229724</v>
      </c>
      <c r="Y41" s="49">
        <v>0</v>
      </c>
      <c r="Z41" s="49">
        <v>0</v>
      </c>
      <c r="AA41" s="72">
        <v>41</v>
      </c>
      <c r="AB41" s="72"/>
      <c r="AC41" s="73"/>
      <c r="AD41" s="79" t="s">
        <v>590</v>
      </c>
      <c r="AE41" s="79"/>
      <c r="AF41" s="79"/>
      <c r="AG41" s="79"/>
      <c r="AH41" s="79"/>
      <c r="AI41" s="79"/>
      <c r="AJ41" s="83">
        <v>40844.52172453704</v>
      </c>
      <c r="AK41" s="81" t="str">
        <f>HYPERLINK("https://yt3.ggpht.com/a/AATXAJzo8UZcj7Cu8z-8wUTAdiZRDn10iKrX9r1hdA=s88-c-k-c0xffffffff-no-rj-mo")</f>
        <v>https://yt3.ggpht.com/a/AATXAJzo8UZcj7Cu8z-8wUTAdiZRDn10iKrX9r1hdA=s88-c-k-c0xffffffff-no-rj-mo</v>
      </c>
      <c r="AL41" s="79">
        <v>0</v>
      </c>
      <c r="AM41" s="79">
        <v>0</v>
      </c>
      <c r="AN41" s="79">
        <v>1</v>
      </c>
      <c r="AO41" s="79" t="b">
        <v>0</v>
      </c>
      <c r="AP41" s="79">
        <v>0</v>
      </c>
      <c r="AQ41" s="79"/>
      <c r="AR41" s="79"/>
      <c r="AS41" s="79" t="s">
        <v>1028</v>
      </c>
      <c r="AT41" s="81" t="str">
        <f>HYPERLINK("https://www.youtube.com/channel/UCJT-Fnl8tDkFWLESDSDZjng")</f>
        <v>https://www.youtube.com/channel/UCJT-Fnl8tDkFWLESDSDZjng</v>
      </c>
      <c r="AU41" s="79" t="str">
        <f>REPLACE(INDEX(GroupVertices[Group],MATCH(Vertices[[#This Row],[Vertex]],GroupVertices[Vertex],0)),1,1,"")</f>
        <v>12</v>
      </c>
      <c r="AV41" s="48">
        <v>0</v>
      </c>
      <c r="AW41" s="49">
        <v>0</v>
      </c>
      <c r="AX41" s="48">
        <v>0</v>
      </c>
      <c r="AY41" s="49">
        <v>0</v>
      </c>
      <c r="AZ41" s="48">
        <v>0</v>
      </c>
      <c r="BA41" s="49">
        <v>0</v>
      </c>
      <c r="BB41" s="48">
        <v>16</v>
      </c>
      <c r="BC41" s="49">
        <v>100</v>
      </c>
      <c r="BD41" s="48">
        <v>16</v>
      </c>
      <c r="BE41" s="48"/>
      <c r="BF41" s="48"/>
      <c r="BG41" s="48"/>
      <c r="BH41" s="48"/>
      <c r="BI41" s="48"/>
      <c r="BJ41" s="48"/>
      <c r="BK41" s="121" t="s">
        <v>1687</v>
      </c>
      <c r="BL41" s="121" t="s">
        <v>1687</v>
      </c>
      <c r="BM41" s="121" t="s">
        <v>1810</v>
      </c>
      <c r="BN41" s="121" t="s">
        <v>1810</v>
      </c>
      <c r="BO41" s="2"/>
      <c r="BP41" s="3"/>
      <c r="BQ41" s="3"/>
      <c r="BR41" s="3"/>
      <c r="BS41" s="3"/>
    </row>
    <row r="42" spans="1:71" ht="15">
      <c r="A42" s="65" t="s">
        <v>329</v>
      </c>
      <c r="B42" s="66"/>
      <c r="C42" s="66"/>
      <c r="D42" s="67">
        <v>1000</v>
      </c>
      <c r="E42" s="69"/>
      <c r="F42" s="99" t="str">
        <f>HYPERLINK("https://yt3.ggpht.com/a/AATXAJwNoCNX_xOs-BGwtJ8GhpXkCnjLvfkZlO7wmnGY3A=s88-c-k-c0xffffffff-no-rj-mo")</f>
        <v>https://yt3.ggpht.com/a/AATXAJwNoCNX_xOs-BGwtJ8GhpXkCnjLvfkZlO7wmnGY3A=s88-c-k-c0xffffffff-no-rj-mo</v>
      </c>
      <c r="G42" s="66"/>
      <c r="H42" s="70" t="s">
        <v>876</v>
      </c>
      <c r="I42" s="71"/>
      <c r="J42" s="71"/>
      <c r="K42" s="70" t="s">
        <v>876</v>
      </c>
      <c r="L42" s="74">
        <v>1818.8181818181818</v>
      </c>
      <c r="M42" s="75">
        <v>7784.78271484375</v>
      </c>
      <c r="N42" s="75">
        <v>5978.36962890625</v>
      </c>
      <c r="O42" s="76"/>
      <c r="P42" s="77"/>
      <c r="Q42" s="77"/>
      <c r="R42" s="85"/>
      <c r="S42" s="48">
        <v>2</v>
      </c>
      <c r="T42" s="48">
        <v>0</v>
      </c>
      <c r="U42" s="49">
        <v>8</v>
      </c>
      <c r="V42" s="49">
        <v>0.166667</v>
      </c>
      <c r="W42" s="49">
        <v>0</v>
      </c>
      <c r="X42" s="49">
        <v>1.195265</v>
      </c>
      <c r="Y42" s="49">
        <v>0</v>
      </c>
      <c r="Z42" s="49">
        <v>0</v>
      </c>
      <c r="AA42" s="72">
        <v>42</v>
      </c>
      <c r="AB42" s="72"/>
      <c r="AC42" s="73"/>
      <c r="AD42" s="79" t="s">
        <v>876</v>
      </c>
      <c r="AE42" s="79" t="s">
        <v>927</v>
      </c>
      <c r="AF42" s="79"/>
      <c r="AG42" s="79"/>
      <c r="AH42" s="79"/>
      <c r="AI42" s="79" t="s">
        <v>989</v>
      </c>
      <c r="AJ42" s="83">
        <v>42677.9565625</v>
      </c>
      <c r="AK42" s="81" t="str">
        <f>HYPERLINK("https://yt3.ggpht.com/a/AATXAJwNoCNX_xOs-BGwtJ8GhpXkCnjLvfkZlO7wmnGY3A=s88-c-k-c0xffffffff-no-rj-mo")</f>
        <v>https://yt3.ggpht.com/a/AATXAJwNoCNX_xOs-BGwtJ8GhpXkCnjLvfkZlO7wmnGY3A=s88-c-k-c0xffffffff-no-rj-mo</v>
      </c>
      <c r="AL42" s="79">
        <v>8649069</v>
      </c>
      <c r="AM42" s="79">
        <v>0</v>
      </c>
      <c r="AN42" s="79">
        <v>317000</v>
      </c>
      <c r="AO42" s="79" t="b">
        <v>0</v>
      </c>
      <c r="AP42" s="79">
        <v>310</v>
      </c>
      <c r="AQ42" s="79"/>
      <c r="AR42" s="79"/>
      <c r="AS42" s="79" t="s">
        <v>1028</v>
      </c>
      <c r="AT42" s="81" t="str">
        <f>HYPERLINK("https://www.youtube.com/channel/UCw0leRmeaX7R_9BDd3TvCzg")</f>
        <v>https://www.youtube.com/channel/UCw0leRmeaX7R_9BDd3TvCzg</v>
      </c>
      <c r="AU42" s="79" t="str">
        <f>REPLACE(INDEX(GroupVertices[Group],MATCH(Vertices[[#This Row],[Vertex]],GroupVertices[Vertex],0)),1,1,"")</f>
        <v>12</v>
      </c>
      <c r="AV42" s="48"/>
      <c r="AW42" s="49"/>
      <c r="AX42" s="48"/>
      <c r="AY42" s="49"/>
      <c r="AZ42" s="48"/>
      <c r="BA42" s="49"/>
      <c r="BB42" s="48"/>
      <c r="BC42" s="49"/>
      <c r="BD42" s="48"/>
      <c r="BE42" s="48"/>
      <c r="BF42" s="48"/>
      <c r="BG42" s="48"/>
      <c r="BH42" s="48"/>
      <c r="BI42" s="48"/>
      <c r="BJ42" s="48"/>
      <c r="BK42" s="48"/>
      <c r="BL42" s="48"/>
      <c r="BM42" s="48"/>
      <c r="BN42" s="48"/>
      <c r="BO42" s="2"/>
      <c r="BP42" s="3"/>
      <c r="BQ42" s="3"/>
      <c r="BR42" s="3"/>
      <c r="BS42" s="3"/>
    </row>
    <row r="43" spans="1:71" ht="15">
      <c r="A43" s="65" t="s">
        <v>250</v>
      </c>
      <c r="B43" s="66"/>
      <c r="C43" s="66"/>
      <c r="D43" s="67">
        <v>200</v>
      </c>
      <c r="E43" s="69"/>
      <c r="F43" s="99" t="str">
        <f>HYPERLINK("https://yt3.ggpht.com/a/AATXAJwVBhlFkXwylSDFI_nl_Q65YffYyu4YBi7f7g=s88-c-k-c0xffffffff-no-rj-mo")</f>
        <v>https://yt3.ggpht.com/a/AATXAJwVBhlFkXwylSDFI_nl_Q65YffYyu4YBi7f7g=s88-c-k-c0xffffffff-no-rj-mo</v>
      </c>
      <c r="G43" s="66"/>
      <c r="H43" s="70" t="s">
        <v>591</v>
      </c>
      <c r="I43" s="71"/>
      <c r="J43" s="71"/>
      <c r="K43" s="70" t="s">
        <v>591</v>
      </c>
      <c r="L43" s="74">
        <v>1</v>
      </c>
      <c r="M43" s="75">
        <v>8470.490234375</v>
      </c>
      <c r="N43" s="75">
        <v>6950.171875</v>
      </c>
      <c r="O43" s="76"/>
      <c r="P43" s="77"/>
      <c r="Q43" s="77"/>
      <c r="R43" s="85"/>
      <c r="S43" s="48">
        <v>0</v>
      </c>
      <c r="T43" s="48">
        <v>1</v>
      </c>
      <c r="U43" s="49">
        <v>0</v>
      </c>
      <c r="V43" s="49">
        <v>0.1</v>
      </c>
      <c r="W43" s="49">
        <v>0</v>
      </c>
      <c r="X43" s="49">
        <v>0.672632</v>
      </c>
      <c r="Y43" s="49">
        <v>0</v>
      </c>
      <c r="Z43" s="49">
        <v>0</v>
      </c>
      <c r="AA43" s="72">
        <v>43</v>
      </c>
      <c r="AB43" s="72"/>
      <c r="AC43" s="73"/>
      <c r="AD43" s="79" t="s">
        <v>591</v>
      </c>
      <c r="AE43" s="79"/>
      <c r="AF43" s="79"/>
      <c r="AG43" s="79"/>
      <c r="AH43" s="79"/>
      <c r="AI43" s="79"/>
      <c r="AJ43" s="83">
        <v>40775.7096875</v>
      </c>
      <c r="AK43" s="81" t="str">
        <f>HYPERLINK("https://yt3.ggpht.com/a/AATXAJwVBhlFkXwylSDFI_nl_Q65YffYyu4YBi7f7g=s88-c-k-c0xffffffff-no-rj-mo")</f>
        <v>https://yt3.ggpht.com/a/AATXAJwVBhlFkXwylSDFI_nl_Q65YffYyu4YBi7f7g=s88-c-k-c0xffffffff-no-rj-mo</v>
      </c>
      <c r="AL43" s="79">
        <v>312</v>
      </c>
      <c r="AM43" s="79">
        <v>0</v>
      </c>
      <c r="AN43" s="79">
        <v>2</v>
      </c>
      <c r="AO43" s="79" t="b">
        <v>0</v>
      </c>
      <c r="AP43" s="79">
        <v>4</v>
      </c>
      <c r="AQ43" s="79"/>
      <c r="AR43" s="79"/>
      <c r="AS43" s="79" t="s">
        <v>1028</v>
      </c>
      <c r="AT43" s="81" t="str">
        <f>HYPERLINK("https://www.youtube.com/channel/UC4090jrwobUxtTmgxFuKxEg")</f>
        <v>https://www.youtube.com/channel/UC4090jrwobUxtTmgxFuKxEg</v>
      </c>
      <c r="AU43" s="79" t="str">
        <f>REPLACE(INDEX(GroupVertices[Group],MATCH(Vertices[[#This Row],[Vertex]],GroupVertices[Vertex],0)),1,1,"")</f>
        <v>12</v>
      </c>
      <c r="AV43" s="48">
        <v>0</v>
      </c>
      <c r="AW43" s="49">
        <v>0</v>
      </c>
      <c r="AX43" s="48">
        <v>0</v>
      </c>
      <c r="AY43" s="49">
        <v>0</v>
      </c>
      <c r="AZ43" s="48">
        <v>0</v>
      </c>
      <c r="BA43" s="49">
        <v>0</v>
      </c>
      <c r="BB43" s="48">
        <v>31</v>
      </c>
      <c r="BC43" s="49">
        <v>100</v>
      </c>
      <c r="BD43" s="48">
        <v>31</v>
      </c>
      <c r="BE43" s="48"/>
      <c r="BF43" s="48"/>
      <c r="BG43" s="48"/>
      <c r="BH43" s="48"/>
      <c r="BI43" s="48"/>
      <c r="BJ43" s="48"/>
      <c r="BK43" s="121" t="s">
        <v>1688</v>
      </c>
      <c r="BL43" s="121" t="s">
        <v>1688</v>
      </c>
      <c r="BM43" s="121" t="s">
        <v>1811</v>
      </c>
      <c r="BN43" s="121" t="s">
        <v>1811</v>
      </c>
      <c r="BO43" s="2"/>
      <c r="BP43" s="3"/>
      <c r="BQ43" s="3"/>
      <c r="BR43" s="3"/>
      <c r="BS43" s="3"/>
    </row>
    <row r="44" spans="1:71" ht="15">
      <c r="A44" s="65" t="s">
        <v>251</v>
      </c>
      <c r="B44" s="66"/>
      <c r="C44" s="66"/>
      <c r="D44" s="67">
        <v>600</v>
      </c>
      <c r="E44" s="69"/>
      <c r="F44" s="99" t="str">
        <f>HYPERLINK("https://yt3.ggpht.com/a/AATXAJy4lFS8aNCm7yQduYIY5p1EJ8YXyvJpDUJW-yV-U1A=s88-c-k-c0xffffffff-no-rj-mo")</f>
        <v>https://yt3.ggpht.com/a/AATXAJy4lFS8aNCm7yQduYIY5p1EJ8YXyvJpDUJW-yV-U1A=s88-c-k-c0xffffffff-no-rj-mo</v>
      </c>
      <c r="G44" s="66"/>
      <c r="H44" s="70" t="s">
        <v>592</v>
      </c>
      <c r="I44" s="71"/>
      <c r="J44" s="71"/>
      <c r="K44" s="70" t="s">
        <v>592</v>
      </c>
      <c r="L44" s="74">
        <v>909.9090909090909</v>
      </c>
      <c r="M44" s="75">
        <v>8132.138671875</v>
      </c>
      <c r="N44" s="75">
        <v>6459.20654296875</v>
      </c>
      <c r="O44" s="76"/>
      <c r="P44" s="77"/>
      <c r="Q44" s="77"/>
      <c r="R44" s="85"/>
      <c r="S44" s="48">
        <v>1</v>
      </c>
      <c r="T44" s="48">
        <v>1</v>
      </c>
      <c r="U44" s="49">
        <v>6</v>
      </c>
      <c r="V44" s="49">
        <v>0.142857</v>
      </c>
      <c r="W44" s="49">
        <v>0</v>
      </c>
      <c r="X44" s="49">
        <v>1.229724</v>
      </c>
      <c r="Y44" s="49">
        <v>0</v>
      </c>
      <c r="Z44" s="49">
        <v>0</v>
      </c>
      <c r="AA44" s="72">
        <v>44</v>
      </c>
      <c r="AB44" s="72"/>
      <c r="AC44" s="73"/>
      <c r="AD44" s="79" t="s">
        <v>592</v>
      </c>
      <c r="AE44" s="79"/>
      <c r="AF44" s="79"/>
      <c r="AG44" s="79"/>
      <c r="AH44" s="79"/>
      <c r="AI44" s="79"/>
      <c r="AJ44" s="83">
        <v>42139.78134259259</v>
      </c>
      <c r="AK44" s="81" t="str">
        <f>HYPERLINK("https://yt3.ggpht.com/a/AATXAJy4lFS8aNCm7yQduYIY5p1EJ8YXyvJpDUJW-yV-U1A=s88-c-k-c0xffffffff-no-rj-mo")</f>
        <v>https://yt3.ggpht.com/a/AATXAJy4lFS8aNCm7yQduYIY5p1EJ8YXyvJpDUJW-yV-U1A=s88-c-k-c0xffffffff-no-rj-mo</v>
      </c>
      <c r="AL44" s="79">
        <v>179</v>
      </c>
      <c r="AM44" s="79">
        <v>0</v>
      </c>
      <c r="AN44" s="79">
        <v>3</v>
      </c>
      <c r="AO44" s="79" t="b">
        <v>0</v>
      </c>
      <c r="AP44" s="79">
        <v>2</v>
      </c>
      <c r="AQ44" s="79"/>
      <c r="AR44" s="79"/>
      <c r="AS44" s="79" t="s">
        <v>1028</v>
      </c>
      <c r="AT44" s="81" t="str">
        <f>HYPERLINK("https://www.youtube.com/channel/UCcocBjwKz7xbgMHpMc6I_9Q")</f>
        <v>https://www.youtube.com/channel/UCcocBjwKz7xbgMHpMc6I_9Q</v>
      </c>
      <c r="AU44" s="79" t="str">
        <f>REPLACE(INDEX(GroupVertices[Group],MATCH(Vertices[[#This Row],[Vertex]],GroupVertices[Vertex],0)),1,1,"")</f>
        <v>12</v>
      </c>
      <c r="AV44" s="48">
        <v>1</v>
      </c>
      <c r="AW44" s="49">
        <v>1.5384615384615385</v>
      </c>
      <c r="AX44" s="48">
        <v>0</v>
      </c>
      <c r="AY44" s="49">
        <v>0</v>
      </c>
      <c r="AZ44" s="48">
        <v>0</v>
      </c>
      <c r="BA44" s="49">
        <v>0</v>
      </c>
      <c r="BB44" s="48">
        <v>64</v>
      </c>
      <c r="BC44" s="49">
        <v>98.46153846153847</v>
      </c>
      <c r="BD44" s="48">
        <v>65</v>
      </c>
      <c r="BE44" s="48"/>
      <c r="BF44" s="48"/>
      <c r="BG44" s="48"/>
      <c r="BH44" s="48"/>
      <c r="BI44" s="48"/>
      <c r="BJ44" s="48"/>
      <c r="BK44" s="121" t="s">
        <v>1689</v>
      </c>
      <c r="BL44" s="121" t="s">
        <v>1689</v>
      </c>
      <c r="BM44" s="121" t="s">
        <v>1812</v>
      </c>
      <c r="BN44" s="121" t="s">
        <v>1812</v>
      </c>
      <c r="BO44" s="2"/>
      <c r="BP44" s="3"/>
      <c r="BQ44" s="3"/>
      <c r="BR44" s="3"/>
      <c r="BS44" s="3"/>
    </row>
    <row r="45" spans="1:71" ht="15">
      <c r="A45" s="65" t="s">
        <v>252</v>
      </c>
      <c r="B45" s="66"/>
      <c r="C45" s="66"/>
      <c r="D45" s="67">
        <v>1000</v>
      </c>
      <c r="E45" s="69"/>
      <c r="F45" s="99" t="str">
        <f>HYPERLINK("https://yt3.ggpht.com/a/AATXAJy7IDoWypfhayBuYmTJIqiSX_QvarE7pd-DFZE=s88-c-k-c0xffffffff-no-rj-mo")</f>
        <v>https://yt3.ggpht.com/a/AATXAJy7IDoWypfhayBuYmTJIqiSX_QvarE7pd-DFZE=s88-c-k-c0xffffffff-no-rj-mo</v>
      </c>
      <c r="G45" s="66"/>
      <c r="H45" s="70" t="s">
        <v>593</v>
      </c>
      <c r="I45" s="71"/>
      <c r="J45" s="71"/>
      <c r="K45" s="70" t="s">
        <v>593</v>
      </c>
      <c r="L45" s="74">
        <v>4545.545454545455</v>
      </c>
      <c r="M45" s="75">
        <v>6185.255859375</v>
      </c>
      <c r="N45" s="75">
        <v>5913.67626953125</v>
      </c>
      <c r="O45" s="76"/>
      <c r="P45" s="77"/>
      <c r="Q45" s="77"/>
      <c r="R45" s="85"/>
      <c r="S45" s="48">
        <v>5</v>
      </c>
      <c r="T45" s="48">
        <v>5</v>
      </c>
      <c r="U45" s="49">
        <v>20</v>
      </c>
      <c r="V45" s="49">
        <v>0.2</v>
      </c>
      <c r="W45" s="49">
        <v>0</v>
      </c>
      <c r="X45" s="49">
        <v>2.601221</v>
      </c>
      <c r="Y45" s="49">
        <v>0</v>
      </c>
      <c r="Z45" s="49">
        <v>1</v>
      </c>
      <c r="AA45" s="72">
        <v>45</v>
      </c>
      <c r="AB45" s="72"/>
      <c r="AC45" s="73"/>
      <c r="AD45" s="79" t="s">
        <v>593</v>
      </c>
      <c r="AE45" s="79" t="s">
        <v>928</v>
      </c>
      <c r="AF45" s="79"/>
      <c r="AG45" s="79"/>
      <c r="AH45" s="79"/>
      <c r="AI45" s="79" t="s">
        <v>990</v>
      </c>
      <c r="AJ45" s="83">
        <v>39999.13202546296</v>
      </c>
      <c r="AK45" s="81" t="str">
        <f>HYPERLINK("https://yt3.ggpht.com/a/AATXAJy7IDoWypfhayBuYmTJIqiSX_QvarE7pd-DFZE=s88-c-k-c0xffffffff-no-rj-mo")</f>
        <v>https://yt3.ggpht.com/a/AATXAJy7IDoWypfhayBuYmTJIqiSX_QvarE7pd-DFZE=s88-c-k-c0xffffffff-no-rj-mo</v>
      </c>
      <c r="AL45" s="79">
        <v>20475</v>
      </c>
      <c r="AM45" s="79">
        <v>0</v>
      </c>
      <c r="AN45" s="79">
        <v>1290</v>
      </c>
      <c r="AO45" s="79" t="b">
        <v>0</v>
      </c>
      <c r="AP45" s="79">
        <v>64</v>
      </c>
      <c r="AQ45" s="79"/>
      <c r="AR45" s="79"/>
      <c r="AS45" s="79" t="s">
        <v>1028</v>
      </c>
      <c r="AT45" s="81" t="str">
        <f>HYPERLINK("https://www.youtube.com/channel/UCH4mvHhRxr_WHPjun9cr5PA")</f>
        <v>https://www.youtube.com/channel/UCH4mvHhRxr_WHPjun9cr5PA</v>
      </c>
      <c r="AU45" s="79" t="str">
        <f>REPLACE(INDEX(GroupVertices[Group],MATCH(Vertices[[#This Row],[Vertex]],GroupVertices[Vertex],0)),1,1,"")</f>
        <v>9</v>
      </c>
      <c r="AV45" s="48">
        <v>1</v>
      </c>
      <c r="AW45" s="49">
        <v>1.6129032258064515</v>
      </c>
      <c r="AX45" s="48">
        <v>0</v>
      </c>
      <c r="AY45" s="49">
        <v>0</v>
      </c>
      <c r="AZ45" s="48">
        <v>0</v>
      </c>
      <c r="BA45" s="49">
        <v>0</v>
      </c>
      <c r="BB45" s="48">
        <v>61</v>
      </c>
      <c r="BC45" s="49">
        <v>98.38709677419355</v>
      </c>
      <c r="BD45" s="48">
        <v>62</v>
      </c>
      <c r="BE45" s="48" t="s">
        <v>1644</v>
      </c>
      <c r="BF45" s="48" t="s">
        <v>1644</v>
      </c>
      <c r="BG45" s="48" t="s">
        <v>1649</v>
      </c>
      <c r="BH45" s="48" t="s">
        <v>1649</v>
      </c>
      <c r="BI45" s="48"/>
      <c r="BJ45" s="48"/>
      <c r="BK45" s="121" t="s">
        <v>1690</v>
      </c>
      <c r="BL45" s="121" t="s">
        <v>1766</v>
      </c>
      <c r="BM45" s="121" t="s">
        <v>1813</v>
      </c>
      <c r="BN45" s="121" t="s">
        <v>1813</v>
      </c>
      <c r="BO45" s="2"/>
      <c r="BP45" s="3"/>
      <c r="BQ45" s="3"/>
      <c r="BR45" s="3"/>
      <c r="BS45" s="3"/>
    </row>
    <row r="46" spans="1:71" ht="15">
      <c r="A46" s="65" t="s">
        <v>253</v>
      </c>
      <c r="B46" s="66"/>
      <c r="C46" s="66"/>
      <c r="D46" s="67">
        <v>1000</v>
      </c>
      <c r="E46" s="69"/>
      <c r="F46" s="99" t="str">
        <f>HYPERLINK("https://yt3.ggpht.com/a/AATXAJxuUwolxwH4jphr2VL1takAu_Kv58595zFazw=s88-c-k-c0xffffffff-no-rj-mo")</f>
        <v>https://yt3.ggpht.com/a/AATXAJxuUwolxwH4jphr2VL1takAu_Kv58595zFazw=s88-c-k-c0xffffffff-no-rj-mo</v>
      </c>
      <c r="G46" s="66"/>
      <c r="H46" s="70" t="s">
        <v>594</v>
      </c>
      <c r="I46" s="71"/>
      <c r="J46" s="71"/>
      <c r="K46" s="70" t="s">
        <v>594</v>
      </c>
      <c r="L46" s="74">
        <v>1818.8181818181818</v>
      </c>
      <c r="M46" s="75">
        <v>5434.70068359375</v>
      </c>
      <c r="N46" s="75">
        <v>6426.478515625</v>
      </c>
      <c r="O46" s="76"/>
      <c r="P46" s="77"/>
      <c r="Q46" s="77"/>
      <c r="R46" s="85"/>
      <c r="S46" s="48">
        <v>2</v>
      </c>
      <c r="T46" s="48">
        <v>2</v>
      </c>
      <c r="U46" s="49">
        <v>0</v>
      </c>
      <c r="V46" s="49">
        <v>0.111111</v>
      </c>
      <c r="W46" s="49">
        <v>0</v>
      </c>
      <c r="X46" s="49">
        <v>1.029925</v>
      </c>
      <c r="Y46" s="49">
        <v>0</v>
      </c>
      <c r="Z46" s="49">
        <v>1</v>
      </c>
      <c r="AA46" s="72">
        <v>46</v>
      </c>
      <c r="AB46" s="72"/>
      <c r="AC46" s="73"/>
      <c r="AD46" s="79" t="s">
        <v>594</v>
      </c>
      <c r="AE46" s="79"/>
      <c r="AF46" s="79"/>
      <c r="AG46" s="79"/>
      <c r="AH46" s="79"/>
      <c r="AI46" s="79"/>
      <c r="AJ46" s="83">
        <v>40820.862488425926</v>
      </c>
      <c r="AK46" s="81" t="str">
        <f>HYPERLINK("https://yt3.ggpht.com/a/AATXAJxuUwolxwH4jphr2VL1takAu_Kv58595zFazw=s88-c-k-c0xffffffff-no-rj-mo")</f>
        <v>https://yt3.ggpht.com/a/AATXAJxuUwolxwH4jphr2VL1takAu_Kv58595zFazw=s88-c-k-c0xffffffff-no-rj-mo</v>
      </c>
      <c r="AL46" s="79">
        <v>0</v>
      </c>
      <c r="AM46" s="79">
        <v>0</v>
      </c>
      <c r="AN46" s="79">
        <v>0</v>
      </c>
      <c r="AO46" s="79" t="b">
        <v>0</v>
      </c>
      <c r="AP46" s="79">
        <v>0</v>
      </c>
      <c r="AQ46" s="79"/>
      <c r="AR46" s="79"/>
      <c r="AS46" s="79" t="s">
        <v>1028</v>
      </c>
      <c r="AT46" s="81" t="str">
        <f>HYPERLINK("https://www.youtube.com/channel/UCjijs1unp8JQ06H8Jrc7Kdg")</f>
        <v>https://www.youtube.com/channel/UCjijs1unp8JQ06H8Jrc7Kdg</v>
      </c>
      <c r="AU46" s="79" t="str">
        <f>REPLACE(INDEX(GroupVertices[Group],MATCH(Vertices[[#This Row],[Vertex]],GroupVertices[Vertex],0)),1,1,"")</f>
        <v>9</v>
      </c>
      <c r="AV46" s="48">
        <v>1</v>
      </c>
      <c r="AW46" s="49">
        <v>3.5714285714285716</v>
      </c>
      <c r="AX46" s="48">
        <v>0</v>
      </c>
      <c r="AY46" s="49">
        <v>0</v>
      </c>
      <c r="AZ46" s="48">
        <v>0</v>
      </c>
      <c r="BA46" s="49">
        <v>0</v>
      </c>
      <c r="BB46" s="48">
        <v>27</v>
      </c>
      <c r="BC46" s="49">
        <v>96.42857142857143</v>
      </c>
      <c r="BD46" s="48">
        <v>28</v>
      </c>
      <c r="BE46" s="48"/>
      <c r="BF46" s="48"/>
      <c r="BG46" s="48"/>
      <c r="BH46" s="48"/>
      <c r="BI46" s="48"/>
      <c r="BJ46" s="48"/>
      <c r="BK46" s="121" t="s">
        <v>1691</v>
      </c>
      <c r="BL46" s="121" t="s">
        <v>1691</v>
      </c>
      <c r="BM46" s="121" t="s">
        <v>1814</v>
      </c>
      <c r="BN46" s="121" t="s">
        <v>1814</v>
      </c>
      <c r="BO46" s="2"/>
      <c r="BP46" s="3"/>
      <c r="BQ46" s="3"/>
      <c r="BR46" s="3"/>
      <c r="BS46" s="3"/>
    </row>
    <row r="47" spans="1:71" ht="15">
      <c r="A47" s="65" t="s">
        <v>254</v>
      </c>
      <c r="B47" s="66"/>
      <c r="C47" s="66"/>
      <c r="D47" s="67">
        <v>600</v>
      </c>
      <c r="E47" s="69"/>
      <c r="F47" s="99" t="str">
        <f>HYPERLINK("https://yt3.ggpht.com/a/AATXAJybfWkc8sxwco4Ag5UEdvgvFlCgtFA_U-Ss1-y1Ng=s88-c-k-c0xffffffff-no-rj-mo")</f>
        <v>https://yt3.ggpht.com/a/AATXAJybfWkc8sxwco4Ag5UEdvgvFlCgtFA_U-Ss1-y1Ng=s88-c-k-c0xffffffff-no-rj-mo</v>
      </c>
      <c r="G47" s="66"/>
      <c r="H47" s="70" t="s">
        <v>595</v>
      </c>
      <c r="I47" s="71"/>
      <c r="J47" s="71"/>
      <c r="K47" s="70" t="s">
        <v>595</v>
      </c>
      <c r="L47" s="74">
        <v>909.9090909090909</v>
      </c>
      <c r="M47" s="75">
        <v>6349.81201171875</v>
      </c>
      <c r="N47" s="75">
        <v>6950.171875</v>
      </c>
      <c r="O47" s="76"/>
      <c r="P47" s="77"/>
      <c r="Q47" s="77"/>
      <c r="R47" s="85"/>
      <c r="S47" s="48">
        <v>1</v>
      </c>
      <c r="T47" s="48">
        <v>1</v>
      </c>
      <c r="U47" s="49">
        <v>0</v>
      </c>
      <c r="V47" s="49">
        <v>0.111111</v>
      </c>
      <c r="W47" s="49">
        <v>0</v>
      </c>
      <c r="X47" s="49">
        <v>0.592207</v>
      </c>
      <c r="Y47" s="49">
        <v>0</v>
      </c>
      <c r="Z47" s="49">
        <v>1</v>
      </c>
      <c r="AA47" s="72">
        <v>47</v>
      </c>
      <c r="AB47" s="72"/>
      <c r="AC47" s="73"/>
      <c r="AD47" s="79" t="s">
        <v>595</v>
      </c>
      <c r="AE47" s="79"/>
      <c r="AF47" s="79"/>
      <c r="AG47" s="79"/>
      <c r="AH47" s="79"/>
      <c r="AI47" s="79"/>
      <c r="AJ47" s="83">
        <v>41495.27040509259</v>
      </c>
      <c r="AK47" s="81" t="str">
        <f>HYPERLINK("https://yt3.ggpht.com/a/AATXAJybfWkc8sxwco4Ag5UEdvgvFlCgtFA_U-Ss1-y1Ng=s88-c-k-c0xffffffff-no-rj-mo")</f>
        <v>https://yt3.ggpht.com/a/AATXAJybfWkc8sxwco4Ag5UEdvgvFlCgtFA_U-Ss1-y1Ng=s88-c-k-c0xffffffff-no-rj-mo</v>
      </c>
      <c r="AL47" s="79">
        <v>0</v>
      </c>
      <c r="AM47" s="79">
        <v>0</v>
      </c>
      <c r="AN47" s="79">
        <v>5</v>
      </c>
      <c r="AO47" s="79" t="b">
        <v>0</v>
      </c>
      <c r="AP47" s="79">
        <v>0</v>
      </c>
      <c r="AQ47" s="79"/>
      <c r="AR47" s="79"/>
      <c r="AS47" s="79" t="s">
        <v>1028</v>
      </c>
      <c r="AT47" s="81" t="str">
        <f>HYPERLINK("https://www.youtube.com/channel/UCh50QUhw9b4NQmOSWVc3iWg")</f>
        <v>https://www.youtube.com/channel/UCh50QUhw9b4NQmOSWVc3iWg</v>
      </c>
      <c r="AU47" s="79" t="str">
        <f>REPLACE(INDEX(GroupVertices[Group],MATCH(Vertices[[#This Row],[Vertex]],GroupVertices[Vertex],0)),1,1,"")</f>
        <v>9</v>
      </c>
      <c r="AV47" s="48">
        <v>0</v>
      </c>
      <c r="AW47" s="49">
        <v>0</v>
      </c>
      <c r="AX47" s="48">
        <v>0</v>
      </c>
      <c r="AY47" s="49">
        <v>0</v>
      </c>
      <c r="AZ47" s="48">
        <v>0</v>
      </c>
      <c r="BA47" s="49">
        <v>0</v>
      </c>
      <c r="BB47" s="48">
        <v>3</v>
      </c>
      <c r="BC47" s="49">
        <v>100</v>
      </c>
      <c r="BD47" s="48">
        <v>3</v>
      </c>
      <c r="BE47" s="48"/>
      <c r="BF47" s="48"/>
      <c r="BG47" s="48"/>
      <c r="BH47" s="48"/>
      <c r="BI47" s="48"/>
      <c r="BJ47" s="48"/>
      <c r="BK47" s="121" t="s">
        <v>1692</v>
      </c>
      <c r="BL47" s="121" t="s">
        <v>1692</v>
      </c>
      <c r="BM47" s="121" t="s">
        <v>1815</v>
      </c>
      <c r="BN47" s="121" t="s">
        <v>1815</v>
      </c>
      <c r="BO47" s="2"/>
      <c r="BP47" s="3"/>
      <c r="BQ47" s="3"/>
      <c r="BR47" s="3"/>
      <c r="BS47" s="3"/>
    </row>
    <row r="48" spans="1:71" ht="15">
      <c r="A48" s="65" t="s">
        <v>255</v>
      </c>
      <c r="B48" s="66"/>
      <c r="C48" s="66"/>
      <c r="D48" s="67">
        <v>600</v>
      </c>
      <c r="E48" s="69"/>
      <c r="F48" s="99" t="str">
        <f>HYPERLINK("https://yt3.ggpht.com/a/AATXAJzMHQP3cqSarooxg6PKZQk-HghrEyGr2qlDbQ=s88-c-k-c0xffffffff-no-rj-mo")</f>
        <v>https://yt3.ggpht.com/a/AATXAJzMHQP3cqSarooxg6PKZQk-HghrEyGr2qlDbQ=s88-c-k-c0xffffffff-no-rj-mo</v>
      </c>
      <c r="G48" s="66"/>
      <c r="H48" s="70" t="s">
        <v>596</v>
      </c>
      <c r="I48" s="71"/>
      <c r="J48" s="71"/>
      <c r="K48" s="70" t="s">
        <v>596</v>
      </c>
      <c r="L48" s="74">
        <v>909.9090909090909</v>
      </c>
      <c r="M48" s="75">
        <v>6547.4130859375</v>
      </c>
      <c r="N48" s="75">
        <v>4956.15185546875</v>
      </c>
      <c r="O48" s="76"/>
      <c r="P48" s="77"/>
      <c r="Q48" s="77"/>
      <c r="R48" s="85"/>
      <c r="S48" s="48">
        <v>1</v>
      </c>
      <c r="T48" s="48">
        <v>1</v>
      </c>
      <c r="U48" s="49">
        <v>0</v>
      </c>
      <c r="V48" s="49">
        <v>0.111111</v>
      </c>
      <c r="W48" s="49">
        <v>0</v>
      </c>
      <c r="X48" s="49">
        <v>0.592207</v>
      </c>
      <c r="Y48" s="49">
        <v>0</v>
      </c>
      <c r="Z48" s="49">
        <v>1</v>
      </c>
      <c r="AA48" s="72">
        <v>48</v>
      </c>
      <c r="AB48" s="72"/>
      <c r="AC48" s="73"/>
      <c r="AD48" s="79" t="s">
        <v>596</v>
      </c>
      <c r="AE48" s="79" t="s">
        <v>929</v>
      </c>
      <c r="AF48" s="79"/>
      <c r="AG48" s="79"/>
      <c r="AH48" s="79"/>
      <c r="AI48" s="79"/>
      <c r="AJ48" s="83">
        <v>41480.20197916667</v>
      </c>
      <c r="AK48" s="81" t="str">
        <f>HYPERLINK("https://yt3.ggpht.com/a/AATXAJzMHQP3cqSarooxg6PKZQk-HghrEyGr2qlDbQ=s88-c-k-c0xffffffff-no-rj-mo")</f>
        <v>https://yt3.ggpht.com/a/AATXAJzMHQP3cqSarooxg6PKZQk-HghrEyGr2qlDbQ=s88-c-k-c0xffffffff-no-rj-mo</v>
      </c>
      <c r="AL48" s="79">
        <v>92</v>
      </c>
      <c r="AM48" s="79">
        <v>0</v>
      </c>
      <c r="AN48" s="79">
        <v>34</v>
      </c>
      <c r="AO48" s="79" t="b">
        <v>0</v>
      </c>
      <c r="AP48" s="79">
        <v>1</v>
      </c>
      <c r="AQ48" s="79"/>
      <c r="AR48" s="79"/>
      <c r="AS48" s="79" t="s">
        <v>1028</v>
      </c>
      <c r="AT48" s="81" t="str">
        <f>HYPERLINK("https://www.youtube.com/channel/UCwgBbIyCmAHxGC2_lL2JllQ")</f>
        <v>https://www.youtube.com/channel/UCwgBbIyCmAHxGC2_lL2JllQ</v>
      </c>
      <c r="AU48" s="79" t="str">
        <f>REPLACE(INDEX(GroupVertices[Group],MATCH(Vertices[[#This Row],[Vertex]],GroupVertices[Vertex],0)),1,1,"")</f>
        <v>9</v>
      </c>
      <c r="AV48" s="48">
        <v>1</v>
      </c>
      <c r="AW48" s="49">
        <v>33.333333333333336</v>
      </c>
      <c r="AX48" s="48">
        <v>0</v>
      </c>
      <c r="AY48" s="49">
        <v>0</v>
      </c>
      <c r="AZ48" s="48">
        <v>0</v>
      </c>
      <c r="BA48" s="49">
        <v>0</v>
      </c>
      <c r="BB48" s="48">
        <v>2</v>
      </c>
      <c r="BC48" s="49">
        <v>66.66666666666667</v>
      </c>
      <c r="BD48" s="48">
        <v>3</v>
      </c>
      <c r="BE48" s="48"/>
      <c r="BF48" s="48"/>
      <c r="BG48" s="48"/>
      <c r="BH48" s="48"/>
      <c r="BI48" s="48"/>
      <c r="BJ48" s="48"/>
      <c r="BK48" s="121" t="s">
        <v>1693</v>
      </c>
      <c r="BL48" s="121" t="s">
        <v>1693</v>
      </c>
      <c r="BM48" s="121" t="s">
        <v>1816</v>
      </c>
      <c r="BN48" s="121" t="s">
        <v>1816</v>
      </c>
      <c r="BO48" s="2"/>
      <c r="BP48" s="3"/>
      <c r="BQ48" s="3"/>
      <c r="BR48" s="3"/>
      <c r="BS48" s="3"/>
    </row>
    <row r="49" spans="1:71" ht="15">
      <c r="A49" s="65" t="s">
        <v>256</v>
      </c>
      <c r="B49" s="66"/>
      <c r="C49" s="66"/>
      <c r="D49" s="67">
        <v>600</v>
      </c>
      <c r="E49" s="69"/>
      <c r="F49" s="99" t="str">
        <f>HYPERLINK("https://yt3.ggpht.com/a/AATXAJxoUDp2sNmeModLTokj8RgClmr17mXbK2_y9A=s88-c-k-c0xffffffff-no-rj-mo")</f>
        <v>https://yt3.ggpht.com/a/AATXAJxoUDp2sNmeModLTokj8RgClmr17mXbK2_y9A=s88-c-k-c0xffffffff-no-rj-mo</v>
      </c>
      <c r="G49" s="66"/>
      <c r="H49" s="70" t="s">
        <v>597</v>
      </c>
      <c r="I49" s="71"/>
      <c r="J49" s="71"/>
      <c r="K49" s="70" t="s">
        <v>597</v>
      </c>
      <c r="L49" s="74">
        <v>909.9090909090909</v>
      </c>
      <c r="M49" s="75">
        <v>5556.828125</v>
      </c>
      <c r="N49" s="75">
        <v>5194.10986328125</v>
      </c>
      <c r="O49" s="76"/>
      <c r="P49" s="77"/>
      <c r="Q49" s="77"/>
      <c r="R49" s="85"/>
      <c r="S49" s="48">
        <v>1</v>
      </c>
      <c r="T49" s="48">
        <v>1</v>
      </c>
      <c r="U49" s="49">
        <v>0</v>
      </c>
      <c r="V49" s="49">
        <v>0.111111</v>
      </c>
      <c r="W49" s="49">
        <v>0</v>
      </c>
      <c r="X49" s="49">
        <v>0.592207</v>
      </c>
      <c r="Y49" s="49">
        <v>0</v>
      </c>
      <c r="Z49" s="49">
        <v>1</v>
      </c>
      <c r="AA49" s="72">
        <v>49</v>
      </c>
      <c r="AB49" s="72"/>
      <c r="AC49" s="73"/>
      <c r="AD49" s="79" t="s">
        <v>597</v>
      </c>
      <c r="AE49" s="79"/>
      <c r="AF49" s="79"/>
      <c r="AG49" s="79"/>
      <c r="AH49" s="79"/>
      <c r="AI49" s="79"/>
      <c r="AJ49" s="83">
        <v>41749.18931712963</v>
      </c>
      <c r="AK49" s="81" t="str">
        <f>HYPERLINK("https://yt3.ggpht.com/a/AATXAJxoUDp2sNmeModLTokj8RgClmr17mXbK2_y9A=s88-c-k-c0xffffffff-no-rj-mo")</f>
        <v>https://yt3.ggpht.com/a/AATXAJxoUDp2sNmeModLTokj8RgClmr17mXbK2_y9A=s88-c-k-c0xffffffff-no-rj-mo</v>
      </c>
      <c r="AL49" s="79">
        <v>2660</v>
      </c>
      <c r="AM49" s="79">
        <v>0</v>
      </c>
      <c r="AN49" s="79">
        <v>14</v>
      </c>
      <c r="AO49" s="79" t="b">
        <v>0</v>
      </c>
      <c r="AP49" s="79">
        <v>1</v>
      </c>
      <c r="AQ49" s="79"/>
      <c r="AR49" s="79"/>
      <c r="AS49" s="79" t="s">
        <v>1028</v>
      </c>
      <c r="AT49" s="81" t="str">
        <f>HYPERLINK("https://www.youtube.com/channel/UCPp5XlOY6HOF7BrCbioJqwQ")</f>
        <v>https://www.youtube.com/channel/UCPp5XlOY6HOF7BrCbioJqwQ</v>
      </c>
      <c r="AU49" s="79" t="str">
        <f>REPLACE(INDEX(GroupVertices[Group],MATCH(Vertices[[#This Row],[Vertex]],GroupVertices[Vertex],0)),1,1,"")</f>
        <v>9</v>
      </c>
      <c r="AV49" s="48">
        <v>0</v>
      </c>
      <c r="AW49" s="49">
        <v>0</v>
      </c>
      <c r="AX49" s="48">
        <v>0</v>
      </c>
      <c r="AY49" s="49">
        <v>0</v>
      </c>
      <c r="AZ49" s="48">
        <v>0</v>
      </c>
      <c r="BA49" s="49">
        <v>0</v>
      </c>
      <c r="BB49" s="48">
        <v>55</v>
      </c>
      <c r="BC49" s="49">
        <v>100</v>
      </c>
      <c r="BD49" s="48">
        <v>55</v>
      </c>
      <c r="BE49" s="48"/>
      <c r="BF49" s="48"/>
      <c r="BG49" s="48"/>
      <c r="BH49" s="48"/>
      <c r="BI49" s="48"/>
      <c r="BJ49" s="48"/>
      <c r="BK49" s="121" t="s">
        <v>1694</v>
      </c>
      <c r="BL49" s="121" t="s">
        <v>1694</v>
      </c>
      <c r="BM49" s="121" t="s">
        <v>1817</v>
      </c>
      <c r="BN49" s="121" t="s">
        <v>1817</v>
      </c>
      <c r="BO49" s="2"/>
      <c r="BP49" s="3"/>
      <c r="BQ49" s="3"/>
      <c r="BR49" s="3"/>
      <c r="BS49" s="3"/>
    </row>
    <row r="50" spans="1:71" ht="15">
      <c r="A50" s="65" t="s">
        <v>257</v>
      </c>
      <c r="B50" s="66"/>
      <c r="C50" s="66"/>
      <c r="D50" s="67">
        <v>600</v>
      </c>
      <c r="E50" s="69"/>
      <c r="F50" s="99" t="str">
        <f>HYPERLINK("https://yt3.ggpht.com/a/AATXAJyWv9k_IMAb02XAWqiCnawygMBhp6he3jHyEg=s88-c-k-c0xffffffff-no-rj-mo")</f>
        <v>https://yt3.ggpht.com/a/AATXAJyWv9k_IMAb02XAWqiCnawygMBhp6he3jHyEg=s88-c-k-c0xffffffff-no-rj-mo</v>
      </c>
      <c r="G50" s="66"/>
      <c r="H50" s="70" t="s">
        <v>598</v>
      </c>
      <c r="I50" s="71"/>
      <c r="J50" s="71"/>
      <c r="K50" s="70" t="s">
        <v>598</v>
      </c>
      <c r="L50" s="74">
        <v>909.9090909090909</v>
      </c>
      <c r="M50" s="75">
        <v>7037.5126953125</v>
      </c>
      <c r="N50" s="75">
        <v>6041.45751953125</v>
      </c>
      <c r="O50" s="76"/>
      <c r="P50" s="77"/>
      <c r="Q50" s="77"/>
      <c r="R50" s="85"/>
      <c r="S50" s="48">
        <v>1</v>
      </c>
      <c r="T50" s="48">
        <v>1</v>
      </c>
      <c r="U50" s="49">
        <v>0</v>
      </c>
      <c r="V50" s="49">
        <v>0.111111</v>
      </c>
      <c r="W50" s="49">
        <v>0</v>
      </c>
      <c r="X50" s="49">
        <v>0.592207</v>
      </c>
      <c r="Y50" s="49">
        <v>0</v>
      </c>
      <c r="Z50" s="49">
        <v>1</v>
      </c>
      <c r="AA50" s="72">
        <v>50</v>
      </c>
      <c r="AB50" s="72"/>
      <c r="AC50" s="73"/>
      <c r="AD50" s="79" t="s">
        <v>598</v>
      </c>
      <c r="AE50" s="79"/>
      <c r="AF50" s="79"/>
      <c r="AG50" s="79"/>
      <c r="AH50" s="79"/>
      <c r="AI50" s="79"/>
      <c r="AJ50" s="83">
        <v>41520.047939814816</v>
      </c>
      <c r="AK50" s="81" t="str">
        <f>HYPERLINK("https://yt3.ggpht.com/a/AATXAJyWv9k_IMAb02XAWqiCnawygMBhp6he3jHyEg=s88-c-k-c0xffffffff-no-rj-mo")</f>
        <v>https://yt3.ggpht.com/a/AATXAJyWv9k_IMAb02XAWqiCnawygMBhp6he3jHyEg=s88-c-k-c0xffffffff-no-rj-mo</v>
      </c>
      <c r="AL50" s="79">
        <v>0</v>
      </c>
      <c r="AM50" s="79">
        <v>0</v>
      </c>
      <c r="AN50" s="79">
        <v>1</v>
      </c>
      <c r="AO50" s="79" t="b">
        <v>0</v>
      </c>
      <c r="AP50" s="79">
        <v>0</v>
      </c>
      <c r="AQ50" s="79"/>
      <c r="AR50" s="79"/>
      <c r="AS50" s="79" t="s">
        <v>1028</v>
      </c>
      <c r="AT50" s="81" t="str">
        <f>HYPERLINK("https://www.youtube.com/channel/UClrOuAyFwHHVtW1iox3VHrQ")</f>
        <v>https://www.youtube.com/channel/UClrOuAyFwHHVtW1iox3VHrQ</v>
      </c>
      <c r="AU50" s="79" t="str">
        <f>REPLACE(INDEX(GroupVertices[Group],MATCH(Vertices[[#This Row],[Vertex]],GroupVertices[Vertex],0)),1,1,"")</f>
        <v>9</v>
      </c>
      <c r="AV50" s="48">
        <v>0</v>
      </c>
      <c r="AW50" s="49">
        <v>0</v>
      </c>
      <c r="AX50" s="48">
        <v>0</v>
      </c>
      <c r="AY50" s="49">
        <v>0</v>
      </c>
      <c r="AZ50" s="48">
        <v>0</v>
      </c>
      <c r="BA50" s="49">
        <v>0</v>
      </c>
      <c r="BB50" s="48">
        <v>38</v>
      </c>
      <c r="BC50" s="49">
        <v>100</v>
      </c>
      <c r="BD50" s="48">
        <v>38</v>
      </c>
      <c r="BE50" s="48"/>
      <c r="BF50" s="48"/>
      <c r="BG50" s="48"/>
      <c r="BH50" s="48"/>
      <c r="BI50" s="48"/>
      <c r="BJ50" s="48"/>
      <c r="BK50" s="121" t="s">
        <v>1695</v>
      </c>
      <c r="BL50" s="121" t="s">
        <v>1695</v>
      </c>
      <c r="BM50" s="121" t="s">
        <v>1818</v>
      </c>
      <c r="BN50" s="121" t="s">
        <v>1818</v>
      </c>
      <c r="BO50" s="2"/>
      <c r="BP50" s="3"/>
      <c r="BQ50" s="3"/>
      <c r="BR50" s="3"/>
      <c r="BS50" s="3"/>
    </row>
    <row r="51" spans="1:71" ht="15">
      <c r="A51" s="65" t="s">
        <v>258</v>
      </c>
      <c r="B51" s="66"/>
      <c r="C51" s="66"/>
      <c r="D51" s="67">
        <v>1000</v>
      </c>
      <c r="E51" s="69"/>
      <c r="F51" s="99" t="str">
        <f>HYPERLINK("https://yt3.ggpht.com/a/AATXAJwroQ6hdJY_wTQPx1gr13srO3O-q_TFuKjXpQ=s88-c-k-c0xffffffff-no-rj-mo")</f>
        <v>https://yt3.ggpht.com/a/AATXAJwroQ6hdJY_wTQPx1gr13srO3O-q_TFuKjXpQ=s88-c-k-c0xffffffff-no-rj-mo</v>
      </c>
      <c r="G51" s="66"/>
      <c r="H51" s="70" t="s">
        <v>599</v>
      </c>
      <c r="I51" s="71"/>
      <c r="J51" s="71"/>
      <c r="K51" s="70" t="s">
        <v>599</v>
      </c>
      <c r="L51" s="74">
        <v>6363.363636363636</v>
      </c>
      <c r="M51" s="75">
        <v>9132.853515625</v>
      </c>
      <c r="N51" s="75">
        <v>8500.8505859375</v>
      </c>
      <c r="O51" s="76"/>
      <c r="P51" s="77"/>
      <c r="Q51" s="77"/>
      <c r="R51" s="85"/>
      <c r="S51" s="48">
        <v>7</v>
      </c>
      <c r="T51" s="48">
        <v>7</v>
      </c>
      <c r="U51" s="49">
        <v>42</v>
      </c>
      <c r="V51" s="49">
        <v>0.142857</v>
      </c>
      <c r="W51" s="49">
        <v>0</v>
      </c>
      <c r="X51" s="49">
        <v>3.315211</v>
      </c>
      <c r="Y51" s="49">
        <v>0</v>
      </c>
      <c r="Z51" s="49">
        <v>1</v>
      </c>
      <c r="AA51" s="72">
        <v>51</v>
      </c>
      <c r="AB51" s="72"/>
      <c r="AC51" s="73"/>
      <c r="AD51" s="79" t="s">
        <v>599</v>
      </c>
      <c r="AE51" s="79" t="s">
        <v>930</v>
      </c>
      <c r="AF51" s="79"/>
      <c r="AG51" s="79"/>
      <c r="AH51" s="79"/>
      <c r="AI51" s="79"/>
      <c r="AJ51" s="83">
        <v>43077.605833333335</v>
      </c>
      <c r="AK51" s="81" t="str">
        <f>HYPERLINK("https://yt3.ggpht.com/a/AATXAJwroQ6hdJY_wTQPx1gr13srO3O-q_TFuKjXpQ=s88-c-k-c0xffffffff-no-rj-mo")</f>
        <v>https://yt3.ggpht.com/a/AATXAJwroQ6hdJY_wTQPx1gr13srO3O-q_TFuKjXpQ=s88-c-k-c0xffffffff-no-rj-mo</v>
      </c>
      <c r="AL51" s="79">
        <v>304441</v>
      </c>
      <c r="AM51" s="79">
        <v>0</v>
      </c>
      <c r="AN51" s="79">
        <v>4810</v>
      </c>
      <c r="AO51" s="79" t="b">
        <v>0</v>
      </c>
      <c r="AP51" s="79">
        <v>216</v>
      </c>
      <c r="AQ51" s="79"/>
      <c r="AR51" s="79"/>
      <c r="AS51" s="79" t="s">
        <v>1028</v>
      </c>
      <c r="AT51" s="81" t="str">
        <f>HYPERLINK("https://www.youtube.com/channel/UCZA_5vGtSpZu86VBDdSnSag")</f>
        <v>https://www.youtube.com/channel/UCZA_5vGtSpZu86VBDdSnSag</v>
      </c>
      <c r="AU51" s="79" t="str">
        <f>REPLACE(INDEX(GroupVertices[Group],MATCH(Vertices[[#This Row],[Vertex]],GroupVertices[Vertex],0)),1,1,"")</f>
        <v>6</v>
      </c>
      <c r="AV51" s="48">
        <v>1</v>
      </c>
      <c r="AW51" s="49">
        <v>1.0309278350515463</v>
      </c>
      <c r="AX51" s="48">
        <v>0</v>
      </c>
      <c r="AY51" s="49">
        <v>0</v>
      </c>
      <c r="AZ51" s="48">
        <v>0</v>
      </c>
      <c r="BA51" s="49">
        <v>0</v>
      </c>
      <c r="BB51" s="48">
        <v>96</v>
      </c>
      <c r="BC51" s="49">
        <v>98.96907216494846</v>
      </c>
      <c r="BD51" s="48">
        <v>97</v>
      </c>
      <c r="BE51" s="48" t="s">
        <v>1645</v>
      </c>
      <c r="BF51" s="48" t="s">
        <v>1645</v>
      </c>
      <c r="BG51" s="48" t="s">
        <v>1650</v>
      </c>
      <c r="BH51" s="48" t="s">
        <v>1650</v>
      </c>
      <c r="BI51" s="48"/>
      <c r="BJ51" s="48"/>
      <c r="BK51" s="121" t="s">
        <v>1696</v>
      </c>
      <c r="BL51" s="121" t="s">
        <v>1767</v>
      </c>
      <c r="BM51" s="121" t="s">
        <v>1819</v>
      </c>
      <c r="BN51" s="121" t="s">
        <v>1819</v>
      </c>
      <c r="BO51" s="2"/>
      <c r="BP51" s="3"/>
      <c r="BQ51" s="3"/>
      <c r="BR51" s="3"/>
      <c r="BS51" s="3"/>
    </row>
    <row r="52" spans="1:71" ht="15">
      <c r="A52" s="65" t="s">
        <v>259</v>
      </c>
      <c r="B52" s="66"/>
      <c r="C52" s="66"/>
      <c r="D52" s="67">
        <v>600</v>
      </c>
      <c r="E52" s="69"/>
      <c r="F52" s="99" t="str">
        <f>HYPERLINK("https://yt3.ggpht.com/a/AATXAJwgtGfAuTcSfbN83GTQ4lsrHFkIst50NHJ7ug=s88-c-k-c0xffffffff-no-rj-mo")</f>
        <v>https://yt3.ggpht.com/a/AATXAJwgtGfAuTcSfbN83GTQ4lsrHFkIst50NHJ7ug=s88-c-k-c0xffffffff-no-rj-mo</v>
      </c>
      <c r="G52" s="66"/>
      <c r="H52" s="70" t="s">
        <v>600</v>
      </c>
      <c r="I52" s="71"/>
      <c r="J52" s="71"/>
      <c r="K52" s="70" t="s">
        <v>600</v>
      </c>
      <c r="L52" s="74">
        <v>909.9090909090909</v>
      </c>
      <c r="M52" s="75">
        <v>8680.0966796875</v>
      </c>
      <c r="N52" s="75">
        <v>9681.0517578125</v>
      </c>
      <c r="O52" s="76"/>
      <c r="P52" s="77"/>
      <c r="Q52" s="77"/>
      <c r="R52" s="85"/>
      <c r="S52" s="48">
        <v>1</v>
      </c>
      <c r="T52" s="48">
        <v>1</v>
      </c>
      <c r="U52" s="49">
        <v>0</v>
      </c>
      <c r="V52" s="49">
        <v>0.076923</v>
      </c>
      <c r="W52" s="49">
        <v>0</v>
      </c>
      <c r="X52" s="49">
        <v>0.552561</v>
      </c>
      <c r="Y52" s="49">
        <v>0</v>
      </c>
      <c r="Z52" s="49">
        <v>1</v>
      </c>
      <c r="AA52" s="72">
        <v>52</v>
      </c>
      <c r="AB52" s="72"/>
      <c r="AC52" s="73"/>
      <c r="AD52" s="79" t="s">
        <v>600</v>
      </c>
      <c r="AE52" s="79" t="s">
        <v>931</v>
      </c>
      <c r="AF52" s="79"/>
      <c r="AG52" s="79"/>
      <c r="AH52" s="79"/>
      <c r="AI52" s="79"/>
      <c r="AJ52" s="83">
        <v>43073.73296296296</v>
      </c>
      <c r="AK52" s="81" t="str">
        <f>HYPERLINK("https://yt3.ggpht.com/a/AATXAJwgtGfAuTcSfbN83GTQ4lsrHFkIst50NHJ7ug=s88-c-k-c0xffffffff-no-rj-mo")</f>
        <v>https://yt3.ggpht.com/a/AATXAJwgtGfAuTcSfbN83GTQ4lsrHFkIst50NHJ7ug=s88-c-k-c0xffffffff-no-rj-mo</v>
      </c>
      <c r="AL52" s="79">
        <v>0</v>
      </c>
      <c r="AM52" s="79">
        <v>0</v>
      </c>
      <c r="AN52" s="79">
        <v>89</v>
      </c>
      <c r="AO52" s="79" t="b">
        <v>0</v>
      </c>
      <c r="AP52" s="79">
        <v>0</v>
      </c>
      <c r="AQ52" s="79"/>
      <c r="AR52" s="79"/>
      <c r="AS52" s="79" t="s">
        <v>1028</v>
      </c>
      <c r="AT52" s="81" t="str">
        <f>HYPERLINK("https://www.youtube.com/channel/UCXdBdFeLezLwbzJcB_ENyfA")</f>
        <v>https://www.youtube.com/channel/UCXdBdFeLezLwbzJcB_ENyfA</v>
      </c>
      <c r="AU52" s="79" t="str">
        <f>REPLACE(INDEX(GroupVertices[Group],MATCH(Vertices[[#This Row],[Vertex]],GroupVertices[Vertex],0)),1,1,"")</f>
        <v>6</v>
      </c>
      <c r="AV52" s="48">
        <v>2</v>
      </c>
      <c r="AW52" s="49">
        <v>25</v>
      </c>
      <c r="AX52" s="48">
        <v>0</v>
      </c>
      <c r="AY52" s="49">
        <v>0</v>
      </c>
      <c r="AZ52" s="48">
        <v>0</v>
      </c>
      <c r="BA52" s="49">
        <v>0</v>
      </c>
      <c r="BB52" s="48">
        <v>6</v>
      </c>
      <c r="BC52" s="49">
        <v>75</v>
      </c>
      <c r="BD52" s="48">
        <v>8</v>
      </c>
      <c r="BE52" s="48"/>
      <c r="BF52" s="48"/>
      <c r="BG52" s="48"/>
      <c r="BH52" s="48"/>
      <c r="BI52" s="48"/>
      <c r="BJ52" s="48"/>
      <c r="BK52" s="121" t="s">
        <v>1204</v>
      </c>
      <c r="BL52" s="121" t="s">
        <v>1204</v>
      </c>
      <c r="BM52" s="121" t="s">
        <v>1544</v>
      </c>
      <c r="BN52" s="121" t="s">
        <v>1544</v>
      </c>
      <c r="BO52" s="2"/>
      <c r="BP52" s="3"/>
      <c r="BQ52" s="3"/>
      <c r="BR52" s="3"/>
      <c r="BS52" s="3"/>
    </row>
    <row r="53" spans="1:71" ht="15">
      <c r="A53" s="65" t="s">
        <v>260</v>
      </c>
      <c r="B53" s="66"/>
      <c r="C53" s="66"/>
      <c r="D53" s="67">
        <v>600</v>
      </c>
      <c r="E53" s="69"/>
      <c r="F53" s="99" t="str">
        <f>HYPERLINK("https://yt3.ggpht.com/a/AATXAJy3hs3ARUCBIckkMSofyY2AQ88anD9akjR83w=s88-c-k-c0xffffffff-no-rj-mo")</f>
        <v>https://yt3.ggpht.com/a/AATXAJy3hs3ARUCBIckkMSofyY2AQ88anD9akjR83w=s88-c-k-c0xffffffff-no-rj-mo</v>
      </c>
      <c r="G53" s="66"/>
      <c r="H53" s="70" t="s">
        <v>601</v>
      </c>
      <c r="I53" s="71"/>
      <c r="J53" s="71"/>
      <c r="K53" s="70" t="s">
        <v>601</v>
      </c>
      <c r="L53" s="74">
        <v>909.9090909090909</v>
      </c>
      <c r="M53" s="75">
        <v>8574.3505859375</v>
      </c>
      <c r="N53" s="75">
        <v>7467.83251953125</v>
      </c>
      <c r="O53" s="76"/>
      <c r="P53" s="77"/>
      <c r="Q53" s="77"/>
      <c r="R53" s="85"/>
      <c r="S53" s="48">
        <v>1</v>
      </c>
      <c r="T53" s="48">
        <v>1</v>
      </c>
      <c r="U53" s="49">
        <v>0</v>
      </c>
      <c r="V53" s="49">
        <v>0.076923</v>
      </c>
      <c r="W53" s="49">
        <v>0</v>
      </c>
      <c r="X53" s="49">
        <v>0.552561</v>
      </c>
      <c r="Y53" s="49">
        <v>0</v>
      </c>
      <c r="Z53" s="49">
        <v>1</v>
      </c>
      <c r="AA53" s="72">
        <v>53</v>
      </c>
      <c r="AB53" s="72"/>
      <c r="AC53" s="73"/>
      <c r="AD53" s="79" t="s">
        <v>601</v>
      </c>
      <c r="AE53" s="79"/>
      <c r="AF53" s="79"/>
      <c r="AG53" s="79"/>
      <c r="AH53" s="79"/>
      <c r="AI53" s="79"/>
      <c r="AJ53" s="83">
        <v>40779.646006944444</v>
      </c>
      <c r="AK53" s="81" t="str">
        <f>HYPERLINK("https://yt3.ggpht.com/a/AATXAJy3hs3ARUCBIckkMSofyY2AQ88anD9akjR83w=s88-c-k-c0xffffffff-no-rj-mo")</f>
        <v>https://yt3.ggpht.com/a/AATXAJy3hs3ARUCBIckkMSofyY2AQ88anD9akjR83w=s88-c-k-c0xffffffff-no-rj-mo</v>
      </c>
      <c r="AL53" s="79">
        <v>0</v>
      </c>
      <c r="AM53" s="79">
        <v>0</v>
      </c>
      <c r="AN53" s="79">
        <v>0</v>
      </c>
      <c r="AO53" s="79" t="b">
        <v>0</v>
      </c>
      <c r="AP53" s="79">
        <v>0</v>
      </c>
      <c r="AQ53" s="79"/>
      <c r="AR53" s="79"/>
      <c r="AS53" s="79" t="s">
        <v>1028</v>
      </c>
      <c r="AT53" s="81" t="str">
        <f>HYPERLINK("https://www.youtube.com/channel/UCMk_lrZ_7KjsatCwaRmpw2Q")</f>
        <v>https://www.youtube.com/channel/UCMk_lrZ_7KjsatCwaRmpw2Q</v>
      </c>
      <c r="AU53" s="79" t="str">
        <f>REPLACE(INDEX(GroupVertices[Group],MATCH(Vertices[[#This Row],[Vertex]],GroupVertices[Vertex],0)),1,1,"")</f>
        <v>6</v>
      </c>
      <c r="AV53" s="48">
        <v>0</v>
      </c>
      <c r="AW53" s="49">
        <v>0</v>
      </c>
      <c r="AX53" s="48">
        <v>0</v>
      </c>
      <c r="AY53" s="49">
        <v>0</v>
      </c>
      <c r="AZ53" s="48">
        <v>0</v>
      </c>
      <c r="BA53" s="49">
        <v>0</v>
      </c>
      <c r="BB53" s="48">
        <v>18</v>
      </c>
      <c r="BC53" s="49">
        <v>100</v>
      </c>
      <c r="BD53" s="48">
        <v>18</v>
      </c>
      <c r="BE53" s="48" t="s">
        <v>1456</v>
      </c>
      <c r="BF53" s="48" t="s">
        <v>1456</v>
      </c>
      <c r="BG53" s="48" t="s">
        <v>816</v>
      </c>
      <c r="BH53" s="48" t="s">
        <v>816</v>
      </c>
      <c r="BI53" s="48"/>
      <c r="BJ53" s="48"/>
      <c r="BK53" s="121" t="s">
        <v>1697</v>
      </c>
      <c r="BL53" s="121" t="s">
        <v>1697</v>
      </c>
      <c r="BM53" s="121" t="s">
        <v>1820</v>
      </c>
      <c r="BN53" s="121" t="s">
        <v>1820</v>
      </c>
      <c r="BO53" s="2"/>
      <c r="BP53" s="3"/>
      <c r="BQ53" s="3"/>
      <c r="BR53" s="3"/>
      <c r="BS53" s="3"/>
    </row>
    <row r="54" spans="1:71" ht="15">
      <c r="A54" s="65" t="s">
        <v>261</v>
      </c>
      <c r="B54" s="66"/>
      <c r="C54" s="66"/>
      <c r="D54" s="67">
        <v>600</v>
      </c>
      <c r="E54" s="69"/>
      <c r="F54" s="99" t="str">
        <f>HYPERLINK("https://yt3.ggpht.com/a/AATXAJzA7RRugfx5w6nRpFjnyH2AmZZpG_fU6WARHg=s88-c-k-c0xffffffff-no-rj-mo")</f>
        <v>https://yt3.ggpht.com/a/AATXAJzA7RRugfx5w6nRpFjnyH2AmZZpG_fU6WARHg=s88-c-k-c0xffffffff-no-rj-mo</v>
      </c>
      <c r="G54" s="66"/>
      <c r="H54" s="70" t="s">
        <v>602</v>
      </c>
      <c r="I54" s="71"/>
      <c r="J54" s="71"/>
      <c r="K54" s="70" t="s">
        <v>602</v>
      </c>
      <c r="L54" s="74">
        <v>909.9090909090909</v>
      </c>
      <c r="M54" s="75">
        <v>9379.2431640625</v>
      </c>
      <c r="N54" s="75">
        <v>9794.5400390625</v>
      </c>
      <c r="O54" s="76"/>
      <c r="P54" s="77"/>
      <c r="Q54" s="77"/>
      <c r="R54" s="85"/>
      <c r="S54" s="48">
        <v>1</v>
      </c>
      <c r="T54" s="48">
        <v>1</v>
      </c>
      <c r="U54" s="49">
        <v>0</v>
      </c>
      <c r="V54" s="49">
        <v>0.076923</v>
      </c>
      <c r="W54" s="49">
        <v>0</v>
      </c>
      <c r="X54" s="49">
        <v>0.552561</v>
      </c>
      <c r="Y54" s="49">
        <v>0</v>
      </c>
      <c r="Z54" s="49">
        <v>1</v>
      </c>
      <c r="AA54" s="72">
        <v>54</v>
      </c>
      <c r="AB54" s="72"/>
      <c r="AC54" s="73"/>
      <c r="AD54" s="79" t="s">
        <v>602</v>
      </c>
      <c r="AE54" s="79"/>
      <c r="AF54" s="79"/>
      <c r="AG54" s="79"/>
      <c r="AH54" s="79"/>
      <c r="AI54" s="79"/>
      <c r="AJ54" s="83">
        <v>41290.670625</v>
      </c>
      <c r="AK54" s="81" t="str">
        <f>HYPERLINK("https://yt3.ggpht.com/a/AATXAJzA7RRugfx5w6nRpFjnyH2AmZZpG_fU6WARHg=s88-c-k-c0xffffffff-no-rj-mo")</f>
        <v>https://yt3.ggpht.com/a/AATXAJzA7RRugfx5w6nRpFjnyH2AmZZpG_fU6WARHg=s88-c-k-c0xffffffff-no-rj-mo</v>
      </c>
      <c r="AL54" s="79">
        <v>2</v>
      </c>
      <c r="AM54" s="79">
        <v>0</v>
      </c>
      <c r="AN54" s="79">
        <v>0</v>
      </c>
      <c r="AO54" s="79" t="b">
        <v>0</v>
      </c>
      <c r="AP54" s="79">
        <v>1</v>
      </c>
      <c r="AQ54" s="79"/>
      <c r="AR54" s="79"/>
      <c r="AS54" s="79" t="s">
        <v>1028</v>
      </c>
      <c r="AT54" s="81" t="str">
        <f>HYPERLINK("https://www.youtube.com/channel/UCf0vXIsyUPrbz5txA2TDMJA")</f>
        <v>https://www.youtube.com/channel/UCf0vXIsyUPrbz5txA2TDMJA</v>
      </c>
      <c r="AU54" s="79" t="str">
        <f>REPLACE(INDEX(GroupVertices[Group],MATCH(Vertices[[#This Row],[Vertex]],GroupVertices[Vertex],0)),1,1,"")</f>
        <v>6</v>
      </c>
      <c r="AV54" s="48">
        <v>1</v>
      </c>
      <c r="AW54" s="49">
        <v>50</v>
      </c>
      <c r="AX54" s="48">
        <v>0</v>
      </c>
      <c r="AY54" s="49">
        <v>0</v>
      </c>
      <c r="AZ54" s="48">
        <v>0</v>
      </c>
      <c r="BA54" s="49">
        <v>0</v>
      </c>
      <c r="BB54" s="48">
        <v>1</v>
      </c>
      <c r="BC54" s="49">
        <v>50</v>
      </c>
      <c r="BD54" s="48">
        <v>2</v>
      </c>
      <c r="BE54" s="48"/>
      <c r="BF54" s="48"/>
      <c r="BG54" s="48"/>
      <c r="BH54" s="48"/>
      <c r="BI54" s="48"/>
      <c r="BJ54" s="48"/>
      <c r="BK54" s="121" t="s">
        <v>1544</v>
      </c>
      <c r="BL54" s="121" t="s">
        <v>1544</v>
      </c>
      <c r="BM54" s="121" t="s">
        <v>1544</v>
      </c>
      <c r="BN54" s="121" t="s">
        <v>1544</v>
      </c>
      <c r="BO54" s="2"/>
      <c r="BP54" s="3"/>
      <c r="BQ54" s="3"/>
      <c r="BR54" s="3"/>
      <c r="BS54" s="3"/>
    </row>
    <row r="55" spans="1:71" ht="15">
      <c r="A55" s="65" t="s">
        <v>262</v>
      </c>
      <c r="B55" s="66"/>
      <c r="C55" s="66"/>
      <c r="D55" s="67">
        <v>1000</v>
      </c>
      <c r="E55" s="69"/>
      <c r="F55" s="99" t="str">
        <f>HYPERLINK("https://yt3.ggpht.com/a/AATXAJwjyLYkykPJ4hZ7yOiF7AAXnurxO33guz5UAg=s88-c-k-c0xffffffff-no-rj-mo")</f>
        <v>https://yt3.ggpht.com/a/AATXAJwjyLYkykPJ4hZ7yOiF7AAXnurxO33guz5UAg=s88-c-k-c0xffffffff-no-rj-mo</v>
      </c>
      <c r="G55" s="66"/>
      <c r="H55" s="70" t="s">
        <v>603</v>
      </c>
      <c r="I55" s="71"/>
      <c r="J55" s="71"/>
      <c r="K55" s="70" t="s">
        <v>603</v>
      </c>
      <c r="L55" s="74">
        <v>1818.8181818181818</v>
      </c>
      <c r="M55" s="75">
        <v>9247.3798828125</v>
      </c>
      <c r="N55" s="75">
        <v>7094.666015625</v>
      </c>
      <c r="O55" s="76"/>
      <c r="P55" s="77"/>
      <c r="Q55" s="77"/>
      <c r="R55" s="85"/>
      <c r="S55" s="48">
        <v>2</v>
      </c>
      <c r="T55" s="48">
        <v>2</v>
      </c>
      <c r="U55" s="49">
        <v>0</v>
      </c>
      <c r="V55" s="49">
        <v>0.076923</v>
      </c>
      <c r="W55" s="49">
        <v>0</v>
      </c>
      <c r="X55" s="49">
        <v>0.960975</v>
      </c>
      <c r="Y55" s="49">
        <v>0</v>
      </c>
      <c r="Z55" s="49">
        <v>1</v>
      </c>
      <c r="AA55" s="72">
        <v>55</v>
      </c>
      <c r="AB55" s="72"/>
      <c r="AC55" s="73"/>
      <c r="AD55" s="79" t="s">
        <v>603</v>
      </c>
      <c r="AE55" s="79"/>
      <c r="AF55" s="79"/>
      <c r="AG55" s="79"/>
      <c r="AH55" s="79"/>
      <c r="AI55" s="79"/>
      <c r="AJ55" s="83">
        <v>42121.62362268518</v>
      </c>
      <c r="AK55" s="81" t="str">
        <f>HYPERLINK("https://yt3.ggpht.com/a/AATXAJwjyLYkykPJ4hZ7yOiF7AAXnurxO33guz5UAg=s88-c-k-c0xffffffff-no-rj-mo")</f>
        <v>https://yt3.ggpht.com/a/AATXAJwjyLYkykPJ4hZ7yOiF7AAXnurxO33guz5UAg=s88-c-k-c0xffffffff-no-rj-mo</v>
      </c>
      <c r="AL55" s="79">
        <v>0</v>
      </c>
      <c r="AM55" s="79">
        <v>0</v>
      </c>
      <c r="AN55" s="79">
        <v>0</v>
      </c>
      <c r="AO55" s="79" t="b">
        <v>0</v>
      </c>
      <c r="AP55" s="79">
        <v>0</v>
      </c>
      <c r="AQ55" s="79"/>
      <c r="AR55" s="79"/>
      <c r="AS55" s="79" t="s">
        <v>1028</v>
      </c>
      <c r="AT55" s="81" t="str">
        <f>HYPERLINK("https://www.youtube.com/channel/UCEolawFx1vQ1LG_7Z5oiy0g")</f>
        <v>https://www.youtube.com/channel/UCEolawFx1vQ1LG_7Z5oiy0g</v>
      </c>
      <c r="AU55" s="79" t="str">
        <f>REPLACE(INDEX(GroupVertices[Group],MATCH(Vertices[[#This Row],[Vertex]],GroupVertices[Vertex],0)),1,1,"")</f>
        <v>6</v>
      </c>
      <c r="AV55" s="48">
        <v>1</v>
      </c>
      <c r="AW55" s="49">
        <v>4.545454545454546</v>
      </c>
      <c r="AX55" s="48">
        <v>0</v>
      </c>
      <c r="AY55" s="49">
        <v>0</v>
      </c>
      <c r="AZ55" s="48">
        <v>0</v>
      </c>
      <c r="BA55" s="49">
        <v>0</v>
      </c>
      <c r="BB55" s="48">
        <v>21</v>
      </c>
      <c r="BC55" s="49">
        <v>95.45454545454545</v>
      </c>
      <c r="BD55" s="48">
        <v>22</v>
      </c>
      <c r="BE55" s="48" t="s">
        <v>1456</v>
      </c>
      <c r="BF55" s="48" t="s">
        <v>1456</v>
      </c>
      <c r="BG55" s="48" t="s">
        <v>816</v>
      </c>
      <c r="BH55" s="48" t="s">
        <v>816</v>
      </c>
      <c r="BI55" s="48"/>
      <c r="BJ55" s="48"/>
      <c r="BK55" s="121" t="s">
        <v>1698</v>
      </c>
      <c r="BL55" s="121" t="s">
        <v>1768</v>
      </c>
      <c r="BM55" s="121" t="s">
        <v>1821</v>
      </c>
      <c r="BN55" s="121" t="s">
        <v>1884</v>
      </c>
      <c r="BO55" s="2"/>
      <c r="BP55" s="3"/>
      <c r="BQ55" s="3"/>
      <c r="BR55" s="3"/>
      <c r="BS55" s="3"/>
    </row>
    <row r="56" spans="1:71" ht="15">
      <c r="A56" s="65" t="s">
        <v>263</v>
      </c>
      <c r="B56" s="66"/>
      <c r="C56" s="66"/>
      <c r="D56" s="67">
        <v>600</v>
      </c>
      <c r="E56" s="69"/>
      <c r="F56" s="99" t="str">
        <f>HYPERLINK("https://yt3.ggpht.com/a/AATXAJxSmEdU3Vm41aGybJSSMwvOf_HydtxIBeGIi9GtGw=s88-c-k-c0xffffffff-no-rj-mo")</f>
        <v>https://yt3.ggpht.com/a/AATXAJxSmEdU3Vm41aGybJSSMwvOf_HydtxIBeGIi9GtGw=s88-c-k-c0xffffffff-no-rj-mo</v>
      </c>
      <c r="G56" s="66"/>
      <c r="H56" s="70" t="s">
        <v>604</v>
      </c>
      <c r="I56" s="71"/>
      <c r="J56" s="71"/>
      <c r="K56" s="70" t="s">
        <v>604</v>
      </c>
      <c r="L56" s="74">
        <v>909.9090909090909</v>
      </c>
      <c r="M56" s="75">
        <v>9848.802734375</v>
      </c>
      <c r="N56" s="75">
        <v>9008.62890625</v>
      </c>
      <c r="O56" s="76"/>
      <c r="P56" s="77"/>
      <c r="Q56" s="77"/>
      <c r="R56" s="85"/>
      <c r="S56" s="48">
        <v>1</v>
      </c>
      <c r="T56" s="48">
        <v>1</v>
      </c>
      <c r="U56" s="49">
        <v>0</v>
      </c>
      <c r="V56" s="49">
        <v>0.076923</v>
      </c>
      <c r="W56" s="49">
        <v>0</v>
      </c>
      <c r="X56" s="49">
        <v>0.552561</v>
      </c>
      <c r="Y56" s="49">
        <v>0</v>
      </c>
      <c r="Z56" s="49">
        <v>1</v>
      </c>
      <c r="AA56" s="72">
        <v>56</v>
      </c>
      <c r="AB56" s="72"/>
      <c r="AC56" s="73"/>
      <c r="AD56" s="79" t="s">
        <v>604</v>
      </c>
      <c r="AE56" s="79"/>
      <c r="AF56" s="79"/>
      <c r="AG56" s="79"/>
      <c r="AH56" s="79"/>
      <c r="AI56" s="79"/>
      <c r="AJ56" s="83">
        <v>40819.463738425926</v>
      </c>
      <c r="AK56" s="81" t="str">
        <f>HYPERLINK("https://yt3.ggpht.com/a/AATXAJxSmEdU3Vm41aGybJSSMwvOf_HydtxIBeGIi9GtGw=s88-c-k-c0xffffffff-no-rj-mo")</f>
        <v>https://yt3.ggpht.com/a/AATXAJxSmEdU3Vm41aGybJSSMwvOf_HydtxIBeGIi9GtGw=s88-c-k-c0xffffffff-no-rj-mo</v>
      </c>
      <c r="AL56" s="79">
        <v>244</v>
      </c>
      <c r="AM56" s="79">
        <v>0</v>
      </c>
      <c r="AN56" s="79">
        <v>0</v>
      </c>
      <c r="AO56" s="79" t="b">
        <v>0</v>
      </c>
      <c r="AP56" s="79">
        <v>1</v>
      </c>
      <c r="AQ56" s="79"/>
      <c r="AR56" s="79"/>
      <c r="AS56" s="79" t="s">
        <v>1028</v>
      </c>
      <c r="AT56" s="81" t="str">
        <f>HYPERLINK("https://www.youtube.com/channel/UCT5IkG04XlnTVZq_ZwPH8tA")</f>
        <v>https://www.youtube.com/channel/UCT5IkG04XlnTVZq_ZwPH8tA</v>
      </c>
      <c r="AU56" s="79" t="str">
        <f>REPLACE(INDEX(GroupVertices[Group],MATCH(Vertices[[#This Row],[Vertex]],GroupVertices[Vertex],0)),1,1,"")</f>
        <v>6</v>
      </c>
      <c r="AV56" s="48">
        <v>1</v>
      </c>
      <c r="AW56" s="49">
        <v>50</v>
      </c>
      <c r="AX56" s="48">
        <v>0</v>
      </c>
      <c r="AY56" s="49">
        <v>0</v>
      </c>
      <c r="AZ56" s="48">
        <v>0</v>
      </c>
      <c r="BA56" s="49">
        <v>0</v>
      </c>
      <c r="BB56" s="48">
        <v>1</v>
      </c>
      <c r="BC56" s="49">
        <v>50</v>
      </c>
      <c r="BD56" s="48">
        <v>2</v>
      </c>
      <c r="BE56" s="48"/>
      <c r="BF56" s="48"/>
      <c r="BG56" s="48"/>
      <c r="BH56" s="48"/>
      <c r="BI56" s="48"/>
      <c r="BJ56" s="48"/>
      <c r="BK56" s="121" t="s">
        <v>1544</v>
      </c>
      <c r="BL56" s="121" t="s">
        <v>1544</v>
      </c>
      <c r="BM56" s="121" t="s">
        <v>1544</v>
      </c>
      <c r="BN56" s="121" t="s">
        <v>1544</v>
      </c>
      <c r="BO56" s="2"/>
      <c r="BP56" s="3"/>
      <c r="BQ56" s="3"/>
      <c r="BR56" s="3"/>
      <c r="BS56" s="3"/>
    </row>
    <row r="57" spans="1:71" ht="15">
      <c r="A57" s="65" t="s">
        <v>264</v>
      </c>
      <c r="B57" s="66"/>
      <c r="C57" s="66"/>
      <c r="D57" s="67">
        <v>1000</v>
      </c>
      <c r="E57" s="69"/>
      <c r="F57" s="99" t="str">
        <f>HYPERLINK("https://yt3.ggpht.com/a/AATXAJzOy0C5X8CObH8OryPzr687E50tle2ZtZcfUg=s88-c-k-c0xffffffff-no-rj-mo")</f>
        <v>https://yt3.ggpht.com/a/AATXAJzOy0C5X8CObH8OryPzr687E50tle2ZtZcfUg=s88-c-k-c0xffffffff-no-rj-mo</v>
      </c>
      <c r="G57" s="66"/>
      <c r="H57" s="70" t="s">
        <v>605</v>
      </c>
      <c r="I57" s="71"/>
      <c r="J57" s="71"/>
      <c r="K57" s="70" t="s">
        <v>605</v>
      </c>
      <c r="L57" s="74">
        <v>1818.8181818181818</v>
      </c>
      <c r="M57" s="75">
        <v>9820.1435546875</v>
      </c>
      <c r="N57" s="75">
        <v>7780.3857421875</v>
      </c>
      <c r="O57" s="76"/>
      <c r="P57" s="77"/>
      <c r="Q57" s="77"/>
      <c r="R57" s="85"/>
      <c r="S57" s="48">
        <v>2</v>
      </c>
      <c r="T57" s="48">
        <v>2</v>
      </c>
      <c r="U57" s="49">
        <v>0</v>
      </c>
      <c r="V57" s="49">
        <v>0.076923</v>
      </c>
      <c r="W57" s="49">
        <v>0</v>
      </c>
      <c r="X57" s="49">
        <v>0.960975</v>
      </c>
      <c r="Y57" s="49">
        <v>0</v>
      </c>
      <c r="Z57" s="49">
        <v>1</v>
      </c>
      <c r="AA57" s="72">
        <v>57</v>
      </c>
      <c r="AB57" s="72"/>
      <c r="AC57" s="73"/>
      <c r="AD57" s="79" t="s">
        <v>605</v>
      </c>
      <c r="AE57" s="79"/>
      <c r="AF57" s="79"/>
      <c r="AG57" s="79"/>
      <c r="AH57" s="79"/>
      <c r="AI57" s="79"/>
      <c r="AJ57" s="83">
        <v>41836.853425925925</v>
      </c>
      <c r="AK57" s="81" t="str">
        <f>HYPERLINK("https://yt3.ggpht.com/a/AATXAJzOy0C5X8CObH8OryPzr687E50tle2ZtZcfUg=s88-c-k-c0xffffffff-no-rj-mo")</f>
        <v>https://yt3.ggpht.com/a/AATXAJzOy0C5X8CObH8OryPzr687E50tle2ZtZcfUg=s88-c-k-c0xffffffff-no-rj-mo</v>
      </c>
      <c r="AL57" s="79">
        <v>329</v>
      </c>
      <c r="AM57" s="79">
        <v>0</v>
      </c>
      <c r="AN57" s="79">
        <v>10</v>
      </c>
      <c r="AO57" s="79" t="b">
        <v>0</v>
      </c>
      <c r="AP57" s="79">
        <v>3</v>
      </c>
      <c r="AQ57" s="79"/>
      <c r="AR57" s="79"/>
      <c r="AS57" s="79" t="s">
        <v>1028</v>
      </c>
      <c r="AT57" s="81" t="str">
        <f>HYPERLINK("https://www.youtube.com/channel/UC4HGCBftQMCR0012IxQVPfw")</f>
        <v>https://www.youtube.com/channel/UC4HGCBftQMCR0012IxQVPfw</v>
      </c>
      <c r="AU57" s="79" t="str">
        <f>REPLACE(INDEX(GroupVertices[Group],MATCH(Vertices[[#This Row],[Vertex]],GroupVertices[Vertex],0)),1,1,"")</f>
        <v>6</v>
      </c>
      <c r="AV57" s="48">
        <v>0</v>
      </c>
      <c r="AW57" s="49">
        <v>0</v>
      </c>
      <c r="AX57" s="48">
        <v>0</v>
      </c>
      <c r="AY57" s="49">
        <v>0</v>
      </c>
      <c r="AZ57" s="48">
        <v>0</v>
      </c>
      <c r="BA57" s="49">
        <v>0</v>
      </c>
      <c r="BB57" s="48">
        <v>22</v>
      </c>
      <c r="BC57" s="49">
        <v>100</v>
      </c>
      <c r="BD57" s="48">
        <v>22</v>
      </c>
      <c r="BE57" s="48" t="s">
        <v>1482</v>
      </c>
      <c r="BF57" s="48" t="s">
        <v>1482</v>
      </c>
      <c r="BG57" s="48" t="s">
        <v>817</v>
      </c>
      <c r="BH57" s="48" t="s">
        <v>817</v>
      </c>
      <c r="BI57" s="48"/>
      <c r="BJ57" s="48"/>
      <c r="BK57" s="121" t="s">
        <v>1699</v>
      </c>
      <c r="BL57" s="121" t="s">
        <v>1699</v>
      </c>
      <c r="BM57" s="121" t="s">
        <v>1822</v>
      </c>
      <c r="BN57" s="121" t="s">
        <v>1822</v>
      </c>
      <c r="BO57" s="2"/>
      <c r="BP57" s="3"/>
      <c r="BQ57" s="3"/>
      <c r="BR57" s="3"/>
      <c r="BS57" s="3"/>
    </row>
    <row r="58" spans="1:71" ht="15">
      <c r="A58" s="65" t="s">
        <v>265</v>
      </c>
      <c r="B58" s="66"/>
      <c r="C58" s="66"/>
      <c r="D58" s="67">
        <v>600</v>
      </c>
      <c r="E58" s="69"/>
      <c r="F58" s="99" t="str">
        <f>HYPERLINK("https://yt3.ggpht.com/a/AATXAJx9IP5wjNAikcbuRumMH0-ToiRYD0Dzgt8bTA=s88-c-k-c0xffffffff-no-rj-mo")</f>
        <v>https://yt3.ggpht.com/a/AATXAJx9IP5wjNAikcbuRumMH0-ToiRYD0Dzgt8bTA=s88-c-k-c0xffffffff-no-rj-mo</v>
      </c>
      <c r="G58" s="66"/>
      <c r="H58" s="70" t="s">
        <v>606</v>
      </c>
      <c r="I58" s="71"/>
      <c r="J58" s="71"/>
      <c r="K58" s="70" t="s">
        <v>606</v>
      </c>
      <c r="L58" s="74">
        <v>909.9090909090909</v>
      </c>
      <c r="M58" s="75">
        <v>8321.8857421875</v>
      </c>
      <c r="N58" s="75">
        <v>8618.8828125</v>
      </c>
      <c r="O58" s="76"/>
      <c r="P58" s="77"/>
      <c r="Q58" s="77"/>
      <c r="R58" s="85"/>
      <c r="S58" s="48">
        <v>1</v>
      </c>
      <c r="T58" s="48">
        <v>1</v>
      </c>
      <c r="U58" s="49">
        <v>0</v>
      </c>
      <c r="V58" s="49">
        <v>0.076923</v>
      </c>
      <c r="W58" s="49">
        <v>0</v>
      </c>
      <c r="X58" s="49">
        <v>0.552561</v>
      </c>
      <c r="Y58" s="49">
        <v>0</v>
      </c>
      <c r="Z58" s="49">
        <v>1</v>
      </c>
      <c r="AA58" s="72">
        <v>58</v>
      </c>
      <c r="AB58" s="72"/>
      <c r="AC58" s="73"/>
      <c r="AD58" s="79" t="s">
        <v>606</v>
      </c>
      <c r="AE58" s="79"/>
      <c r="AF58" s="79"/>
      <c r="AG58" s="79"/>
      <c r="AH58" s="79"/>
      <c r="AI58" s="79"/>
      <c r="AJ58" s="83">
        <v>40389.78659722222</v>
      </c>
      <c r="AK58" s="81" t="str">
        <f>HYPERLINK("https://yt3.ggpht.com/a/AATXAJx9IP5wjNAikcbuRumMH0-ToiRYD0Dzgt8bTA=s88-c-k-c0xffffffff-no-rj-mo")</f>
        <v>https://yt3.ggpht.com/a/AATXAJx9IP5wjNAikcbuRumMH0-ToiRYD0Dzgt8bTA=s88-c-k-c0xffffffff-no-rj-mo</v>
      </c>
      <c r="AL58" s="79">
        <v>0</v>
      </c>
      <c r="AM58" s="79">
        <v>0</v>
      </c>
      <c r="AN58" s="79">
        <v>1</v>
      </c>
      <c r="AO58" s="79" t="b">
        <v>0</v>
      </c>
      <c r="AP58" s="79">
        <v>0</v>
      </c>
      <c r="AQ58" s="79"/>
      <c r="AR58" s="79"/>
      <c r="AS58" s="79" t="s">
        <v>1028</v>
      </c>
      <c r="AT58" s="81" t="str">
        <f>HYPERLINK("https://www.youtube.com/channel/UCxsNIXVl1DNY0HFcjOchY5g")</f>
        <v>https://www.youtube.com/channel/UCxsNIXVl1DNY0HFcjOchY5g</v>
      </c>
      <c r="AU58" s="79" t="str">
        <f>REPLACE(INDEX(GroupVertices[Group],MATCH(Vertices[[#This Row],[Vertex]],GroupVertices[Vertex],0)),1,1,"")</f>
        <v>6</v>
      </c>
      <c r="AV58" s="48">
        <v>0</v>
      </c>
      <c r="AW58" s="49">
        <v>0</v>
      </c>
      <c r="AX58" s="48">
        <v>0</v>
      </c>
      <c r="AY58" s="49">
        <v>0</v>
      </c>
      <c r="AZ58" s="48">
        <v>0</v>
      </c>
      <c r="BA58" s="49">
        <v>0</v>
      </c>
      <c r="BB58" s="48">
        <v>23</v>
      </c>
      <c r="BC58" s="49">
        <v>100</v>
      </c>
      <c r="BD58" s="48">
        <v>23</v>
      </c>
      <c r="BE58" s="48"/>
      <c r="BF58" s="48"/>
      <c r="BG58" s="48"/>
      <c r="BH58" s="48"/>
      <c r="BI58" s="48"/>
      <c r="BJ58" s="48"/>
      <c r="BK58" s="121" t="s">
        <v>1700</v>
      </c>
      <c r="BL58" s="121" t="s">
        <v>1700</v>
      </c>
      <c r="BM58" s="121" t="s">
        <v>1823</v>
      </c>
      <c r="BN58" s="121" t="s">
        <v>1823</v>
      </c>
      <c r="BO58" s="2"/>
      <c r="BP58" s="3"/>
      <c r="BQ58" s="3"/>
      <c r="BR58" s="3"/>
      <c r="BS58" s="3"/>
    </row>
    <row r="59" spans="1:71" ht="15">
      <c r="A59" s="65" t="s">
        <v>266</v>
      </c>
      <c r="B59" s="66"/>
      <c r="C59" s="66"/>
      <c r="D59" s="67">
        <v>1000</v>
      </c>
      <c r="E59" s="69"/>
      <c r="F59" s="99" t="str">
        <f>HYPERLINK("https://yt3.ggpht.com/a/AATXAJyXHtTrHbcfRAfnIMC3M_zxqz4jIfZNaw9-VlmKYco=s88-c-k-c0xffffffff-no-rj-mo")</f>
        <v>https://yt3.ggpht.com/a/AATXAJyXHtTrHbcfRAfnIMC3M_zxqz4jIfZNaw9-VlmKYco=s88-c-k-c0xffffffff-no-rj-mo</v>
      </c>
      <c r="G59" s="66"/>
      <c r="H59" s="70" t="s">
        <v>607</v>
      </c>
      <c r="I59" s="71"/>
      <c r="J59" s="71"/>
      <c r="K59" s="70" t="s">
        <v>607</v>
      </c>
      <c r="L59" s="74">
        <v>3636.6363636363635</v>
      </c>
      <c r="M59" s="75">
        <v>5416.96533203125</v>
      </c>
      <c r="N59" s="75">
        <v>9117.72265625</v>
      </c>
      <c r="O59" s="76"/>
      <c r="P59" s="77"/>
      <c r="Q59" s="77"/>
      <c r="R59" s="85"/>
      <c r="S59" s="48">
        <v>4</v>
      </c>
      <c r="T59" s="48">
        <v>4</v>
      </c>
      <c r="U59" s="49">
        <v>54</v>
      </c>
      <c r="V59" s="49">
        <v>0.034483</v>
      </c>
      <c r="W59" s="49">
        <v>1E-06</v>
      </c>
      <c r="X59" s="49">
        <v>1.720247</v>
      </c>
      <c r="Y59" s="49">
        <v>0</v>
      </c>
      <c r="Z59" s="49">
        <v>1</v>
      </c>
      <c r="AA59" s="72">
        <v>59</v>
      </c>
      <c r="AB59" s="72"/>
      <c r="AC59" s="73"/>
      <c r="AD59" s="79" t="s">
        <v>607</v>
      </c>
      <c r="AE59" s="79" t="s">
        <v>932</v>
      </c>
      <c r="AF59" s="79"/>
      <c r="AG59" s="79"/>
      <c r="AH59" s="79"/>
      <c r="AI59" s="79" t="s">
        <v>991</v>
      </c>
      <c r="AJ59" s="83">
        <v>40841.92752314815</v>
      </c>
      <c r="AK59" s="81" t="str">
        <f>HYPERLINK("https://yt3.ggpht.com/a/AATXAJyXHtTrHbcfRAfnIMC3M_zxqz4jIfZNaw9-VlmKYco=s88-c-k-c0xffffffff-no-rj-mo")</f>
        <v>https://yt3.ggpht.com/a/AATXAJyXHtTrHbcfRAfnIMC3M_zxqz4jIfZNaw9-VlmKYco=s88-c-k-c0xffffffff-no-rj-mo</v>
      </c>
      <c r="AL59" s="79">
        <v>15653</v>
      </c>
      <c r="AM59" s="79">
        <v>0</v>
      </c>
      <c r="AN59" s="79">
        <v>1740</v>
      </c>
      <c r="AO59" s="79" t="b">
        <v>0</v>
      </c>
      <c r="AP59" s="79">
        <v>50</v>
      </c>
      <c r="AQ59" s="79"/>
      <c r="AR59" s="79"/>
      <c r="AS59" s="79" t="s">
        <v>1028</v>
      </c>
      <c r="AT59" s="81" t="str">
        <f>HYPERLINK("https://www.youtube.com/channel/UC5fs7PookxGfDPTo-RU0ReQ")</f>
        <v>https://www.youtube.com/channel/UC5fs7PookxGfDPTo-RU0ReQ</v>
      </c>
      <c r="AU59" s="79" t="str">
        <f>REPLACE(INDEX(GroupVertices[Group],MATCH(Vertices[[#This Row],[Vertex]],GroupVertices[Vertex],0)),1,1,"")</f>
        <v>3</v>
      </c>
      <c r="AV59" s="48">
        <v>4</v>
      </c>
      <c r="AW59" s="49">
        <v>5</v>
      </c>
      <c r="AX59" s="48">
        <v>0</v>
      </c>
      <c r="AY59" s="49">
        <v>0</v>
      </c>
      <c r="AZ59" s="48">
        <v>0</v>
      </c>
      <c r="BA59" s="49">
        <v>0</v>
      </c>
      <c r="BB59" s="48">
        <v>76</v>
      </c>
      <c r="BC59" s="49">
        <v>95</v>
      </c>
      <c r="BD59" s="48">
        <v>80</v>
      </c>
      <c r="BE59" s="48"/>
      <c r="BF59" s="48"/>
      <c r="BG59" s="48"/>
      <c r="BH59" s="48"/>
      <c r="BI59" s="48"/>
      <c r="BJ59" s="48"/>
      <c r="BK59" s="121" t="s">
        <v>1701</v>
      </c>
      <c r="BL59" s="121" t="s">
        <v>1701</v>
      </c>
      <c r="BM59" s="121" t="s">
        <v>1824</v>
      </c>
      <c r="BN59" s="121" t="s">
        <v>1824</v>
      </c>
      <c r="BO59" s="2"/>
      <c r="BP59" s="3"/>
      <c r="BQ59" s="3"/>
      <c r="BR59" s="3"/>
      <c r="BS59" s="3"/>
    </row>
    <row r="60" spans="1:71" ht="15">
      <c r="A60" s="65" t="s">
        <v>267</v>
      </c>
      <c r="B60" s="66"/>
      <c r="C60" s="66"/>
      <c r="D60" s="67">
        <v>600</v>
      </c>
      <c r="E60" s="69"/>
      <c r="F60" s="99" t="str">
        <f>HYPERLINK("https://yt3.ggpht.com/a/AATXAJzNvnZv8-hE10LVo3kJqc-KnPbZ-Q25vBX8QfD7=s88-c-k-c0xffffffff-no-rj-mo")</f>
        <v>https://yt3.ggpht.com/a/AATXAJzNvnZv8-hE10LVo3kJqc-KnPbZ-Q25vBX8QfD7=s88-c-k-c0xffffffff-no-rj-mo</v>
      </c>
      <c r="G60" s="66"/>
      <c r="H60" s="70" t="s">
        <v>608</v>
      </c>
      <c r="I60" s="71"/>
      <c r="J60" s="71"/>
      <c r="K60" s="70" t="s">
        <v>608</v>
      </c>
      <c r="L60" s="74">
        <v>909.9090909090909</v>
      </c>
      <c r="M60" s="75">
        <v>5912.35986328125</v>
      </c>
      <c r="N60" s="75">
        <v>8847.1962890625</v>
      </c>
      <c r="O60" s="76"/>
      <c r="P60" s="77"/>
      <c r="Q60" s="77"/>
      <c r="R60" s="85"/>
      <c r="S60" s="48">
        <v>1</v>
      </c>
      <c r="T60" s="48">
        <v>1</v>
      </c>
      <c r="U60" s="49">
        <v>0</v>
      </c>
      <c r="V60" s="49">
        <v>0.025641</v>
      </c>
      <c r="W60" s="49">
        <v>0</v>
      </c>
      <c r="X60" s="49">
        <v>0.515552</v>
      </c>
      <c r="Y60" s="49">
        <v>0</v>
      </c>
      <c r="Z60" s="49">
        <v>1</v>
      </c>
      <c r="AA60" s="72">
        <v>60</v>
      </c>
      <c r="AB60" s="72"/>
      <c r="AC60" s="73"/>
      <c r="AD60" s="79" t="s">
        <v>608</v>
      </c>
      <c r="AE60" s="79"/>
      <c r="AF60" s="79"/>
      <c r="AG60" s="79"/>
      <c r="AH60" s="79"/>
      <c r="AI60" s="79"/>
      <c r="AJ60" s="83">
        <v>40678.26788194444</v>
      </c>
      <c r="AK60" s="81" t="str">
        <f>HYPERLINK("https://yt3.ggpht.com/a/AATXAJzNvnZv8-hE10LVo3kJqc-KnPbZ-Q25vBX8QfD7=s88-c-k-c0xffffffff-no-rj-mo")</f>
        <v>https://yt3.ggpht.com/a/AATXAJzNvnZv8-hE10LVo3kJqc-KnPbZ-Q25vBX8QfD7=s88-c-k-c0xffffffff-no-rj-mo</v>
      </c>
      <c r="AL60" s="79">
        <v>0</v>
      </c>
      <c r="AM60" s="79">
        <v>0</v>
      </c>
      <c r="AN60" s="79">
        <v>0</v>
      </c>
      <c r="AO60" s="79" t="b">
        <v>0</v>
      </c>
      <c r="AP60" s="79">
        <v>0</v>
      </c>
      <c r="AQ60" s="79"/>
      <c r="AR60" s="79"/>
      <c r="AS60" s="79" t="s">
        <v>1028</v>
      </c>
      <c r="AT60" s="81" t="str">
        <f>HYPERLINK("https://www.youtube.com/channel/UC1n7PNqiB96782HhcCEQadQ")</f>
        <v>https://www.youtube.com/channel/UC1n7PNqiB96782HhcCEQadQ</v>
      </c>
      <c r="AU60" s="79" t="str">
        <f>REPLACE(INDEX(GroupVertices[Group],MATCH(Vertices[[#This Row],[Vertex]],GroupVertices[Vertex],0)),1,1,"")</f>
        <v>3</v>
      </c>
      <c r="AV60" s="48">
        <v>1</v>
      </c>
      <c r="AW60" s="49">
        <v>33.333333333333336</v>
      </c>
      <c r="AX60" s="48">
        <v>0</v>
      </c>
      <c r="AY60" s="49">
        <v>0</v>
      </c>
      <c r="AZ60" s="48">
        <v>0</v>
      </c>
      <c r="BA60" s="49">
        <v>0</v>
      </c>
      <c r="BB60" s="48">
        <v>2</v>
      </c>
      <c r="BC60" s="49">
        <v>66.66666666666667</v>
      </c>
      <c r="BD60" s="48">
        <v>3</v>
      </c>
      <c r="BE60" s="48"/>
      <c r="BF60" s="48"/>
      <c r="BG60" s="48"/>
      <c r="BH60" s="48"/>
      <c r="BI60" s="48"/>
      <c r="BJ60" s="48"/>
      <c r="BK60" s="121" t="s">
        <v>1082</v>
      </c>
      <c r="BL60" s="121" t="s">
        <v>1082</v>
      </c>
      <c r="BM60" s="121" t="s">
        <v>1544</v>
      </c>
      <c r="BN60" s="121" t="s">
        <v>1544</v>
      </c>
      <c r="BO60" s="2"/>
      <c r="BP60" s="3"/>
      <c r="BQ60" s="3"/>
      <c r="BR60" s="3"/>
      <c r="BS60" s="3"/>
    </row>
    <row r="61" spans="1:71" ht="15">
      <c r="A61" s="65" t="s">
        <v>268</v>
      </c>
      <c r="B61" s="66"/>
      <c r="C61" s="66"/>
      <c r="D61" s="67">
        <v>200</v>
      </c>
      <c r="E61" s="69"/>
      <c r="F61" s="99" t="str">
        <f>HYPERLINK("https://yt3.ggpht.com/a/AATXAJzYvXk0QmHjVGxNIQXTDouSxj5qWJGpN0giMY6GYw=s88-c-k-c0xffffffff-no-rj-mo")</f>
        <v>https://yt3.ggpht.com/a/AATXAJzYvXk0QmHjVGxNIQXTDouSxj5qWJGpN0giMY6GYw=s88-c-k-c0xffffffff-no-rj-mo</v>
      </c>
      <c r="G61" s="66"/>
      <c r="H61" s="70" t="s">
        <v>609</v>
      </c>
      <c r="I61" s="71"/>
      <c r="J61" s="71"/>
      <c r="K61" s="70" t="s">
        <v>609</v>
      </c>
      <c r="L61" s="74">
        <v>1</v>
      </c>
      <c r="M61" s="75">
        <v>9133.9619140625</v>
      </c>
      <c r="N61" s="75">
        <v>3500.649658203125</v>
      </c>
      <c r="O61" s="76"/>
      <c r="P61" s="77"/>
      <c r="Q61" s="77"/>
      <c r="R61" s="85"/>
      <c r="S61" s="48">
        <v>0</v>
      </c>
      <c r="T61" s="48">
        <v>1</v>
      </c>
      <c r="U61" s="49">
        <v>0</v>
      </c>
      <c r="V61" s="49">
        <v>0.166667</v>
      </c>
      <c r="W61" s="49">
        <v>0</v>
      </c>
      <c r="X61" s="49">
        <v>0.701752</v>
      </c>
      <c r="Y61" s="49">
        <v>0</v>
      </c>
      <c r="Z61" s="49">
        <v>0</v>
      </c>
      <c r="AA61" s="72">
        <v>61</v>
      </c>
      <c r="AB61" s="72"/>
      <c r="AC61" s="73"/>
      <c r="AD61" s="79" t="s">
        <v>609</v>
      </c>
      <c r="AE61" s="79"/>
      <c r="AF61" s="79"/>
      <c r="AG61" s="79"/>
      <c r="AH61" s="79"/>
      <c r="AI61" s="79"/>
      <c r="AJ61" s="83">
        <v>42701.99099537037</v>
      </c>
      <c r="AK61" s="81" t="str">
        <f>HYPERLINK("https://yt3.ggpht.com/a/AATXAJzYvXk0QmHjVGxNIQXTDouSxj5qWJGpN0giMY6GYw=s88-c-k-c0xffffffff-no-rj-mo")</f>
        <v>https://yt3.ggpht.com/a/AATXAJzYvXk0QmHjVGxNIQXTDouSxj5qWJGpN0giMY6GYw=s88-c-k-c0xffffffff-no-rj-mo</v>
      </c>
      <c r="AL61" s="79">
        <v>0</v>
      </c>
      <c r="AM61" s="79">
        <v>0</v>
      </c>
      <c r="AN61" s="79">
        <v>3</v>
      </c>
      <c r="AO61" s="79" t="b">
        <v>0</v>
      </c>
      <c r="AP61" s="79">
        <v>0</v>
      </c>
      <c r="AQ61" s="79"/>
      <c r="AR61" s="79"/>
      <c r="AS61" s="79" t="s">
        <v>1028</v>
      </c>
      <c r="AT61" s="81" t="str">
        <f>HYPERLINK("https://www.youtube.com/channel/UC0XPyNN1n8_yfMIqOC3fzgw")</f>
        <v>https://www.youtube.com/channel/UC0XPyNN1n8_yfMIqOC3fzgw</v>
      </c>
      <c r="AU61" s="79" t="str">
        <f>REPLACE(INDEX(GroupVertices[Group],MATCH(Vertices[[#This Row],[Vertex]],GroupVertices[Vertex],0)),1,1,"")</f>
        <v>14</v>
      </c>
      <c r="AV61" s="48">
        <v>0</v>
      </c>
      <c r="AW61" s="49">
        <v>0</v>
      </c>
      <c r="AX61" s="48">
        <v>0</v>
      </c>
      <c r="AY61" s="49">
        <v>0</v>
      </c>
      <c r="AZ61" s="48">
        <v>0</v>
      </c>
      <c r="BA61" s="49">
        <v>0</v>
      </c>
      <c r="BB61" s="48">
        <v>2</v>
      </c>
      <c r="BC61" s="49">
        <v>100</v>
      </c>
      <c r="BD61" s="48">
        <v>2</v>
      </c>
      <c r="BE61" s="48"/>
      <c r="BF61" s="48"/>
      <c r="BG61" s="48"/>
      <c r="BH61" s="48"/>
      <c r="BI61" s="48"/>
      <c r="BJ61" s="48"/>
      <c r="BK61" s="121" t="s">
        <v>1338</v>
      </c>
      <c r="BL61" s="121" t="s">
        <v>1338</v>
      </c>
      <c r="BM61" s="121" t="s">
        <v>1544</v>
      </c>
      <c r="BN61" s="121" t="s">
        <v>1544</v>
      </c>
      <c r="BO61" s="2"/>
      <c r="BP61" s="3"/>
      <c r="BQ61" s="3"/>
      <c r="BR61" s="3"/>
      <c r="BS61" s="3"/>
    </row>
    <row r="62" spans="1:71" ht="15">
      <c r="A62" s="65" t="s">
        <v>270</v>
      </c>
      <c r="B62" s="66"/>
      <c r="C62" s="66"/>
      <c r="D62" s="67">
        <v>1000</v>
      </c>
      <c r="E62" s="69"/>
      <c r="F62" s="99" t="str">
        <f>HYPERLINK("https://yt3.ggpht.com/a/AATXAJwCrmlQhOXLDWa74mUPUGmGdXebNwNJUfe8Lg=s88-c-k-c0xffffffff-no-rj-mo")</f>
        <v>https://yt3.ggpht.com/a/AATXAJwCrmlQhOXLDWa74mUPUGmGdXebNwNJUfe8Lg=s88-c-k-c0xffffffff-no-rj-mo</v>
      </c>
      <c r="G62" s="66"/>
      <c r="H62" s="70" t="s">
        <v>611</v>
      </c>
      <c r="I62" s="71"/>
      <c r="J62" s="71"/>
      <c r="K62" s="70" t="s">
        <v>611</v>
      </c>
      <c r="L62" s="74">
        <v>1818.8181818181818</v>
      </c>
      <c r="M62" s="75">
        <v>9820.1435546875</v>
      </c>
      <c r="N62" s="75">
        <v>3417.636474609375</v>
      </c>
      <c r="O62" s="76"/>
      <c r="P62" s="77"/>
      <c r="Q62" s="77"/>
      <c r="R62" s="85"/>
      <c r="S62" s="48">
        <v>2</v>
      </c>
      <c r="T62" s="48">
        <v>1</v>
      </c>
      <c r="U62" s="49">
        <v>4</v>
      </c>
      <c r="V62" s="49">
        <v>0.25</v>
      </c>
      <c r="W62" s="49">
        <v>0</v>
      </c>
      <c r="X62" s="49">
        <v>1.29824</v>
      </c>
      <c r="Y62" s="49">
        <v>0</v>
      </c>
      <c r="Z62" s="49">
        <v>0.5</v>
      </c>
      <c r="AA62" s="72">
        <v>62</v>
      </c>
      <c r="AB62" s="72"/>
      <c r="AC62" s="73"/>
      <c r="AD62" s="79" t="s">
        <v>611</v>
      </c>
      <c r="AE62" s="79"/>
      <c r="AF62" s="79"/>
      <c r="AG62" s="79"/>
      <c r="AH62" s="79"/>
      <c r="AI62" s="79"/>
      <c r="AJ62" s="83">
        <v>43455.18178240741</v>
      </c>
      <c r="AK62" s="81" t="str">
        <f>HYPERLINK("https://yt3.ggpht.com/a/AATXAJwCrmlQhOXLDWa74mUPUGmGdXebNwNJUfe8Lg=s88-c-k-c0xffffffff-no-rj-mo")</f>
        <v>https://yt3.ggpht.com/a/AATXAJwCrmlQhOXLDWa74mUPUGmGdXebNwNJUfe8Lg=s88-c-k-c0xffffffff-no-rj-mo</v>
      </c>
      <c r="AL62" s="79">
        <v>89</v>
      </c>
      <c r="AM62" s="79">
        <v>0</v>
      </c>
      <c r="AN62" s="79">
        <v>5</v>
      </c>
      <c r="AO62" s="79" t="b">
        <v>0</v>
      </c>
      <c r="AP62" s="79">
        <v>2</v>
      </c>
      <c r="AQ62" s="79"/>
      <c r="AR62" s="79"/>
      <c r="AS62" s="79" t="s">
        <v>1028</v>
      </c>
      <c r="AT62" s="81" t="str">
        <f>HYPERLINK("https://www.youtube.com/channel/UCEzQybRlEFdns8Jv1iSTN2A")</f>
        <v>https://www.youtube.com/channel/UCEzQybRlEFdns8Jv1iSTN2A</v>
      </c>
      <c r="AU62" s="79" t="str">
        <f>REPLACE(INDEX(GroupVertices[Group],MATCH(Vertices[[#This Row],[Vertex]],GroupVertices[Vertex],0)),1,1,"")</f>
        <v>14</v>
      </c>
      <c r="AV62" s="48">
        <v>0</v>
      </c>
      <c r="AW62" s="49">
        <v>0</v>
      </c>
      <c r="AX62" s="48">
        <v>0</v>
      </c>
      <c r="AY62" s="49">
        <v>0</v>
      </c>
      <c r="AZ62" s="48">
        <v>0</v>
      </c>
      <c r="BA62" s="49">
        <v>0</v>
      </c>
      <c r="BB62" s="48">
        <v>5</v>
      </c>
      <c r="BC62" s="49">
        <v>100</v>
      </c>
      <c r="BD62" s="48">
        <v>5</v>
      </c>
      <c r="BE62" s="48"/>
      <c r="BF62" s="48"/>
      <c r="BG62" s="48"/>
      <c r="BH62" s="48"/>
      <c r="BI62" s="48"/>
      <c r="BJ62" s="48"/>
      <c r="BK62" s="121" t="s">
        <v>1702</v>
      </c>
      <c r="BL62" s="121" t="s">
        <v>1702</v>
      </c>
      <c r="BM62" s="121" t="s">
        <v>1825</v>
      </c>
      <c r="BN62" s="121" t="s">
        <v>1825</v>
      </c>
      <c r="BO62" s="2"/>
      <c r="BP62" s="3"/>
      <c r="BQ62" s="3"/>
      <c r="BR62" s="3"/>
      <c r="BS62" s="3"/>
    </row>
    <row r="63" spans="1:71" ht="15">
      <c r="A63" s="65" t="s">
        <v>269</v>
      </c>
      <c r="B63" s="66"/>
      <c r="C63" s="66"/>
      <c r="D63" s="67">
        <v>1000</v>
      </c>
      <c r="E63" s="69"/>
      <c r="F63" s="99" t="str">
        <f>HYPERLINK("https://yt3.ggpht.com/a/AATXAJzkk1B-wWtz1m-Iy-FIXHUOb9sQVbuVmy88=s88-c-k-c0xffffffff-no-rj-mo")</f>
        <v>https://yt3.ggpht.com/a/AATXAJzkk1B-wWtz1m-Iy-FIXHUOb9sQVbuVmy88=s88-c-k-c0xffffffff-no-rj-mo</v>
      </c>
      <c r="G63" s="66"/>
      <c r="H63" s="70" t="s">
        <v>610</v>
      </c>
      <c r="I63" s="71"/>
      <c r="J63" s="71"/>
      <c r="K63" s="70" t="s">
        <v>610</v>
      </c>
      <c r="L63" s="74">
        <v>1818.8181818181818</v>
      </c>
      <c r="M63" s="75">
        <v>9343.7041015625</v>
      </c>
      <c r="N63" s="75">
        <v>2817.63720703125</v>
      </c>
      <c r="O63" s="76"/>
      <c r="P63" s="77"/>
      <c r="Q63" s="77"/>
      <c r="R63" s="85"/>
      <c r="S63" s="48">
        <v>2</v>
      </c>
      <c r="T63" s="48">
        <v>2</v>
      </c>
      <c r="U63" s="49">
        <v>4</v>
      </c>
      <c r="V63" s="49">
        <v>0.25</v>
      </c>
      <c r="W63" s="49">
        <v>0</v>
      </c>
      <c r="X63" s="49">
        <v>1.29824</v>
      </c>
      <c r="Y63" s="49">
        <v>0</v>
      </c>
      <c r="Z63" s="49">
        <v>1</v>
      </c>
      <c r="AA63" s="72">
        <v>63</v>
      </c>
      <c r="AB63" s="72"/>
      <c r="AC63" s="73"/>
      <c r="AD63" s="79" t="s">
        <v>610</v>
      </c>
      <c r="AE63" s="79" t="s">
        <v>933</v>
      </c>
      <c r="AF63" s="79"/>
      <c r="AG63" s="79"/>
      <c r="AH63" s="79"/>
      <c r="AI63" s="79" t="s">
        <v>992</v>
      </c>
      <c r="AJ63" s="83">
        <v>42473.508680555555</v>
      </c>
      <c r="AK63" s="81" t="str">
        <f>HYPERLINK("https://yt3.ggpht.com/a/AATXAJzkk1B-wWtz1m-Iy-FIXHUOb9sQVbuVmy88=s88-c-k-c0xffffffff-no-rj-mo")</f>
        <v>https://yt3.ggpht.com/a/AATXAJzkk1B-wWtz1m-Iy-FIXHUOb9sQVbuVmy88=s88-c-k-c0xffffffff-no-rj-mo</v>
      </c>
      <c r="AL63" s="79">
        <v>1948213</v>
      </c>
      <c r="AM63" s="79">
        <v>0</v>
      </c>
      <c r="AN63" s="79">
        <v>14800</v>
      </c>
      <c r="AO63" s="79" t="b">
        <v>0</v>
      </c>
      <c r="AP63" s="79">
        <v>1392</v>
      </c>
      <c r="AQ63" s="79"/>
      <c r="AR63" s="79"/>
      <c r="AS63" s="79" t="s">
        <v>1028</v>
      </c>
      <c r="AT63" s="81" t="str">
        <f>HYPERLINK("https://www.youtube.com/channel/UCr_MTGrHVG78jGSWbGnNIvw")</f>
        <v>https://www.youtube.com/channel/UCr_MTGrHVG78jGSWbGnNIvw</v>
      </c>
      <c r="AU63" s="79" t="str">
        <f>REPLACE(INDEX(GroupVertices[Group],MATCH(Vertices[[#This Row],[Vertex]],GroupVertices[Vertex],0)),1,1,"")</f>
        <v>14</v>
      </c>
      <c r="AV63" s="48">
        <v>3</v>
      </c>
      <c r="AW63" s="49">
        <v>18.75</v>
      </c>
      <c r="AX63" s="48">
        <v>0</v>
      </c>
      <c r="AY63" s="49">
        <v>0</v>
      </c>
      <c r="AZ63" s="48">
        <v>0</v>
      </c>
      <c r="BA63" s="49">
        <v>0</v>
      </c>
      <c r="BB63" s="48">
        <v>13</v>
      </c>
      <c r="BC63" s="49">
        <v>81.25</v>
      </c>
      <c r="BD63" s="48">
        <v>16</v>
      </c>
      <c r="BE63" s="48"/>
      <c r="BF63" s="48"/>
      <c r="BG63" s="48"/>
      <c r="BH63" s="48"/>
      <c r="BI63" s="48"/>
      <c r="BJ63" s="48"/>
      <c r="BK63" s="121" t="s">
        <v>1703</v>
      </c>
      <c r="BL63" s="121" t="s">
        <v>1703</v>
      </c>
      <c r="BM63" s="121" t="s">
        <v>1826</v>
      </c>
      <c r="BN63" s="121" t="s">
        <v>1826</v>
      </c>
      <c r="BO63" s="2"/>
      <c r="BP63" s="3"/>
      <c r="BQ63" s="3"/>
      <c r="BR63" s="3"/>
      <c r="BS63" s="3"/>
    </row>
    <row r="64" spans="1:71" ht="15">
      <c r="A64" s="65" t="s">
        <v>271</v>
      </c>
      <c r="B64" s="66"/>
      <c r="C64" s="66"/>
      <c r="D64" s="67">
        <v>600</v>
      </c>
      <c r="E64" s="69"/>
      <c r="F64" s="99" t="str">
        <f>HYPERLINK("https://yt3.ggpht.com/a/AATXAJzKX3ZCLSPVmpZ52mQ5d4ZvsiwQCVpTCUyybg=s88-c-k-c0xffffffff-no-rj-mo")</f>
        <v>https://yt3.ggpht.com/a/AATXAJzKX3ZCLSPVmpZ52mQ5d4ZvsiwQCVpTCUyybg=s88-c-k-c0xffffffff-no-rj-mo</v>
      </c>
      <c r="G64" s="66"/>
      <c r="H64" s="70" t="s">
        <v>612</v>
      </c>
      <c r="I64" s="71"/>
      <c r="J64" s="71"/>
      <c r="K64" s="70" t="s">
        <v>612</v>
      </c>
      <c r="L64" s="74">
        <v>909.9090909090909</v>
      </c>
      <c r="M64" s="75">
        <v>8863.232421875</v>
      </c>
      <c r="N64" s="75">
        <v>4811.65771484375</v>
      </c>
      <c r="O64" s="76"/>
      <c r="P64" s="77"/>
      <c r="Q64" s="77"/>
      <c r="R64" s="85"/>
      <c r="S64" s="48">
        <v>1</v>
      </c>
      <c r="T64" s="48">
        <v>1</v>
      </c>
      <c r="U64" s="49">
        <v>0</v>
      </c>
      <c r="V64" s="49">
        <v>0.166667</v>
      </c>
      <c r="W64" s="49">
        <v>0</v>
      </c>
      <c r="X64" s="49">
        <v>0.701752</v>
      </c>
      <c r="Y64" s="49">
        <v>0</v>
      </c>
      <c r="Z64" s="49">
        <v>1</v>
      </c>
      <c r="AA64" s="72">
        <v>64</v>
      </c>
      <c r="AB64" s="72"/>
      <c r="AC64" s="73"/>
      <c r="AD64" s="79" t="s">
        <v>612</v>
      </c>
      <c r="AE64" s="79"/>
      <c r="AF64" s="79"/>
      <c r="AG64" s="79"/>
      <c r="AH64" s="79"/>
      <c r="AI64" s="79"/>
      <c r="AJ64" s="83">
        <v>40587.428877314815</v>
      </c>
      <c r="AK64" s="81" t="str">
        <f>HYPERLINK("https://yt3.ggpht.com/a/AATXAJzKX3ZCLSPVmpZ52mQ5d4ZvsiwQCVpTCUyybg=s88-c-k-c0xffffffff-no-rj-mo")</f>
        <v>https://yt3.ggpht.com/a/AATXAJzKX3ZCLSPVmpZ52mQ5d4ZvsiwQCVpTCUyybg=s88-c-k-c0xffffffff-no-rj-mo</v>
      </c>
      <c r="AL64" s="79">
        <v>13</v>
      </c>
      <c r="AM64" s="79">
        <v>0</v>
      </c>
      <c r="AN64" s="79">
        <v>1</v>
      </c>
      <c r="AO64" s="79" t="b">
        <v>0</v>
      </c>
      <c r="AP64" s="79">
        <v>1</v>
      </c>
      <c r="AQ64" s="79"/>
      <c r="AR64" s="79"/>
      <c r="AS64" s="79" t="s">
        <v>1028</v>
      </c>
      <c r="AT64" s="81" t="str">
        <f>HYPERLINK("https://www.youtube.com/channel/UC_dEMfsDIMR6T3j4FhzhGDg")</f>
        <v>https://www.youtube.com/channel/UC_dEMfsDIMR6T3j4FhzhGDg</v>
      </c>
      <c r="AU64" s="79" t="str">
        <f>REPLACE(INDEX(GroupVertices[Group],MATCH(Vertices[[#This Row],[Vertex]],GroupVertices[Vertex],0)),1,1,"")</f>
        <v>14</v>
      </c>
      <c r="AV64" s="48">
        <v>2</v>
      </c>
      <c r="AW64" s="49">
        <v>22.22222222222222</v>
      </c>
      <c r="AX64" s="48">
        <v>0</v>
      </c>
      <c r="AY64" s="49">
        <v>0</v>
      </c>
      <c r="AZ64" s="48">
        <v>0</v>
      </c>
      <c r="BA64" s="49">
        <v>0</v>
      </c>
      <c r="BB64" s="48">
        <v>7</v>
      </c>
      <c r="BC64" s="49">
        <v>77.77777777777777</v>
      </c>
      <c r="BD64" s="48">
        <v>9</v>
      </c>
      <c r="BE64" s="48"/>
      <c r="BF64" s="48"/>
      <c r="BG64" s="48"/>
      <c r="BH64" s="48"/>
      <c r="BI64" s="48"/>
      <c r="BJ64" s="48"/>
      <c r="BK64" s="121" t="s">
        <v>1704</v>
      </c>
      <c r="BL64" s="121" t="s">
        <v>1704</v>
      </c>
      <c r="BM64" s="121" t="s">
        <v>1827</v>
      </c>
      <c r="BN64" s="121" t="s">
        <v>1827</v>
      </c>
      <c r="BO64" s="2"/>
      <c r="BP64" s="3"/>
      <c r="BQ64" s="3"/>
      <c r="BR64" s="3"/>
      <c r="BS64" s="3"/>
    </row>
    <row r="65" spans="1:71" ht="15">
      <c r="A65" s="65" t="s">
        <v>272</v>
      </c>
      <c r="B65" s="66"/>
      <c r="C65" s="66"/>
      <c r="D65" s="67">
        <v>200</v>
      </c>
      <c r="E65" s="69"/>
      <c r="F65" s="99" t="str">
        <f>HYPERLINK("https://yt3.ggpht.com/a/AATXAJzfMCP55IOziSoAjgt_1_xsuMgainouTq7Oww=s88-c-k-c0xffffffff-no-rj-mo")</f>
        <v>https://yt3.ggpht.com/a/AATXAJzfMCP55IOziSoAjgt_1_xsuMgainouTq7Oww=s88-c-k-c0xffffffff-no-rj-mo</v>
      </c>
      <c r="G65" s="66"/>
      <c r="H65" s="70" t="s">
        <v>613</v>
      </c>
      <c r="I65" s="71"/>
      <c r="J65" s="71"/>
      <c r="K65" s="70" t="s">
        <v>613</v>
      </c>
      <c r="L65" s="74">
        <v>1</v>
      </c>
      <c r="M65" s="75">
        <v>5328.55419921875</v>
      </c>
      <c r="N65" s="75">
        <v>1900.0557861328125</v>
      </c>
      <c r="O65" s="76"/>
      <c r="P65" s="77"/>
      <c r="Q65" s="77"/>
      <c r="R65" s="85"/>
      <c r="S65" s="48">
        <v>0</v>
      </c>
      <c r="T65" s="48">
        <v>3</v>
      </c>
      <c r="U65" s="49">
        <v>3</v>
      </c>
      <c r="V65" s="49">
        <v>0.083333</v>
      </c>
      <c r="W65" s="49">
        <v>0</v>
      </c>
      <c r="X65" s="49">
        <v>1.236125</v>
      </c>
      <c r="Y65" s="49">
        <v>0</v>
      </c>
      <c r="Z65" s="49">
        <v>0</v>
      </c>
      <c r="AA65" s="72">
        <v>65</v>
      </c>
      <c r="AB65" s="72"/>
      <c r="AC65" s="73"/>
      <c r="AD65" s="79" t="s">
        <v>613</v>
      </c>
      <c r="AE65" s="79"/>
      <c r="AF65" s="79"/>
      <c r="AG65" s="79"/>
      <c r="AH65" s="79"/>
      <c r="AI65" s="79"/>
      <c r="AJ65" s="83">
        <v>40874.99797453704</v>
      </c>
      <c r="AK65" s="81" t="str">
        <f>HYPERLINK("https://yt3.ggpht.com/a/AATXAJzfMCP55IOziSoAjgt_1_xsuMgainouTq7Oww=s88-c-k-c0xffffffff-no-rj-mo")</f>
        <v>https://yt3.ggpht.com/a/AATXAJzfMCP55IOziSoAjgt_1_xsuMgainouTq7Oww=s88-c-k-c0xffffffff-no-rj-mo</v>
      </c>
      <c r="AL65" s="79">
        <v>0</v>
      </c>
      <c r="AM65" s="79">
        <v>0</v>
      </c>
      <c r="AN65" s="79">
        <v>0</v>
      </c>
      <c r="AO65" s="79" t="b">
        <v>0</v>
      </c>
      <c r="AP65" s="79">
        <v>0</v>
      </c>
      <c r="AQ65" s="79"/>
      <c r="AR65" s="79"/>
      <c r="AS65" s="79" t="s">
        <v>1028</v>
      </c>
      <c r="AT65" s="81" t="str">
        <f>HYPERLINK("https://www.youtube.com/channel/UCNKPorEsvEOZKMTEUWYM1NQ")</f>
        <v>https://www.youtube.com/channel/UCNKPorEsvEOZKMTEUWYM1NQ</v>
      </c>
      <c r="AU65" s="79" t="str">
        <f>REPLACE(INDEX(GroupVertices[Group],MATCH(Vertices[[#This Row],[Vertex]],GroupVertices[Vertex],0)),1,1,"")</f>
        <v>7</v>
      </c>
      <c r="AV65" s="48">
        <v>5</v>
      </c>
      <c r="AW65" s="49">
        <v>5.813953488372093</v>
      </c>
      <c r="AX65" s="48">
        <v>0</v>
      </c>
      <c r="AY65" s="49">
        <v>0</v>
      </c>
      <c r="AZ65" s="48">
        <v>0</v>
      </c>
      <c r="BA65" s="49">
        <v>0</v>
      </c>
      <c r="BB65" s="48">
        <v>81</v>
      </c>
      <c r="BC65" s="49">
        <v>94.18604651162791</v>
      </c>
      <c r="BD65" s="48">
        <v>86</v>
      </c>
      <c r="BE65" s="48"/>
      <c r="BF65" s="48"/>
      <c r="BG65" s="48"/>
      <c r="BH65" s="48"/>
      <c r="BI65" s="48"/>
      <c r="BJ65" s="48"/>
      <c r="BK65" s="121" t="s">
        <v>1705</v>
      </c>
      <c r="BL65" s="121" t="s">
        <v>1769</v>
      </c>
      <c r="BM65" s="121" t="s">
        <v>1828</v>
      </c>
      <c r="BN65" s="121" t="s">
        <v>1885</v>
      </c>
      <c r="BO65" s="2"/>
      <c r="BP65" s="3"/>
      <c r="BQ65" s="3"/>
      <c r="BR65" s="3"/>
      <c r="BS65" s="3"/>
    </row>
    <row r="66" spans="1:71" ht="15">
      <c r="A66" s="65" t="s">
        <v>273</v>
      </c>
      <c r="B66" s="66"/>
      <c r="C66" s="66"/>
      <c r="D66" s="67">
        <v>600</v>
      </c>
      <c r="E66" s="69"/>
      <c r="F66" s="99" t="str">
        <f>HYPERLINK("https://yt3.ggpht.com/a/AATXAJyC0aT1Bx6wfrjfdEuS3SSPTLslEnQkBFy8Cw=s88-c-k-c0xffffffff-no-rj-mo")</f>
        <v>https://yt3.ggpht.com/a/AATXAJyC0aT1Bx6wfrjfdEuS3SSPTLslEnQkBFy8Cw=s88-c-k-c0xffffffff-no-rj-mo</v>
      </c>
      <c r="G66" s="66"/>
      <c r="H66" s="70" t="s">
        <v>614</v>
      </c>
      <c r="I66" s="71"/>
      <c r="J66" s="71"/>
      <c r="K66" s="70" t="s">
        <v>614</v>
      </c>
      <c r="L66" s="74">
        <v>909.9090909090909</v>
      </c>
      <c r="M66" s="75">
        <v>4962.29345703125</v>
      </c>
      <c r="N66" s="75">
        <v>1548.13330078125</v>
      </c>
      <c r="O66" s="76"/>
      <c r="P66" s="77"/>
      <c r="Q66" s="77"/>
      <c r="R66" s="85"/>
      <c r="S66" s="48">
        <v>1</v>
      </c>
      <c r="T66" s="48">
        <v>1</v>
      </c>
      <c r="U66" s="49">
        <v>2</v>
      </c>
      <c r="V66" s="49">
        <v>0.090909</v>
      </c>
      <c r="W66" s="49">
        <v>0</v>
      </c>
      <c r="X66" s="49">
        <v>0.851863</v>
      </c>
      <c r="Y66" s="49">
        <v>0</v>
      </c>
      <c r="Z66" s="49">
        <v>0</v>
      </c>
      <c r="AA66" s="72">
        <v>66</v>
      </c>
      <c r="AB66" s="72"/>
      <c r="AC66" s="73"/>
      <c r="AD66" s="79" t="s">
        <v>614</v>
      </c>
      <c r="AE66" s="79"/>
      <c r="AF66" s="79"/>
      <c r="AG66" s="79"/>
      <c r="AH66" s="79"/>
      <c r="AI66" s="79"/>
      <c r="AJ66" s="83">
        <v>38922.08576388889</v>
      </c>
      <c r="AK66" s="81" t="str">
        <f>HYPERLINK("https://yt3.ggpht.com/a/AATXAJyC0aT1Bx6wfrjfdEuS3SSPTLslEnQkBFy8Cw=s88-c-k-c0xffffffff-no-rj-mo")</f>
        <v>https://yt3.ggpht.com/a/AATXAJyC0aT1Bx6wfrjfdEuS3SSPTLslEnQkBFy8Cw=s88-c-k-c0xffffffff-no-rj-mo</v>
      </c>
      <c r="AL66" s="79">
        <v>190</v>
      </c>
      <c r="AM66" s="79">
        <v>0</v>
      </c>
      <c r="AN66" s="79">
        <v>0</v>
      </c>
      <c r="AO66" s="79" t="b">
        <v>0</v>
      </c>
      <c r="AP66" s="79">
        <v>1</v>
      </c>
      <c r="AQ66" s="79"/>
      <c r="AR66" s="79"/>
      <c r="AS66" s="79" t="s">
        <v>1028</v>
      </c>
      <c r="AT66" s="81" t="str">
        <f>HYPERLINK("https://www.youtube.com/channel/UCxmH2GT_n61cUEYtxgntqvQ")</f>
        <v>https://www.youtube.com/channel/UCxmH2GT_n61cUEYtxgntqvQ</v>
      </c>
      <c r="AU66" s="79" t="str">
        <f>REPLACE(INDEX(GroupVertices[Group],MATCH(Vertices[[#This Row],[Vertex]],GroupVertices[Vertex],0)),1,1,"")</f>
        <v>7</v>
      </c>
      <c r="AV66" s="48">
        <v>1</v>
      </c>
      <c r="AW66" s="49">
        <v>12.5</v>
      </c>
      <c r="AX66" s="48">
        <v>0</v>
      </c>
      <c r="AY66" s="49">
        <v>0</v>
      </c>
      <c r="AZ66" s="48">
        <v>0</v>
      </c>
      <c r="BA66" s="49">
        <v>0</v>
      </c>
      <c r="BB66" s="48">
        <v>7</v>
      </c>
      <c r="BC66" s="49">
        <v>87.5</v>
      </c>
      <c r="BD66" s="48">
        <v>8</v>
      </c>
      <c r="BE66" s="48"/>
      <c r="BF66" s="48"/>
      <c r="BG66" s="48"/>
      <c r="BH66" s="48"/>
      <c r="BI66" s="48"/>
      <c r="BJ66" s="48"/>
      <c r="BK66" s="121" t="s">
        <v>1706</v>
      </c>
      <c r="BL66" s="121" t="s">
        <v>1706</v>
      </c>
      <c r="BM66" s="121" t="s">
        <v>1829</v>
      </c>
      <c r="BN66" s="121" t="s">
        <v>1829</v>
      </c>
      <c r="BO66" s="2"/>
      <c r="BP66" s="3"/>
      <c r="BQ66" s="3"/>
      <c r="BR66" s="3"/>
      <c r="BS66" s="3"/>
    </row>
    <row r="67" spans="1:71" ht="15">
      <c r="A67" s="65" t="s">
        <v>274</v>
      </c>
      <c r="B67" s="66"/>
      <c r="C67" s="66"/>
      <c r="D67" s="67">
        <v>600</v>
      </c>
      <c r="E67" s="69"/>
      <c r="F67" s="99" t="str">
        <f>HYPERLINK("https://yt3.ggpht.com/a/AATXAJzU4zHwPmHvRr-kZeqvz4DaWj0SqBYSk9E55nvUQ-4=s88-c-k-c0xffffffff-no-rj-mo")</f>
        <v>https://yt3.ggpht.com/a/AATXAJzU4zHwPmHvRr-kZeqvz4DaWj0SqBYSk9E55nvUQ-4=s88-c-k-c0xffffffff-no-rj-mo</v>
      </c>
      <c r="G67" s="66"/>
      <c r="H67" s="70" t="s">
        <v>615</v>
      </c>
      <c r="I67" s="71"/>
      <c r="J67" s="71"/>
      <c r="K67" s="70" t="s">
        <v>615</v>
      </c>
      <c r="L67" s="74">
        <v>909.9090909090909</v>
      </c>
      <c r="M67" s="75">
        <v>4569.76171875</v>
      </c>
      <c r="N67" s="75">
        <v>2210.761474609375</v>
      </c>
      <c r="O67" s="76"/>
      <c r="P67" s="77"/>
      <c r="Q67" s="77"/>
      <c r="R67" s="85"/>
      <c r="S67" s="48">
        <v>1</v>
      </c>
      <c r="T67" s="48">
        <v>1</v>
      </c>
      <c r="U67" s="49">
        <v>2</v>
      </c>
      <c r="V67" s="49">
        <v>0.090909</v>
      </c>
      <c r="W67" s="49">
        <v>0</v>
      </c>
      <c r="X67" s="49">
        <v>0.851863</v>
      </c>
      <c r="Y67" s="49">
        <v>0</v>
      </c>
      <c r="Z67" s="49">
        <v>0</v>
      </c>
      <c r="AA67" s="72">
        <v>67</v>
      </c>
      <c r="AB67" s="72"/>
      <c r="AC67" s="73"/>
      <c r="AD67" s="79" t="s">
        <v>615</v>
      </c>
      <c r="AE67" s="79"/>
      <c r="AF67" s="79"/>
      <c r="AG67" s="79"/>
      <c r="AH67" s="79"/>
      <c r="AI67" s="79"/>
      <c r="AJ67" s="83">
        <v>40897.10818287037</v>
      </c>
      <c r="AK67" s="81" t="str">
        <f>HYPERLINK("https://yt3.ggpht.com/a/AATXAJzU4zHwPmHvRr-kZeqvz4DaWj0SqBYSk9E55nvUQ-4=s88-c-k-c0xffffffff-no-rj-mo")</f>
        <v>https://yt3.ggpht.com/a/AATXAJzU4zHwPmHvRr-kZeqvz4DaWj0SqBYSk9E55nvUQ-4=s88-c-k-c0xffffffff-no-rj-mo</v>
      </c>
      <c r="AL67" s="79">
        <v>0</v>
      </c>
      <c r="AM67" s="79">
        <v>0</v>
      </c>
      <c r="AN67" s="79">
        <v>0</v>
      </c>
      <c r="AO67" s="79" t="b">
        <v>0</v>
      </c>
      <c r="AP67" s="79">
        <v>0</v>
      </c>
      <c r="AQ67" s="79"/>
      <c r="AR67" s="79"/>
      <c r="AS67" s="79" t="s">
        <v>1028</v>
      </c>
      <c r="AT67" s="81" t="str">
        <f>HYPERLINK("https://www.youtube.com/channel/UCfOzZ8xM-65JwSaOgK5Inqg")</f>
        <v>https://www.youtube.com/channel/UCfOzZ8xM-65JwSaOgK5Inqg</v>
      </c>
      <c r="AU67" s="79" t="str">
        <f>REPLACE(INDEX(GroupVertices[Group],MATCH(Vertices[[#This Row],[Vertex]],GroupVertices[Vertex],0)),1,1,"")</f>
        <v>7</v>
      </c>
      <c r="AV67" s="48">
        <v>1</v>
      </c>
      <c r="AW67" s="49">
        <v>0.9174311926605505</v>
      </c>
      <c r="AX67" s="48">
        <v>1</v>
      </c>
      <c r="AY67" s="49">
        <v>0.9174311926605505</v>
      </c>
      <c r="AZ67" s="48">
        <v>0</v>
      </c>
      <c r="BA67" s="49">
        <v>0</v>
      </c>
      <c r="BB67" s="48">
        <v>107</v>
      </c>
      <c r="BC67" s="49">
        <v>98.1651376146789</v>
      </c>
      <c r="BD67" s="48">
        <v>109</v>
      </c>
      <c r="BE67" s="48"/>
      <c r="BF67" s="48"/>
      <c r="BG67" s="48"/>
      <c r="BH67" s="48"/>
      <c r="BI67" s="48"/>
      <c r="BJ67" s="48"/>
      <c r="BK67" s="121" t="s">
        <v>1707</v>
      </c>
      <c r="BL67" s="121" t="s">
        <v>1707</v>
      </c>
      <c r="BM67" s="121" t="s">
        <v>1830</v>
      </c>
      <c r="BN67" s="121" t="s">
        <v>1830</v>
      </c>
      <c r="BO67" s="2"/>
      <c r="BP67" s="3"/>
      <c r="BQ67" s="3"/>
      <c r="BR67" s="3"/>
      <c r="BS67" s="3"/>
    </row>
    <row r="68" spans="1:71" ht="15">
      <c r="A68" s="65" t="s">
        <v>275</v>
      </c>
      <c r="B68" s="66"/>
      <c r="C68" s="66"/>
      <c r="D68" s="67">
        <v>600</v>
      </c>
      <c r="E68" s="69"/>
      <c r="F68" s="99" t="str">
        <f>HYPERLINK("https://yt3.ggpht.com/a/AATXAJykzEUFJCzhwlYB9ob2EcrcM4DL82TTM9tAHA=s88-c-k-c0xffffffff-no-rj-mo")</f>
        <v>https://yt3.ggpht.com/a/AATXAJykzEUFJCzhwlYB9ob2EcrcM4DL82TTM9tAHA=s88-c-k-c0xffffffff-no-rj-mo</v>
      </c>
      <c r="G68" s="66"/>
      <c r="H68" s="70" t="s">
        <v>616</v>
      </c>
      <c r="I68" s="71"/>
      <c r="J68" s="71"/>
      <c r="K68" s="70" t="s">
        <v>616</v>
      </c>
      <c r="L68" s="74">
        <v>909.9090909090909</v>
      </c>
      <c r="M68" s="75">
        <v>5161.75</v>
      </c>
      <c r="N68" s="75">
        <v>699.3118286132812</v>
      </c>
      <c r="O68" s="76"/>
      <c r="P68" s="77"/>
      <c r="Q68" s="77"/>
      <c r="R68" s="85"/>
      <c r="S68" s="48">
        <v>1</v>
      </c>
      <c r="T68" s="48">
        <v>1</v>
      </c>
      <c r="U68" s="49">
        <v>2</v>
      </c>
      <c r="V68" s="49">
        <v>0.090909</v>
      </c>
      <c r="W68" s="49">
        <v>0</v>
      </c>
      <c r="X68" s="49">
        <v>0.851863</v>
      </c>
      <c r="Y68" s="49">
        <v>0</v>
      </c>
      <c r="Z68" s="49">
        <v>0</v>
      </c>
      <c r="AA68" s="72">
        <v>68</v>
      </c>
      <c r="AB68" s="72"/>
      <c r="AC68" s="73"/>
      <c r="AD68" s="79" t="s">
        <v>616</v>
      </c>
      <c r="AE68" s="79"/>
      <c r="AF68" s="79"/>
      <c r="AG68" s="79"/>
      <c r="AH68" s="79"/>
      <c r="AI68" s="79" t="s">
        <v>993</v>
      </c>
      <c r="AJ68" s="83">
        <v>39953.741631944446</v>
      </c>
      <c r="AK68" s="81" t="str">
        <f>HYPERLINK("https://yt3.ggpht.com/a/AATXAJykzEUFJCzhwlYB9ob2EcrcM4DL82TTM9tAHA=s88-c-k-c0xffffffff-no-rj-mo")</f>
        <v>https://yt3.ggpht.com/a/AATXAJykzEUFJCzhwlYB9ob2EcrcM4DL82TTM9tAHA=s88-c-k-c0xffffffff-no-rj-mo</v>
      </c>
      <c r="AL68" s="79">
        <v>0</v>
      </c>
      <c r="AM68" s="79">
        <v>0</v>
      </c>
      <c r="AN68" s="79">
        <v>2</v>
      </c>
      <c r="AO68" s="79" t="b">
        <v>0</v>
      </c>
      <c r="AP68" s="79">
        <v>0</v>
      </c>
      <c r="AQ68" s="79"/>
      <c r="AR68" s="79"/>
      <c r="AS68" s="79" t="s">
        <v>1028</v>
      </c>
      <c r="AT68" s="81" t="str">
        <f>HYPERLINK("https://www.youtube.com/channel/UCEt0teaQNQu60gBsfihlulw")</f>
        <v>https://www.youtube.com/channel/UCEt0teaQNQu60gBsfihlulw</v>
      </c>
      <c r="AU68" s="79" t="str">
        <f>REPLACE(INDEX(GroupVertices[Group],MATCH(Vertices[[#This Row],[Vertex]],GroupVertices[Vertex],0)),1,1,"")</f>
        <v>7</v>
      </c>
      <c r="AV68" s="48">
        <v>2</v>
      </c>
      <c r="AW68" s="49">
        <v>13.333333333333334</v>
      </c>
      <c r="AX68" s="48">
        <v>0</v>
      </c>
      <c r="AY68" s="49">
        <v>0</v>
      </c>
      <c r="AZ68" s="48">
        <v>0</v>
      </c>
      <c r="BA68" s="49">
        <v>0</v>
      </c>
      <c r="BB68" s="48">
        <v>13</v>
      </c>
      <c r="BC68" s="49">
        <v>86.66666666666667</v>
      </c>
      <c r="BD68" s="48">
        <v>15</v>
      </c>
      <c r="BE68" s="48"/>
      <c r="BF68" s="48"/>
      <c r="BG68" s="48"/>
      <c r="BH68" s="48"/>
      <c r="BI68" s="48"/>
      <c r="BJ68" s="48"/>
      <c r="BK68" s="121" t="s">
        <v>1708</v>
      </c>
      <c r="BL68" s="121" t="s">
        <v>1708</v>
      </c>
      <c r="BM68" s="121" t="s">
        <v>1831</v>
      </c>
      <c r="BN68" s="121" t="s">
        <v>1831</v>
      </c>
      <c r="BO68" s="2"/>
      <c r="BP68" s="3"/>
      <c r="BQ68" s="3"/>
      <c r="BR68" s="3"/>
      <c r="BS68" s="3"/>
    </row>
    <row r="69" spans="1:71" ht="15">
      <c r="A69" s="65" t="s">
        <v>276</v>
      </c>
      <c r="B69" s="66"/>
      <c r="C69" s="66"/>
      <c r="D69" s="67">
        <v>600</v>
      </c>
      <c r="E69" s="69"/>
      <c r="F69" s="99" t="str">
        <f>HYPERLINK("https://yt3.ggpht.com/a/AATXAJzL7XLEvVXxEfjVmaMJTpnKPxroYHRaUHC2Sw=s88-c-k-c0xffffffff-no-rj-mo")</f>
        <v>https://yt3.ggpht.com/a/AATXAJzL7XLEvVXxEfjVmaMJTpnKPxroYHRaUHC2Sw=s88-c-k-c0xffffffff-no-rj-mo</v>
      </c>
      <c r="G69" s="66"/>
      <c r="H69" s="70" t="s">
        <v>617</v>
      </c>
      <c r="I69" s="71"/>
      <c r="J69" s="71"/>
      <c r="K69" s="70" t="s">
        <v>617</v>
      </c>
      <c r="L69" s="74">
        <v>909.9090909090909</v>
      </c>
      <c r="M69" s="75">
        <v>8465.18359375</v>
      </c>
      <c r="N69" s="75">
        <v>838.0664672851562</v>
      </c>
      <c r="O69" s="76"/>
      <c r="P69" s="77"/>
      <c r="Q69" s="77"/>
      <c r="R69" s="85"/>
      <c r="S69" s="48">
        <v>1</v>
      </c>
      <c r="T69" s="48">
        <v>1</v>
      </c>
      <c r="U69" s="49">
        <v>0</v>
      </c>
      <c r="V69" s="49">
        <v>1</v>
      </c>
      <c r="W69" s="49">
        <v>0</v>
      </c>
      <c r="X69" s="49">
        <v>0.999996</v>
      </c>
      <c r="Y69" s="49">
        <v>0</v>
      </c>
      <c r="Z69" s="49">
        <v>1</v>
      </c>
      <c r="AA69" s="72">
        <v>69</v>
      </c>
      <c r="AB69" s="72"/>
      <c r="AC69" s="73"/>
      <c r="AD69" s="79" t="s">
        <v>617</v>
      </c>
      <c r="AE69" s="79" t="s">
        <v>934</v>
      </c>
      <c r="AF69" s="79"/>
      <c r="AG69" s="79"/>
      <c r="AH69" s="79"/>
      <c r="AI69" s="79"/>
      <c r="AJ69" s="83">
        <v>43961.50041666667</v>
      </c>
      <c r="AK69" s="81" t="str">
        <f>HYPERLINK("https://yt3.ggpht.com/a/AATXAJzL7XLEvVXxEfjVmaMJTpnKPxroYHRaUHC2Sw=s88-c-k-c0xffffffff-no-rj-mo")</f>
        <v>https://yt3.ggpht.com/a/AATXAJzL7XLEvVXxEfjVmaMJTpnKPxroYHRaUHC2Sw=s88-c-k-c0xffffffff-no-rj-mo</v>
      </c>
      <c r="AL69" s="79">
        <v>88</v>
      </c>
      <c r="AM69" s="79">
        <v>0</v>
      </c>
      <c r="AN69" s="79">
        <v>21</v>
      </c>
      <c r="AO69" s="79" t="b">
        <v>0</v>
      </c>
      <c r="AP69" s="79">
        <v>1</v>
      </c>
      <c r="AQ69" s="79"/>
      <c r="AR69" s="79"/>
      <c r="AS69" s="79" t="s">
        <v>1028</v>
      </c>
      <c r="AT69" s="81" t="str">
        <f>HYPERLINK("https://www.youtube.com/channel/UCaq3QWGhpX1Er1yT5Xs19NQ")</f>
        <v>https://www.youtube.com/channel/UCaq3QWGhpX1Er1yT5Xs19NQ</v>
      </c>
      <c r="AU69" s="79" t="str">
        <f>REPLACE(INDEX(GroupVertices[Group],MATCH(Vertices[[#This Row],[Vertex]],GroupVertices[Vertex],0)),1,1,"")</f>
        <v>22</v>
      </c>
      <c r="AV69" s="48">
        <v>0</v>
      </c>
      <c r="AW69" s="49">
        <v>0</v>
      </c>
      <c r="AX69" s="48">
        <v>0</v>
      </c>
      <c r="AY69" s="49">
        <v>0</v>
      </c>
      <c r="AZ69" s="48">
        <v>0</v>
      </c>
      <c r="BA69" s="49">
        <v>0</v>
      </c>
      <c r="BB69" s="48">
        <v>3</v>
      </c>
      <c r="BC69" s="49">
        <v>100</v>
      </c>
      <c r="BD69" s="48">
        <v>3</v>
      </c>
      <c r="BE69" s="48"/>
      <c r="BF69" s="48"/>
      <c r="BG69" s="48"/>
      <c r="BH69" s="48"/>
      <c r="BI69" s="48"/>
      <c r="BJ69" s="48"/>
      <c r="BK69" s="121" t="s">
        <v>1709</v>
      </c>
      <c r="BL69" s="121" t="s">
        <v>1709</v>
      </c>
      <c r="BM69" s="121" t="s">
        <v>1832</v>
      </c>
      <c r="BN69" s="121" t="s">
        <v>1832</v>
      </c>
      <c r="BO69" s="2"/>
      <c r="BP69" s="3"/>
      <c r="BQ69" s="3"/>
      <c r="BR69" s="3"/>
      <c r="BS69" s="3"/>
    </row>
    <row r="70" spans="1:71" ht="15">
      <c r="A70" s="65" t="s">
        <v>277</v>
      </c>
      <c r="B70" s="66"/>
      <c r="C70" s="66"/>
      <c r="D70" s="67">
        <v>600</v>
      </c>
      <c r="E70" s="69"/>
      <c r="F70" s="99" t="str">
        <f>HYPERLINK("https://yt3.ggpht.com/a/AATXAJytZluBJ2KvG_b4xOAoKBNZiX98lf4NNBIRUZmqhA=s88-c-k-c0xffffffff-no-rj-mo")</f>
        <v>https://yt3.ggpht.com/a/AATXAJytZluBJ2KvG_b4xOAoKBNZiX98lf4NNBIRUZmqhA=s88-c-k-c0xffffffff-no-rj-mo</v>
      </c>
      <c r="G70" s="66"/>
      <c r="H70" s="70" t="s">
        <v>618</v>
      </c>
      <c r="I70" s="71"/>
      <c r="J70" s="71"/>
      <c r="K70" s="70" t="s">
        <v>618</v>
      </c>
      <c r="L70" s="74">
        <v>909.9090909090909</v>
      </c>
      <c r="M70" s="75">
        <v>8465.18359375</v>
      </c>
      <c r="N70" s="75">
        <v>375.6849670410156</v>
      </c>
      <c r="O70" s="76"/>
      <c r="P70" s="77"/>
      <c r="Q70" s="77"/>
      <c r="R70" s="85"/>
      <c r="S70" s="48">
        <v>1</v>
      </c>
      <c r="T70" s="48">
        <v>1</v>
      </c>
      <c r="U70" s="49">
        <v>0</v>
      </c>
      <c r="V70" s="49">
        <v>1</v>
      </c>
      <c r="W70" s="49">
        <v>0</v>
      </c>
      <c r="X70" s="49">
        <v>0.999996</v>
      </c>
      <c r="Y70" s="49">
        <v>0</v>
      </c>
      <c r="Z70" s="49">
        <v>1</v>
      </c>
      <c r="AA70" s="72">
        <v>70</v>
      </c>
      <c r="AB70" s="72"/>
      <c r="AC70" s="73"/>
      <c r="AD70" s="79" t="s">
        <v>618</v>
      </c>
      <c r="AE70" s="79" t="s">
        <v>935</v>
      </c>
      <c r="AF70" s="79"/>
      <c r="AG70" s="79"/>
      <c r="AH70" s="79"/>
      <c r="AI70" s="79"/>
      <c r="AJ70" s="83">
        <v>42635.85372685185</v>
      </c>
      <c r="AK70" s="81" t="str">
        <f>HYPERLINK("https://yt3.ggpht.com/a/AATXAJytZluBJ2KvG_b4xOAoKBNZiX98lf4NNBIRUZmqhA=s88-c-k-c0xffffffff-no-rj-mo")</f>
        <v>https://yt3.ggpht.com/a/AATXAJytZluBJ2KvG_b4xOAoKBNZiX98lf4NNBIRUZmqhA=s88-c-k-c0xffffffff-no-rj-mo</v>
      </c>
      <c r="AL70" s="79">
        <v>85</v>
      </c>
      <c r="AM70" s="79">
        <v>0</v>
      </c>
      <c r="AN70" s="79">
        <v>13</v>
      </c>
      <c r="AO70" s="79" t="b">
        <v>0</v>
      </c>
      <c r="AP70" s="79">
        <v>3</v>
      </c>
      <c r="AQ70" s="79"/>
      <c r="AR70" s="79"/>
      <c r="AS70" s="79" t="s">
        <v>1028</v>
      </c>
      <c r="AT70" s="81" t="str">
        <f>HYPERLINK("https://www.youtube.com/channel/UCua2_N1qmwPYIf4Rf_jAxEA")</f>
        <v>https://www.youtube.com/channel/UCua2_N1qmwPYIf4Rf_jAxEA</v>
      </c>
      <c r="AU70" s="79" t="str">
        <f>REPLACE(INDEX(GroupVertices[Group],MATCH(Vertices[[#This Row],[Vertex]],GroupVertices[Vertex],0)),1,1,"")</f>
        <v>22</v>
      </c>
      <c r="AV70" s="48">
        <v>1</v>
      </c>
      <c r="AW70" s="49">
        <v>14.285714285714286</v>
      </c>
      <c r="AX70" s="48">
        <v>0</v>
      </c>
      <c r="AY70" s="49">
        <v>0</v>
      </c>
      <c r="AZ70" s="48">
        <v>0</v>
      </c>
      <c r="BA70" s="49">
        <v>0</v>
      </c>
      <c r="BB70" s="48">
        <v>6</v>
      </c>
      <c r="BC70" s="49">
        <v>85.71428571428571</v>
      </c>
      <c r="BD70" s="48">
        <v>7</v>
      </c>
      <c r="BE70" s="48"/>
      <c r="BF70" s="48"/>
      <c r="BG70" s="48"/>
      <c r="BH70" s="48"/>
      <c r="BI70" s="48"/>
      <c r="BJ70" s="48"/>
      <c r="BK70" s="121" t="s">
        <v>1710</v>
      </c>
      <c r="BL70" s="121" t="s">
        <v>1710</v>
      </c>
      <c r="BM70" s="121" t="s">
        <v>1833</v>
      </c>
      <c r="BN70" s="121" t="s">
        <v>1833</v>
      </c>
      <c r="BO70" s="2"/>
      <c r="BP70" s="3"/>
      <c r="BQ70" s="3"/>
      <c r="BR70" s="3"/>
      <c r="BS70" s="3"/>
    </row>
    <row r="71" spans="1:71" ht="15">
      <c r="A71" s="65" t="s">
        <v>278</v>
      </c>
      <c r="B71" s="66"/>
      <c r="C71" s="66"/>
      <c r="D71" s="67">
        <v>1000</v>
      </c>
      <c r="E71" s="69"/>
      <c r="F71" s="99" t="str">
        <f>HYPERLINK("https://yt3.ggpht.com/a/AATXAJywJ4rUMbFf75nwrenTb7gj9k_Fj7-XsRa0cO6bqg=s88-c-k-c0xffffffff-no-rj-mo")</f>
        <v>https://yt3.ggpht.com/a/AATXAJywJ4rUMbFf75nwrenTb7gj9k_Fj7-XsRa0cO6bqg=s88-c-k-c0xffffffff-no-rj-mo</v>
      </c>
      <c r="G71" s="66"/>
      <c r="H71" s="70" t="s">
        <v>619</v>
      </c>
      <c r="I71" s="71"/>
      <c r="J71" s="71"/>
      <c r="K71" s="70" t="s">
        <v>619</v>
      </c>
      <c r="L71" s="74">
        <v>1818.8181818181818</v>
      </c>
      <c r="M71" s="75">
        <v>5736.8134765625</v>
      </c>
      <c r="N71" s="75">
        <v>9544.046875</v>
      </c>
      <c r="O71" s="76"/>
      <c r="P71" s="77"/>
      <c r="Q71" s="77"/>
      <c r="R71" s="85"/>
      <c r="S71" s="48">
        <v>2</v>
      </c>
      <c r="T71" s="48">
        <v>2</v>
      </c>
      <c r="U71" s="49">
        <v>0</v>
      </c>
      <c r="V71" s="49">
        <v>0.025641</v>
      </c>
      <c r="W71" s="49">
        <v>1E-06</v>
      </c>
      <c r="X71" s="49">
        <v>0.896612</v>
      </c>
      <c r="Y71" s="49">
        <v>0</v>
      </c>
      <c r="Z71" s="49">
        <v>1</v>
      </c>
      <c r="AA71" s="72">
        <v>71</v>
      </c>
      <c r="AB71" s="72"/>
      <c r="AC71" s="73"/>
      <c r="AD71" s="79" t="s">
        <v>619</v>
      </c>
      <c r="AE71" s="79"/>
      <c r="AF71" s="79"/>
      <c r="AG71" s="79"/>
      <c r="AH71" s="79"/>
      <c r="AI71" s="79"/>
      <c r="AJ71" s="83">
        <v>40858.173738425925</v>
      </c>
      <c r="AK71" s="81" t="str">
        <f>HYPERLINK("https://yt3.ggpht.com/a/AATXAJywJ4rUMbFf75nwrenTb7gj9k_Fj7-XsRa0cO6bqg=s88-c-k-c0xffffffff-no-rj-mo")</f>
        <v>https://yt3.ggpht.com/a/AATXAJywJ4rUMbFf75nwrenTb7gj9k_Fj7-XsRa0cO6bqg=s88-c-k-c0xffffffff-no-rj-mo</v>
      </c>
      <c r="AL71" s="79">
        <v>0</v>
      </c>
      <c r="AM71" s="79">
        <v>0</v>
      </c>
      <c r="AN71" s="79">
        <v>0</v>
      </c>
      <c r="AO71" s="79" t="b">
        <v>0</v>
      </c>
      <c r="AP71" s="79">
        <v>0</v>
      </c>
      <c r="AQ71" s="79"/>
      <c r="AR71" s="79"/>
      <c r="AS71" s="79" t="s">
        <v>1028</v>
      </c>
      <c r="AT71" s="81" t="str">
        <f>HYPERLINK("https://www.youtube.com/channel/UCK6ciDCKWSKX6-lgaGMWwhw")</f>
        <v>https://www.youtube.com/channel/UCK6ciDCKWSKX6-lgaGMWwhw</v>
      </c>
      <c r="AU71" s="79" t="str">
        <f>REPLACE(INDEX(GroupVertices[Group],MATCH(Vertices[[#This Row],[Vertex]],GroupVertices[Vertex],0)),1,1,"")</f>
        <v>3</v>
      </c>
      <c r="AV71" s="48">
        <v>1</v>
      </c>
      <c r="AW71" s="49">
        <v>2.0408163265306123</v>
      </c>
      <c r="AX71" s="48">
        <v>0</v>
      </c>
      <c r="AY71" s="49">
        <v>0</v>
      </c>
      <c r="AZ71" s="48">
        <v>0</v>
      </c>
      <c r="BA71" s="49">
        <v>0</v>
      </c>
      <c r="BB71" s="48">
        <v>48</v>
      </c>
      <c r="BC71" s="49">
        <v>97.95918367346938</v>
      </c>
      <c r="BD71" s="48">
        <v>49</v>
      </c>
      <c r="BE71" s="48"/>
      <c r="BF71" s="48"/>
      <c r="BG71" s="48"/>
      <c r="BH71" s="48"/>
      <c r="BI71" s="48"/>
      <c r="BJ71" s="48"/>
      <c r="BK71" s="121" t="s">
        <v>1711</v>
      </c>
      <c r="BL71" s="121" t="s">
        <v>1770</v>
      </c>
      <c r="BM71" s="121" t="s">
        <v>1834</v>
      </c>
      <c r="BN71" s="121" t="s">
        <v>1834</v>
      </c>
      <c r="BO71" s="2"/>
      <c r="BP71" s="3"/>
      <c r="BQ71" s="3"/>
      <c r="BR71" s="3"/>
      <c r="BS71" s="3"/>
    </row>
    <row r="72" spans="1:71" ht="15">
      <c r="A72" s="65" t="s">
        <v>279</v>
      </c>
      <c r="B72" s="66"/>
      <c r="C72" s="66"/>
      <c r="D72" s="67">
        <v>600</v>
      </c>
      <c r="E72" s="69"/>
      <c r="F72" s="99" t="str">
        <f>HYPERLINK("https://yt3.ggpht.com/a/AATXAJwsV7kv0QIgl91NOIuJwbeo9HPjKuf6DoQsyQ=s88-c-k-c0xffffffff-no-rj-mo")</f>
        <v>https://yt3.ggpht.com/a/AATXAJwsV7kv0QIgl91NOIuJwbeo9HPjKuf6DoQsyQ=s88-c-k-c0xffffffff-no-rj-mo</v>
      </c>
      <c r="G72" s="66"/>
      <c r="H72" s="70" t="s">
        <v>620</v>
      </c>
      <c r="I72" s="71"/>
      <c r="J72" s="71"/>
      <c r="K72" s="70" t="s">
        <v>620</v>
      </c>
      <c r="L72" s="74">
        <v>909.9090909090909</v>
      </c>
      <c r="M72" s="75">
        <v>5293.69091796875</v>
      </c>
      <c r="N72" s="75">
        <v>9794.5400390625</v>
      </c>
      <c r="O72" s="76"/>
      <c r="P72" s="77"/>
      <c r="Q72" s="77"/>
      <c r="R72" s="85"/>
      <c r="S72" s="48">
        <v>1</v>
      </c>
      <c r="T72" s="48">
        <v>1</v>
      </c>
      <c r="U72" s="49">
        <v>0</v>
      </c>
      <c r="V72" s="49">
        <v>0.025641</v>
      </c>
      <c r="W72" s="49">
        <v>0</v>
      </c>
      <c r="X72" s="49">
        <v>0.515552</v>
      </c>
      <c r="Y72" s="49">
        <v>0</v>
      </c>
      <c r="Z72" s="49">
        <v>1</v>
      </c>
      <c r="AA72" s="72">
        <v>72</v>
      </c>
      <c r="AB72" s="72"/>
      <c r="AC72" s="73"/>
      <c r="AD72" s="79" t="s">
        <v>620</v>
      </c>
      <c r="AE72" s="79"/>
      <c r="AF72" s="79"/>
      <c r="AG72" s="79"/>
      <c r="AH72" s="79"/>
      <c r="AI72" s="79"/>
      <c r="AJ72" s="83">
        <v>43935.44982638889</v>
      </c>
      <c r="AK72" s="81" t="str">
        <f>HYPERLINK("https://yt3.ggpht.com/a/AATXAJwsV7kv0QIgl91NOIuJwbeo9HPjKuf6DoQsyQ=s88-c-k-c0xffffffff-no-rj-mo")</f>
        <v>https://yt3.ggpht.com/a/AATXAJwsV7kv0QIgl91NOIuJwbeo9HPjKuf6DoQsyQ=s88-c-k-c0xffffffff-no-rj-mo</v>
      </c>
      <c r="AL72" s="79">
        <v>0</v>
      </c>
      <c r="AM72" s="79">
        <v>0</v>
      </c>
      <c r="AN72" s="79">
        <v>0</v>
      </c>
      <c r="AO72" s="79" t="b">
        <v>0</v>
      </c>
      <c r="AP72" s="79">
        <v>0</v>
      </c>
      <c r="AQ72" s="79"/>
      <c r="AR72" s="79"/>
      <c r="AS72" s="79" t="s">
        <v>1028</v>
      </c>
      <c r="AT72" s="81" t="str">
        <f>HYPERLINK("https://www.youtube.com/channel/UC6O103j7CMYUIKFvEhDb6FQ")</f>
        <v>https://www.youtube.com/channel/UC6O103j7CMYUIKFvEhDb6FQ</v>
      </c>
      <c r="AU72" s="79" t="str">
        <f>REPLACE(INDEX(GroupVertices[Group],MATCH(Vertices[[#This Row],[Vertex]],GroupVertices[Vertex],0)),1,1,"")</f>
        <v>3</v>
      </c>
      <c r="AV72" s="48">
        <v>0</v>
      </c>
      <c r="AW72" s="49">
        <v>0</v>
      </c>
      <c r="AX72" s="48">
        <v>0</v>
      </c>
      <c r="AY72" s="49">
        <v>0</v>
      </c>
      <c r="AZ72" s="48">
        <v>0</v>
      </c>
      <c r="BA72" s="49">
        <v>0</v>
      </c>
      <c r="BB72" s="48">
        <v>20</v>
      </c>
      <c r="BC72" s="49">
        <v>100</v>
      </c>
      <c r="BD72" s="48">
        <v>20</v>
      </c>
      <c r="BE72" s="48"/>
      <c r="BF72" s="48"/>
      <c r="BG72" s="48"/>
      <c r="BH72" s="48"/>
      <c r="BI72" s="48"/>
      <c r="BJ72" s="48"/>
      <c r="BK72" s="121" t="s">
        <v>1712</v>
      </c>
      <c r="BL72" s="121" t="s">
        <v>1712</v>
      </c>
      <c r="BM72" s="121" t="s">
        <v>1835</v>
      </c>
      <c r="BN72" s="121" t="s">
        <v>1835</v>
      </c>
      <c r="BO72" s="2"/>
      <c r="BP72" s="3"/>
      <c r="BQ72" s="3"/>
      <c r="BR72" s="3"/>
      <c r="BS72" s="3"/>
    </row>
    <row r="73" spans="1:71" ht="15">
      <c r="A73" s="65" t="s">
        <v>280</v>
      </c>
      <c r="B73" s="66"/>
      <c r="C73" s="66"/>
      <c r="D73" s="67">
        <v>1000</v>
      </c>
      <c r="E73" s="69"/>
      <c r="F73" s="99" t="str">
        <f>HYPERLINK("https://yt3.ggpht.com/a/AATXAJziyuJYn9FextAVYzRHDYJHkzpW9r0kauaq8g=s88-c-k-c0xffffffff-no-rj-mo")</f>
        <v>https://yt3.ggpht.com/a/AATXAJziyuJYn9FextAVYzRHDYJHkzpW9r0kauaq8g=s88-c-k-c0xffffffff-no-rj-mo</v>
      </c>
      <c r="G73" s="66"/>
      <c r="H73" s="70" t="s">
        <v>621</v>
      </c>
      <c r="I73" s="71"/>
      <c r="J73" s="71"/>
      <c r="K73" s="70" t="s">
        <v>621</v>
      </c>
      <c r="L73" s="74">
        <v>3636.6363636363635</v>
      </c>
      <c r="M73" s="75">
        <v>5085.58544921875</v>
      </c>
      <c r="N73" s="75">
        <v>8660.4208984375</v>
      </c>
      <c r="O73" s="76"/>
      <c r="P73" s="77"/>
      <c r="Q73" s="77"/>
      <c r="R73" s="85"/>
      <c r="S73" s="48">
        <v>4</v>
      </c>
      <c r="T73" s="48">
        <v>3</v>
      </c>
      <c r="U73" s="49">
        <v>56</v>
      </c>
      <c r="V73" s="49">
        <v>0.04</v>
      </c>
      <c r="W73" s="49">
        <v>2E-06</v>
      </c>
      <c r="X73" s="49">
        <v>1.47176</v>
      </c>
      <c r="Y73" s="49">
        <v>0.3333333333333333</v>
      </c>
      <c r="Z73" s="49">
        <v>0.6666666666666666</v>
      </c>
      <c r="AA73" s="72">
        <v>73</v>
      </c>
      <c r="AB73" s="72"/>
      <c r="AC73" s="73"/>
      <c r="AD73" s="79" t="s">
        <v>621</v>
      </c>
      <c r="AE73" s="79"/>
      <c r="AF73" s="79"/>
      <c r="AG73" s="79"/>
      <c r="AH73" s="79"/>
      <c r="AI73" s="79"/>
      <c r="AJ73" s="83">
        <v>42362.69945601852</v>
      </c>
      <c r="AK73" s="81" t="str">
        <f>HYPERLINK("https://yt3.ggpht.com/a/AATXAJziyuJYn9FextAVYzRHDYJHkzpW9r0kauaq8g=s88-c-k-c0xffffffff-no-rj-mo")</f>
        <v>https://yt3.ggpht.com/a/AATXAJziyuJYn9FextAVYzRHDYJHkzpW9r0kauaq8g=s88-c-k-c0xffffffff-no-rj-mo</v>
      </c>
      <c r="AL73" s="79">
        <v>15</v>
      </c>
      <c r="AM73" s="79">
        <v>0</v>
      </c>
      <c r="AN73" s="79">
        <v>3</v>
      </c>
      <c r="AO73" s="79" t="b">
        <v>0</v>
      </c>
      <c r="AP73" s="79">
        <v>1</v>
      </c>
      <c r="AQ73" s="79"/>
      <c r="AR73" s="79"/>
      <c r="AS73" s="79" t="s">
        <v>1028</v>
      </c>
      <c r="AT73" s="81" t="str">
        <f>HYPERLINK("https://www.youtube.com/channel/UCxmSF_xV8EqQkoPYJL0bQLA")</f>
        <v>https://www.youtube.com/channel/UCxmSF_xV8EqQkoPYJL0bQLA</v>
      </c>
      <c r="AU73" s="79" t="str">
        <f>REPLACE(INDEX(GroupVertices[Group],MATCH(Vertices[[#This Row],[Vertex]],GroupVertices[Vertex],0)),1,1,"")</f>
        <v>3</v>
      </c>
      <c r="AV73" s="48">
        <v>2</v>
      </c>
      <c r="AW73" s="49">
        <v>1.9047619047619047</v>
      </c>
      <c r="AX73" s="48">
        <v>0</v>
      </c>
      <c r="AY73" s="49">
        <v>0</v>
      </c>
      <c r="AZ73" s="48">
        <v>0</v>
      </c>
      <c r="BA73" s="49">
        <v>0</v>
      </c>
      <c r="BB73" s="48">
        <v>103</v>
      </c>
      <c r="BC73" s="49">
        <v>98.0952380952381</v>
      </c>
      <c r="BD73" s="48">
        <v>105</v>
      </c>
      <c r="BE73" s="48"/>
      <c r="BF73" s="48"/>
      <c r="BG73" s="48"/>
      <c r="BH73" s="48"/>
      <c r="BI73" s="48"/>
      <c r="BJ73" s="48"/>
      <c r="BK73" s="121" t="s">
        <v>1713</v>
      </c>
      <c r="BL73" s="121" t="s">
        <v>1771</v>
      </c>
      <c r="BM73" s="121" t="s">
        <v>1836</v>
      </c>
      <c r="BN73" s="121" t="s">
        <v>1836</v>
      </c>
      <c r="BO73" s="2"/>
      <c r="BP73" s="3"/>
      <c r="BQ73" s="3"/>
      <c r="BR73" s="3"/>
      <c r="BS73" s="3"/>
    </row>
    <row r="74" spans="1:71" ht="15">
      <c r="A74" s="65" t="s">
        <v>281</v>
      </c>
      <c r="B74" s="66"/>
      <c r="C74" s="66"/>
      <c r="D74" s="67">
        <v>1000</v>
      </c>
      <c r="E74" s="69"/>
      <c r="F74" s="99" t="str">
        <f>HYPERLINK("https://yt3.ggpht.com/a/AATXAJx0l0-HesjXe_DZJ3kgVdOOjbW-ArznpM_j-g=s88-c-k-c0xffffffff-no-rj-mo")</f>
        <v>https://yt3.ggpht.com/a/AATXAJx0l0-HesjXe_DZJ3kgVdOOjbW-ArznpM_j-g=s88-c-k-c0xffffffff-no-rj-mo</v>
      </c>
      <c r="G74" s="66"/>
      <c r="H74" s="70" t="s">
        <v>622</v>
      </c>
      <c r="I74" s="71"/>
      <c r="J74" s="71"/>
      <c r="K74" s="70" t="s">
        <v>622</v>
      </c>
      <c r="L74" s="74">
        <v>3636.6363636363635</v>
      </c>
      <c r="M74" s="75">
        <v>9234.7451171875</v>
      </c>
      <c r="N74" s="75">
        <v>5953.16162109375</v>
      </c>
      <c r="O74" s="76"/>
      <c r="P74" s="77"/>
      <c r="Q74" s="77"/>
      <c r="R74" s="85"/>
      <c r="S74" s="48">
        <v>4</v>
      </c>
      <c r="T74" s="48">
        <v>4</v>
      </c>
      <c r="U74" s="49">
        <v>12</v>
      </c>
      <c r="V74" s="49">
        <v>0.25</v>
      </c>
      <c r="W74" s="49">
        <v>0</v>
      </c>
      <c r="X74" s="49">
        <v>2.378368</v>
      </c>
      <c r="Y74" s="49">
        <v>0</v>
      </c>
      <c r="Z74" s="49">
        <v>1</v>
      </c>
      <c r="AA74" s="72">
        <v>74</v>
      </c>
      <c r="AB74" s="72"/>
      <c r="AC74" s="73"/>
      <c r="AD74" s="79" t="s">
        <v>622</v>
      </c>
      <c r="AE74" s="79" t="s">
        <v>936</v>
      </c>
      <c r="AF74" s="79"/>
      <c r="AG74" s="79"/>
      <c r="AH74" s="79"/>
      <c r="AI74" s="79" t="s">
        <v>994</v>
      </c>
      <c r="AJ74" s="83">
        <v>40447.848032407404</v>
      </c>
      <c r="AK74" s="81" t="str">
        <f>HYPERLINK("https://yt3.ggpht.com/a/AATXAJx0l0-HesjXe_DZJ3kgVdOOjbW-ArznpM_j-g=s88-c-k-c0xffffffff-no-rj-mo")</f>
        <v>https://yt3.ggpht.com/a/AATXAJx0l0-HesjXe_DZJ3kgVdOOjbW-ArznpM_j-g=s88-c-k-c0xffffffff-no-rj-mo</v>
      </c>
      <c r="AL74" s="79">
        <v>21912507</v>
      </c>
      <c r="AM74" s="79">
        <v>0</v>
      </c>
      <c r="AN74" s="79">
        <v>58800</v>
      </c>
      <c r="AO74" s="79" t="b">
        <v>0</v>
      </c>
      <c r="AP74" s="79">
        <v>519</v>
      </c>
      <c r="AQ74" s="79"/>
      <c r="AR74" s="79"/>
      <c r="AS74" s="79" t="s">
        <v>1028</v>
      </c>
      <c r="AT74" s="81" t="str">
        <f>HYPERLINK("https://www.youtube.com/channel/UCd8GVoiUzlWtGHllMI5hmsA")</f>
        <v>https://www.youtube.com/channel/UCd8GVoiUzlWtGHllMI5hmsA</v>
      </c>
      <c r="AU74" s="79" t="str">
        <f>REPLACE(INDEX(GroupVertices[Group],MATCH(Vertices[[#This Row],[Vertex]],GroupVertices[Vertex],0)),1,1,"")</f>
        <v>11</v>
      </c>
      <c r="AV74" s="48">
        <v>3</v>
      </c>
      <c r="AW74" s="49">
        <v>27.272727272727273</v>
      </c>
      <c r="AX74" s="48">
        <v>0</v>
      </c>
      <c r="AY74" s="49">
        <v>0</v>
      </c>
      <c r="AZ74" s="48">
        <v>0</v>
      </c>
      <c r="BA74" s="49">
        <v>0</v>
      </c>
      <c r="BB74" s="48">
        <v>8</v>
      </c>
      <c r="BC74" s="49">
        <v>72.72727272727273</v>
      </c>
      <c r="BD74" s="48">
        <v>11</v>
      </c>
      <c r="BE74" s="48"/>
      <c r="BF74" s="48"/>
      <c r="BG74" s="48"/>
      <c r="BH74" s="48"/>
      <c r="BI74" s="48"/>
      <c r="BJ74" s="48"/>
      <c r="BK74" s="121" t="s">
        <v>1714</v>
      </c>
      <c r="BL74" s="121" t="s">
        <v>1714</v>
      </c>
      <c r="BM74" s="121" t="s">
        <v>1544</v>
      </c>
      <c r="BN74" s="121" t="s">
        <v>1544</v>
      </c>
      <c r="BO74" s="2"/>
      <c r="BP74" s="3"/>
      <c r="BQ74" s="3"/>
      <c r="BR74" s="3"/>
      <c r="BS74" s="3"/>
    </row>
    <row r="75" spans="1:71" ht="15">
      <c r="A75" s="65" t="s">
        <v>282</v>
      </c>
      <c r="B75" s="66"/>
      <c r="C75" s="66"/>
      <c r="D75" s="67">
        <v>600</v>
      </c>
      <c r="E75" s="69"/>
      <c r="F75" s="99" t="str">
        <f>HYPERLINK("https://yt3.ggpht.com/a/AATXAJzGzYADrtGHNAHzgthiC0UMeUZ6Z4-SXup5UA=s88-c-k-c0xffffffff-no-rj-mo")</f>
        <v>https://yt3.ggpht.com/a/AATXAJzGzYADrtGHNAHzgthiC0UMeUZ6Z4-SXup5UA=s88-c-k-c0xffffffff-no-rj-mo</v>
      </c>
      <c r="G75" s="66"/>
      <c r="H75" s="70" t="s">
        <v>623</v>
      </c>
      <c r="I75" s="71"/>
      <c r="J75" s="71"/>
      <c r="K75" s="70" t="s">
        <v>623</v>
      </c>
      <c r="L75" s="74">
        <v>909.9090909090909</v>
      </c>
      <c r="M75" s="75">
        <v>8576.63671875</v>
      </c>
      <c r="N75" s="75">
        <v>6130.716796875</v>
      </c>
      <c r="O75" s="76"/>
      <c r="P75" s="77"/>
      <c r="Q75" s="77"/>
      <c r="R75" s="85"/>
      <c r="S75" s="48">
        <v>1</v>
      </c>
      <c r="T75" s="48">
        <v>1</v>
      </c>
      <c r="U75" s="49">
        <v>0</v>
      </c>
      <c r="V75" s="49">
        <v>0.142857</v>
      </c>
      <c r="W75" s="49">
        <v>0</v>
      </c>
      <c r="X75" s="49">
        <v>0.655403</v>
      </c>
      <c r="Y75" s="49">
        <v>0</v>
      </c>
      <c r="Z75" s="49">
        <v>1</v>
      </c>
      <c r="AA75" s="72">
        <v>75</v>
      </c>
      <c r="AB75" s="72"/>
      <c r="AC75" s="73"/>
      <c r="AD75" s="79" t="s">
        <v>623</v>
      </c>
      <c r="AE75" s="79" t="s">
        <v>937</v>
      </c>
      <c r="AF75" s="79"/>
      <c r="AG75" s="79"/>
      <c r="AH75" s="79"/>
      <c r="AI75" s="79"/>
      <c r="AJ75" s="83">
        <v>41006.4065625</v>
      </c>
      <c r="AK75" s="81" t="str">
        <f>HYPERLINK("https://yt3.ggpht.com/a/AATXAJzGzYADrtGHNAHzgthiC0UMeUZ6Z4-SXup5UA=s88-c-k-c0xffffffff-no-rj-mo")</f>
        <v>https://yt3.ggpht.com/a/AATXAJzGzYADrtGHNAHzgthiC0UMeUZ6Z4-SXup5UA=s88-c-k-c0xffffffff-no-rj-mo</v>
      </c>
      <c r="AL75" s="79">
        <v>2655</v>
      </c>
      <c r="AM75" s="79">
        <v>0</v>
      </c>
      <c r="AN75" s="79">
        <v>0</v>
      </c>
      <c r="AO75" s="79" t="b">
        <v>1</v>
      </c>
      <c r="AP75" s="79">
        <v>55</v>
      </c>
      <c r="AQ75" s="79"/>
      <c r="AR75" s="79"/>
      <c r="AS75" s="79" t="s">
        <v>1028</v>
      </c>
      <c r="AT75" s="81" t="str">
        <f>HYPERLINK("https://www.youtube.com/channel/UC3nZspW3G2_nf1UxI2GGp7w")</f>
        <v>https://www.youtube.com/channel/UC3nZspW3G2_nf1UxI2GGp7w</v>
      </c>
      <c r="AU75" s="79" t="str">
        <f>REPLACE(INDEX(GroupVertices[Group],MATCH(Vertices[[#This Row],[Vertex]],GroupVertices[Vertex],0)),1,1,"")</f>
        <v>11</v>
      </c>
      <c r="AV75" s="48">
        <v>1</v>
      </c>
      <c r="AW75" s="49">
        <v>33.333333333333336</v>
      </c>
      <c r="AX75" s="48">
        <v>0</v>
      </c>
      <c r="AY75" s="49">
        <v>0</v>
      </c>
      <c r="AZ75" s="48">
        <v>0</v>
      </c>
      <c r="BA75" s="49">
        <v>0</v>
      </c>
      <c r="BB75" s="48">
        <v>2</v>
      </c>
      <c r="BC75" s="49">
        <v>66.66666666666667</v>
      </c>
      <c r="BD75" s="48">
        <v>3</v>
      </c>
      <c r="BE75" s="48"/>
      <c r="BF75" s="48"/>
      <c r="BG75" s="48"/>
      <c r="BH75" s="48"/>
      <c r="BI75" s="48"/>
      <c r="BJ75" s="48"/>
      <c r="BK75" s="121" t="s">
        <v>1544</v>
      </c>
      <c r="BL75" s="121" t="s">
        <v>1544</v>
      </c>
      <c r="BM75" s="121" t="s">
        <v>1544</v>
      </c>
      <c r="BN75" s="121" t="s">
        <v>1544</v>
      </c>
      <c r="BO75" s="2"/>
      <c r="BP75" s="3"/>
      <c r="BQ75" s="3"/>
      <c r="BR75" s="3"/>
      <c r="BS75" s="3"/>
    </row>
    <row r="76" spans="1:71" ht="15">
      <c r="A76" s="65" t="s">
        <v>283</v>
      </c>
      <c r="B76" s="66"/>
      <c r="C76" s="66"/>
      <c r="D76" s="67">
        <v>600</v>
      </c>
      <c r="E76" s="69"/>
      <c r="F76" s="99" t="str">
        <f>HYPERLINK("https://yt3.ggpht.com/a/AATXAJzoqStvAz9GelJTiSJ71WXhxsNimg69N7Lhow=s88-c-k-c0xffffffff-no-rj-mo")</f>
        <v>https://yt3.ggpht.com/a/AATXAJzoqStvAz9GelJTiSJ71WXhxsNimg69N7Lhow=s88-c-k-c0xffffffff-no-rj-mo</v>
      </c>
      <c r="G76" s="66"/>
      <c r="H76" s="70" t="s">
        <v>624</v>
      </c>
      <c r="I76" s="71"/>
      <c r="J76" s="71"/>
      <c r="K76" s="70" t="s">
        <v>624</v>
      </c>
      <c r="L76" s="74">
        <v>909.9090909090909</v>
      </c>
      <c r="M76" s="75">
        <v>9351.9462890625</v>
      </c>
      <c r="N76" s="75">
        <v>6950.171875</v>
      </c>
      <c r="O76" s="76"/>
      <c r="P76" s="77"/>
      <c r="Q76" s="77"/>
      <c r="R76" s="85"/>
      <c r="S76" s="48">
        <v>1</v>
      </c>
      <c r="T76" s="48">
        <v>1</v>
      </c>
      <c r="U76" s="49">
        <v>0</v>
      </c>
      <c r="V76" s="49">
        <v>0.142857</v>
      </c>
      <c r="W76" s="49">
        <v>0</v>
      </c>
      <c r="X76" s="49">
        <v>0.655403</v>
      </c>
      <c r="Y76" s="49">
        <v>0</v>
      </c>
      <c r="Z76" s="49">
        <v>1</v>
      </c>
      <c r="AA76" s="72">
        <v>76</v>
      </c>
      <c r="AB76" s="72"/>
      <c r="AC76" s="73"/>
      <c r="AD76" s="79" t="s">
        <v>624</v>
      </c>
      <c r="AE76" s="79" t="s">
        <v>938</v>
      </c>
      <c r="AF76" s="79"/>
      <c r="AG76" s="79"/>
      <c r="AH76" s="79"/>
      <c r="AI76" s="79"/>
      <c r="AJ76" s="83">
        <v>39156.85376157407</v>
      </c>
      <c r="AK76" s="81" t="str">
        <f>HYPERLINK("https://yt3.ggpht.com/a/AATXAJzoqStvAz9GelJTiSJ71WXhxsNimg69N7Lhow=s88-c-k-c0xffffffff-no-rj-mo")</f>
        <v>https://yt3.ggpht.com/a/AATXAJzoqStvAz9GelJTiSJ71WXhxsNimg69N7Lhow=s88-c-k-c0xffffffff-no-rj-mo</v>
      </c>
      <c r="AL76" s="79">
        <v>292</v>
      </c>
      <c r="AM76" s="79">
        <v>0</v>
      </c>
      <c r="AN76" s="79">
        <v>4</v>
      </c>
      <c r="AO76" s="79" t="b">
        <v>0</v>
      </c>
      <c r="AP76" s="79">
        <v>2</v>
      </c>
      <c r="AQ76" s="79"/>
      <c r="AR76" s="79"/>
      <c r="AS76" s="79" t="s">
        <v>1028</v>
      </c>
      <c r="AT76" s="81" t="str">
        <f>HYPERLINK("https://www.youtube.com/channel/UC7TeAC84QJ8EkkQbtbjjCpw")</f>
        <v>https://www.youtube.com/channel/UC7TeAC84QJ8EkkQbtbjjCpw</v>
      </c>
      <c r="AU76" s="79" t="str">
        <f>REPLACE(INDEX(GroupVertices[Group],MATCH(Vertices[[#This Row],[Vertex]],GroupVertices[Vertex],0)),1,1,"")</f>
        <v>11</v>
      </c>
      <c r="AV76" s="48">
        <v>1</v>
      </c>
      <c r="AW76" s="49">
        <v>33.333333333333336</v>
      </c>
      <c r="AX76" s="48">
        <v>0</v>
      </c>
      <c r="AY76" s="49">
        <v>0</v>
      </c>
      <c r="AZ76" s="48">
        <v>0</v>
      </c>
      <c r="BA76" s="49">
        <v>0</v>
      </c>
      <c r="BB76" s="48">
        <v>2</v>
      </c>
      <c r="BC76" s="49">
        <v>66.66666666666667</v>
      </c>
      <c r="BD76" s="48">
        <v>3</v>
      </c>
      <c r="BE76" s="48"/>
      <c r="BF76" s="48"/>
      <c r="BG76" s="48"/>
      <c r="BH76" s="48"/>
      <c r="BI76" s="48"/>
      <c r="BJ76" s="48"/>
      <c r="BK76" s="121" t="s">
        <v>1715</v>
      </c>
      <c r="BL76" s="121" t="s">
        <v>1715</v>
      </c>
      <c r="BM76" s="121" t="s">
        <v>1837</v>
      </c>
      <c r="BN76" s="121" t="s">
        <v>1837</v>
      </c>
      <c r="BO76" s="2"/>
      <c r="BP76" s="3"/>
      <c r="BQ76" s="3"/>
      <c r="BR76" s="3"/>
      <c r="BS76" s="3"/>
    </row>
    <row r="77" spans="1:71" ht="15">
      <c r="A77" s="65" t="s">
        <v>284</v>
      </c>
      <c r="B77" s="66"/>
      <c r="C77" s="66"/>
      <c r="D77" s="67">
        <v>600</v>
      </c>
      <c r="E77" s="69"/>
      <c r="F77" s="99" t="str">
        <f>HYPERLINK("https://yt3.ggpht.com/a/AATXAJx_-UKso6SyMcqiq56wnq5wnHvhhHIEyraDjg=s88-c-k-c0xffffffff-no-rj-mo")</f>
        <v>https://yt3.ggpht.com/a/AATXAJx_-UKso6SyMcqiq56wnq5wnHvhhHIEyraDjg=s88-c-k-c0xffffffff-no-rj-mo</v>
      </c>
      <c r="G77" s="66"/>
      <c r="H77" s="70" t="s">
        <v>625</v>
      </c>
      <c r="I77" s="71"/>
      <c r="J77" s="71"/>
      <c r="K77" s="70" t="s">
        <v>625</v>
      </c>
      <c r="L77" s="74">
        <v>909.9090909090909</v>
      </c>
      <c r="M77" s="75">
        <v>9117.544921875</v>
      </c>
      <c r="N77" s="75">
        <v>4956.15185546875</v>
      </c>
      <c r="O77" s="76"/>
      <c r="P77" s="77"/>
      <c r="Q77" s="77"/>
      <c r="R77" s="85"/>
      <c r="S77" s="48">
        <v>1</v>
      </c>
      <c r="T77" s="48">
        <v>1</v>
      </c>
      <c r="U77" s="49">
        <v>0</v>
      </c>
      <c r="V77" s="49">
        <v>0.142857</v>
      </c>
      <c r="W77" s="49">
        <v>0</v>
      </c>
      <c r="X77" s="49">
        <v>0.655403</v>
      </c>
      <c r="Y77" s="49">
        <v>0</v>
      </c>
      <c r="Z77" s="49">
        <v>1</v>
      </c>
      <c r="AA77" s="72">
        <v>77</v>
      </c>
      <c r="AB77" s="72"/>
      <c r="AC77" s="73"/>
      <c r="AD77" s="79" t="s">
        <v>625</v>
      </c>
      <c r="AE77" s="79"/>
      <c r="AF77" s="79"/>
      <c r="AG77" s="79"/>
      <c r="AH77" s="79"/>
      <c r="AI77" s="79"/>
      <c r="AJ77" s="83">
        <v>41937.811203703706</v>
      </c>
      <c r="AK77" s="81" t="str">
        <f>HYPERLINK("https://yt3.ggpht.com/a/AATXAJx_-UKso6SyMcqiq56wnq5wnHvhhHIEyraDjg=s88-c-k-c0xffffffff-no-rj-mo")</f>
        <v>https://yt3.ggpht.com/a/AATXAJx_-UKso6SyMcqiq56wnq5wnHvhhHIEyraDjg=s88-c-k-c0xffffffff-no-rj-mo</v>
      </c>
      <c r="AL77" s="79">
        <v>0</v>
      </c>
      <c r="AM77" s="79">
        <v>0</v>
      </c>
      <c r="AN77" s="79">
        <v>1</v>
      </c>
      <c r="AO77" s="79" t="b">
        <v>0</v>
      </c>
      <c r="AP77" s="79">
        <v>0</v>
      </c>
      <c r="AQ77" s="79"/>
      <c r="AR77" s="79"/>
      <c r="AS77" s="79" t="s">
        <v>1028</v>
      </c>
      <c r="AT77" s="81" t="str">
        <f>HYPERLINK("https://www.youtube.com/channel/UCTvYzVFo4Db-JmPqhJLu1kQ")</f>
        <v>https://www.youtube.com/channel/UCTvYzVFo4Db-JmPqhJLu1kQ</v>
      </c>
      <c r="AU77" s="79" t="str">
        <f>REPLACE(INDEX(GroupVertices[Group],MATCH(Vertices[[#This Row],[Vertex]],GroupVertices[Vertex],0)),1,1,"")</f>
        <v>11</v>
      </c>
      <c r="AV77" s="48">
        <v>3</v>
      </c>
      <c r="AW77" s="49">
        <v>16.666666666666668</v>
      </c>
      <c r="AX77" s="48">
        <v>0</v>
      </c>
      <c r="AY77" s="49">
        <v>0</v>
      </c>
      <c r="AZ77" s="48">
        <v>0</v>
      </c>
      <c r="BA77" s="49">
        <v>0</v>
      </c>
      <c r="BB77" s="48">
        <v>15</v>
      </c>
      <c r="BC77" s="49">
        <v>83.33333333333333</v>
      </c>
      <c r="BD77" s="48">
        <v>18</v>
      </c>
      <c r="BE77" s="48"/>
      <c r="BF77" s="48"/>
      <c r="BG77" s="48"/>
      <c r="BH77" s="48"/>
      <c r="BI77" s="48"/>
      <c r="BJ77" s="48"/>
      <c r="BK77" s="121" t="s">
        <v>1716</v>
      </c>
      <c r="BL77" s="121" t="s">
        <v>1716</v>
      </c>
      <c r="BM77" s="121" t="s">
        <v>1838</v>
      </c>
      <c r="BN77" s="121" t="s">
        <v>1838</v>
      </c>
      <c r="BO77" s="2"/>
      <c r="BP77" s="3"/>
      <c r="BQ77" s="3"/>
      <c r="BR77" s="3"/>
      <c r="BS77" s="3"/>
    </row>
    <row r="78" spans="1:71" ht="15">
      <c r="A78" s="65" t="s">
        <v>285</v>
      </c>
      <c r="B78" s="66"/>
      <c r="C78" s="66"/>
      <c r="D78" s="67">
        <v>600</v>
      </c>
      <c r="E78" s="69"/>
      <c r="F78" s="99" t="str">
        <f>HYPERLINK("https://yt3.ggpht.com/a/AATXAJxiWAz2Pwos2Cpcd8Km2wOcjfNYVTO2UaXsaH_J=s88-c-k-c0xffffffff-no-rj-mo")</f>
        <v>https://yt3.ggpht.com/a/AATXAJxiWAz2Pwos2Cpcd8Km2wOcjfNYVTO2UaXsaH_J=s88-c-k-c0xffffffff-no-rj-mo</v>
      </c>
      <c r="G78" s="66"/>
      <c r="H78" s="70" t="s">
        <v>626</v>
      </c>
      <c r="I78" s="71"/>
      <c r="J78" s="71"/>
      <c r="K78" s="70" t="s">
        <v>626</v>
      </c>
      <c r="L78" s="74">
        <v>909.9090909090909</v>
      </c>
      <c r="M78" s="75">
        <v>9848.802734375</v>
      </c>
      <c r="N78" s="75">
        <v>5775.60693359375</v>
      </c>
      <c r="O78" s="76"/>
      <c r="P78" s="77"/>
      <c r="Q78" s="77"/>
      <c r="R78" s="85"/>
      <c r="S78" s="48">
        <v>1</v>
      </c>
      <c r="T78" s="48">
        <v>1</v>
      </c>
      <c r="U78" s="49">
        <v>0</v>
      </c>
      <c r="V78" s="49">
        <v>0.142857</v>
      </c>
      <c r="W78" s="49">
        <v>0</v>
      </c>
      <c r="X78" s="49">
        <v>0.655403</v>
      </c>
      <c r="Y78" s="49">
        <v>0</v>
      </c>
      <c r="Z78" s="49">
        <v>1</v>
      </c>
      <c r="AA78" s="72">
        <v>78</v>
      </c>
      <c r="AB78" s="72"/>
      <c r="AC78" s="73"/>
      <c r="AD78" s="79" t="s">
        <v>626</v>
      </c>
      <c r="AE78" s="79" t="s">
        <v>939</v>
      </c>
      <c r="AF78" s="79"/>
      <c r="AG78" s="79"/>
      <c r="AH78" s="79"/>
      <c r="AI78" s="79" t="s">
        <v>995</v>
      </c>
      <c r="AJ78" s="83">
        <v>41547.06564814815</v>
      </c>
      <c r="AK78" s="81" t="str">
        <f>HYPERLINK("https://yt3.ggpht.com/a/AATXAJxiWAz2Pwos2Cpcd8Km2wOcjfNYVTO2UaXsaH_J=s88-c-k-c0xffffffff-no-rj-mo")</f>
        <v>https://yt3.ggpht.com/a/AATXAJxiWAz2Pwos2Cpcd8Km2wOcjfNYVTO2UaXsaH_J=s88-c-k-c0xffffffff-no-rj-mo</v>
      </c>
      <c r="AL78" s="79">
        <v>542588</v>
      </c>
      <c r="AM78" s="79">
        <v>0</v>
      </c>
      <c r="AN78" s="79">
        <v>5260</v>
      </c>
      <c r="AO78" s="79" t="b">
        <v>0</v>
      </c>
      <c r="AP78" s="79">
        <v>165</v>
      </c>
      <c r="AQ78" s="79"/>
      <c r="AR78" s="79"/>
      <c r="AS78" s="79" t="s">
        <v>1028</v>
      </c>
      <c r="AT78" s="81" t="str">
        <f>HYPERLINK("https://www.youtube.com/channel/UCQEO63TKG1moSUxAu07cP-A")</f>
        <v>https://www.youtube.com/channel/UCQEO63TKG1moSUxAu07cP-A</v>
      </c>
      <c r="AU78" s="79" t="str">
        <f>REPLACE(INDEX(GroupVertices[Group],MATCH(Vertices[[#This Row],[Vertex]],GroupVertices[Vertex],0)),1,1,"")</f>
        <v>11</v>
      </c>
      <c r="AV78" s="48">
        <v>2</v>
      </c>
      <c r="AW78" s="49">
        <v>50</v>
      </c>
      <c r="AX78" s="48">
        <v>0</v>
      </c>
      <c r="AY78" s="49">
        <v>0</v>
      </c>
      <c r="AZ78" s="48">
        <v>0</v>
      </c>
      <c r="BA78" s="49">
        <v>0</v>
      </c>
      <c r="BB78" s="48">
        <v>2</v>
      </c>
      <c r="BC78" s="49">
        <v>50</v>
      </c>
      <c r="BD78" s="48">
        <v>4</v>
      </c>
      <c r="BE78" s="48"/>
      <c r="BF78" s="48"/>
      <c r="BG78" s="48"/>
      <c r="BH78" s="48"/>
      <c r="BI78" s="48"/>
      <c r="BJ78" s="48"/>
      <c r="BK78" s="121" t="s">
        <v>1717</v>
      </c>
      <c r="BL78" s="121" t="s">
        <v>1717</v>
      </c>
      <c r="BM78" s="121" t="s">
        <v>1839</v>
      </c>
      <c r="BN78" s="121" t="s">
        <v>1839</v>
      </c>
      <c r="BO78" s="2"/>
      <c r="BP78" s="3"/>
      <c r="BQ78" s="3"/>
      <c r="BR78" s="3"/>
      <c r="BS78" s="3"/>
    </row>
    <row r="79" spans="1:71" ht="15">
      <c r="A79" s="65" t="s">
        <v>286</v>
      </c>
      <c r="B79" s="66"/>
      <c r="C79" s="66"/>
      <c r="D79" s="67">
        <v>1000</v>
      </c>
      <c r="E79" s="69"/>
      <c r="F79" s="99" t="str">
        <f>HYPERLINK("https://yt3.ggpht.com/a/AATXAJwvjl3lzqXVbvLm5i8d242xOs0h1V5T8Awtu8aMEA=s88-c-k-c0xffffffff-no-rj-mo")</f>
        <v>https://yt3.ggpht.com/a/AATXAJwvjl3lzqXVbvLm5i8d242xOs0h1V5T8Awtu8aMEA=s88-c-k-c0xffffffff-no-rj-mo</v>
      </c>
      <c r="G79" s="66"/>
      <c r="H79" s="70" t="s">
        <v>627</v>
      </c>
      <c r="I79" s="71"/>
      <c r="J79" s="71"/>
      <c r="K79" s="70" t="s">
        <v>627</v>
      </c>
      <c r="L79" s="74">
        <v>3636.6363636363635</v>
      </c>
      <c r="M79" s="75">
        <v>5954.818359375</v>
      </c>
      <c r="N79" s="75">
        <v>3547.3330078125</v>
      </c>
      <c r="O79" s="76"/>
      <c r="P79" s="77"/>
      <c r="Q79" s="77"/>
      <c r="R79" s="85"/>
      <c r="S79" s="48">
        <v>4</v>
      </c>
      <c r="T79" s="48">
        <v>4</v>
      </c>
      <c r="U79" s="49">
        <v>12</v>
      </c>
      <c r="V79" s="49">
        <v>0.25</v>
      </c>
      <c r="W79" s="49">
        <v>0</v>
      </c>
      <c r="X79" s="49">
        <v>2.378368</v>
      </c>
      <c r="Y79" s="49">
        <v>0</v>
      </c>
      <c r="Z79" s="49">
        <v>1</v>
      </c>
      <c r="AA79" s="72">
        <v>79</v>
      </c>
      <c r="AB79" s="72"/>
      <c r="AC79" s="73"/>
      <c r="AD79" s="79" t="s">
        <v>627</v>
      </c>
      <c r="AE79" s="79" t="s">
        <v>940</v>
      </c>
      <c r="AF79" s="79"/>
      <c r="AG79" s="79"/>
      <c r="AH79" s="79"/>
      <c r="AI79" s="79" t="s">
        <v>996</v>
      </c>
      <c r="AJ79" s="83">
        <v>42064.32179398148</v>
      </c>
      <c r="AK79" s="81" t="str">
        <f>HYPERLINK("https://yt3.ggpht.com/a/AATXAJwvjl3lzqXVbvLm5i8d242xOs0h1V5T8Awtu8aMEA=s88-c-k-c0xffffffff-no-rj-mo")</f>
        <v>https://yt3.ggpht.com/a/AATXAJwvjl3lzqXVbvLm5i8d242xOs0h1V5T8Awtu8aMEA=s88-c-k-c0xffffffff-no-rj-mo</v>
      </c>
      <c r="AL79" s="79">
        <v>10624387</v>
      </c>
      <c r="AM79" s="79">
        <v>0</v>
      </c>
      <c r="AN79" s="79">
        <v>151000</v>
      </c>
      <c r="AO79" s="79" t="b">
        <v>0</v>
      </c>
      <c r="AP79" s="79">
        <v>519</v>
      </c>
      <c r="AQ79" s="79"/>
      <c r="AR79" s="79"/>
      <c r="AS79" s="79" t="s">
        <v>1028</v>
      </c>
      <c r="AT79" s="81" t="str">
        <f>HYPERLINK("https://www.youtube.com/channel/UCh7H5QEvSVPmzwGBI_y8jBA")</f>
        <v>https://www.youtube.com/channel/UCh7H5QEvSVPmzwGBI_y8jBA</v>
      </c>
      <c r="AU79" s="79" t="str">
        <f>REPLACE(INDEX(GroupVertices[Group],MATCH(Vertices[[#This Row],[Vertex]],GroupVertices[Vertex],0)),1,1,"")</f>
        <v>10</v>
      </c>
      <c r="AV79" s="48">
        <v>0</v>
      </c>
      <c r="AW79" s="49">
        <v>0</v>
      </c>
      <c r="AX79" s="48">
        <v>1</v>
      </c>
      <c r="AY79" s="49">
        <v>3.225806451612903</v>
      </c>
      <c r="AZ79" s="48">
        <v>0</v>
      </c>
      <c r="BA79" s="49">
        <v>0</v>
      </c>
      <c r="BB79" s="48">
        <v>30</v>
      </c>
      <c r="BC79" s="49">
        <v>96.7741935483871</v>
      </c>
      <c r="BD79" s="48">
        <v>31</v>
      </c>
      <c r="BE79" s="48"/>
      <c r="BF79" s="48"/>
      <c r="BG79" s="48"/>
      <c r="BH79" s="48"/>
      <c r="BI79" s="48"/>
      <c r="BJ79" s="48"/>
      <c r="BK79" s="121" t="s">
        <v>1718</v>
      </c>
      <c r="BL79" s="121" t="s">
        <v>1718</v>
      </c>
      <c r="BM79" s="121" t="s">
        <v>1840</v>
      </c>
      <c r="BN79" s="121" t="s">
        <v>1840</v>
      </c>
      <c r="BO79" s="2"/>
      <c r="BP79" s="3"/>
      <c r="BQ79" s="3"/>
      <c r="BR79" s="3"/>
      <c r="BS79" s="3"/>
    </row>
    <row r="80" spans="1:71" ht="15">
      <c r="A80" s="65" t="s">
        <v>287</v>
      </c>
      <c r="B80" s="66"/>
      <c r="C80" s="66"/>
      <c r="D80" s="67">
        <v>600</v>
      </c>
      <c r="E80" s="69"/>
      <c r="F80" s="99" t="str">
        <f>HYPERLINK("https://yt3.ggpht.com/a/AATXAJznNJVWdKZxjrQmKMOSZIJxxu0w9AehyljWDQ=s88-c-k-c0xffffffff-no-rj-mo")</f>
        <v>https://yt3.ggpht.com/a/AATXAJznNJVWdKZxjrQmKMOSZIJxxu0w9AehyljWDQ=s88-c-k-c0xffffffff-no-rj-mo</v>
      </c>
      <c r="G80" s="66"/>
      <c r="H80" s="70" t="s">
        <v>628</v>
      </c>
      <c r="I80" s="71"/>
      <c r="J80" s="71"/>
      <c r="K80" s="70" t="s">
        <v>628</v>
      </c>
      <c r="L80" s="74">
        <v>909.9090909090909</v>
      </c>
      <c r="M80" s="75">
        <v>5434.70068359375</v>
      </c>
      <c r="N80" s="75">
        <v>3772.49267578125</v>
      </c>
      <c r="O80" s="76"/>
      <c r="P80" s="77"/>
      <c r="Q80" s="77"/>
      <c r="R80" s="85"/>
      <c r="S80" s="48">
        <v>1</v>
      </c>
      <c r="T80" s="48">
        <v>1</v>
      </c>
      <c r="U80" s="49">
        <v>0</v>
      </c>
      <c r="V80" s="49">
        <v>0.142857</v>
      </c>
      <c r="W80" s="49">
        <v>0</v>
      </c>
      <c r="X80" s="49">
        <v>0.655403</v>
      </c>
      <c r="Y80" s="49">
        <v>0</v>
      </c>
      <c r="Z80" s="49">
        <v>1</v>
      </c>
      <c r="AA80" s="72">
        <v>80</v>
      </c>
      <c r="AB80" s="72"/>
      <c r="AC80" s="73"/>
      <c r="AD80" s="79" t="s">
        <v>628</v>
      </c>
      <c r="AE80" s="79"/>
      <c r="AF80" s="79"/>
      <c r="AG80" s="79"/>
      <c r="AH80" s="79"/>
      <c r="AI80" s="79"/>
      <c r="AJ80" s="83">
        <v>42522.21954861111</v>
      </c>
      <c r="AK80" s="81" t="str">
        <f>HYPERLINK("https://yt3.ggpht.com/a/AATXAJznNJVWdKZxjrQmKMOSZIJxxu0w9AehyljWDQ=s88-c-k-c0xffffffff-no-rj-mo")</f>
        <v>https://yt3.ggpht.com/a/AATXAJznNJVWdKZxjrQmKMOSZIJxxu0w9AehyljWDQ=s88-c-k-c0xffffffff-no-rj-mo</v>
      </c>
      <c r="AL80" s="79">
        <v>223</v>
      </c>
      <c r="AM80" s="79">
        <v>0</v>
      </c>
      <c r="AN80" s="79">
        <v>19</v>
      </c>
      <c r="AO80" s="79" t="b">
        <v>0</v>
      </c>
      <c r="AP80" s="79">
        <v>4</v>
      </c>
      <c r="AQ80" s="79"/>
      <c r="AR80" s="79"/>
      <c r="AS80" s="79" t="s">
        <v>1028</v>
      </c>
      <c r="AT80" s="81" t="str">
        <f>HYPERLINK("https://www.youtube.com/channel/UCTEUWA2zEddnF5_BJMFN5Yg")</f>
        <v>https://www.youtube.com/channel/UCTEUWA2zEddnF5_BJMFN5Yg</v>
      </c>
      <c r="AU80" s="79" t="str">
        <f>REPLACE(INDEX(GroupVertices[Group],MATCH(Vertices[[#This Row],[Vertex]],GroupVertices[Vertex],0)),1,1,"")</f>
        <v>10</v>
      </c>
      <c r="AV80" s="48">
        <v>0</v>
      </c>
      <c r="AW80" s="49">
        <v>0</v>
      </c>
      <c r="AX80" s="48">
        <v>0</v>
      </c>
      <c r="AY80" s="49">
        <v>0</v>
      </c>
      <c r="AZ80" s="48">
        <v>0</v>
      </c>
      <c r="BA80" s="49">
        <v>0</v>
      </c>
      <c r="BB80" s="48">
        <v>15</v>
      </c>
      <c r="BC80" s="49">
        <v>100</v>
      </c>
      <c r="BD80" s="48">
        <v>15</v>
      </c>
      <c r="BE80" s="48"/>
      <c r="BF80" s="48"/>
      <c r="BG80" s="48"/>
      <c r="BH80" s="48"/>
      <c r="BI80" s="48"/>
      <c r="BJ80" s="48"/>
      <c r="BK80" s="121" t="s">
        <v>1719</v>
      </c>
      <c r="BL80" s="121" t="s">
        <v>1719</v>
      </c>
      <c r="BM80" s="121" t="s">
        <v>1841</v>
      </c>
      <c r="BN80" s="121" t="s">
        <v>1841</v>
      </c>
      <c r="BO80" s="2"/>
      <c r="BP80" s="3"/>
      <c r="BQ80" s="3"/>
      <c r="BR80" s="3"/>
      <c r="BS80" s="3"/>
    </row>
    <row r="81" spans="1:71" ht="15">
      <c r="A81" s="65" t="s">
        <v>288</v>
      </c>
      <c r="B81" s="66"/>
      <c r="C81" s="66"/>
      <c r="D81" s="67">
        <v>600</v>
      </c>
      <c r="E81" s="69"/>
      <c r="F81" s="99" t="str">
        <f>HYPERLINK("https://yt3.ggpht.com/a/AATXAJz2HLF6rwF_0QLM5EDFSKfhVXDmAHTJNEdr_AZ5nw=s88-c-k-c0xffffffff-no-rj-mo")</f>
        <v>https://yt3.ggpht.com/a/AATXAJz2HLF6rwF_0QLM5EDFSKfhVXDmAHTJNEdr_AZ5nw=s88-c-k-c0xffffffff-no-rj-mo</v>
      </c>
      <c r="G81" s="66"/>
      <c r="H81" s="70" t="s">
        <v>629</v>
      </c>
      <c r="I81" s="71"/>
      <c r="J81" s="71"/>
      <c r="K81" s="70" t="s">
        <v>629</v>
      </c>
      <c r="L81" s="74">
        <v>909.9090909090909</v>
      </c>
      <c r="M81" s="75">
        <v>6047.44482421875</v>
      </c>
      <c r="N81" s="75">
        <v>4811.65771484375</v>
      </c>
      <c r="O81" s="76"/>
      <c r="P81" s="77"/>
      <c r="Q81" s="77"/>
      <c r="R81" s="85"/>
      <c r="S81" s="48">
        <v>1</v>
      </c>
      <c r="T81" s="48">
        <v>1</v>
      </c>
      <c r="U81" s="49">
        <v>0</v>
      </c>
      <c r="V81" s="49">
        <v>0.142857</v>
      </c>
      <c r="W81" s="49">
        <v>0</v>
      </c>
      <c r="X81" s="49">
        <v>0.655403</v>
      </c>
      <c r="Y81" s="49">
        <v>0</v>
      </c>
      <c r="Z81" s="49">
        <v>1</v>
      </c>
      <c r="AA81" s="72">
        <v>81</v>
      </c>
      <c r="AB81" s="72"/>
      <c r="AC81" s="73"/>
      <c r="AD81" s="79" t="s">
        <v>629</v>
      </c>
      <c r="AE81" s="79" t="s">
        <v>941</v>
      </c>
      <c r="AF81" s="79"/>
      <c r="AG81" s="79"/>
      <c r="AH81" s="79"/>
      <c r="AI81" s="79" t="s">
        <v>997</v>
      </c>
      <c r="AJ81" s="83">
        <v>41706.8171875</v>
      </c>
      <c r="AK81" s="81" t="str">
        <f>HYPERLINK("https://yt3.ggpht.com/a/AATXAJz2HLF6rwF_0QLM5EDFSKfhVXDmAHTJNEdr_AZ5nw=s88-c-k-c0xffffffff-no-rj-mo")</f>
        <v>https://yt3.ggpht.com/a/AATXAJz2HLF6rwF_0QLM5EDFSKfhVXDmAHTJNEdr_AZ5nw=s88-c-k-c0xffffffff-no-rj-mo</v>
      </c>
      <c r="AL81" s="79">
        <v>551781</v>
      </c>
      <c r="AM81" s="79">
        <v>0</v>
      </c>
      <c r="AN81" s="79">
        <v>4200</v>
      </c>
      <c r="AO81" s="79" t="b">
        <v>0</v>
      </c>
      <c r="AP81" s="79">
        <v>322</v>
      </c>
      <c r="AQ81" s="79"/>
      <c r="AR81" s="79"/>
      <c r="AS81" s="79" t="s">
        <v>1028</v>
      </c>
      <c r="AT81" s="81" t="str">
        <f>HYPERLINK("https://www.youtube.com/channel/UCGBLqMQkRwwaoElM0w-UmBg")</f>
        <v>https://www.youtube.com/channel/UCGBLqMQkRwwaoElM0w-UmBg</v>
      </c>
      <c r="AU81" s="79" t="str">
        <f>REPLACE(INDEX(GroupVertices[Group],MATCH(Vertices[[#This Row],[Vertex]],GroupVertices[Vertex],0)),1,1,"")</f>
        <v>10</v>
      </c>
      <c r="AV81" s="48">
        <v>0</v>
      </c>
      <c r="AW81" s="49">
        <v>0</v>
      </c>
      <c r="AX81" s="48">
        <v>0</v>
      </c>
      <c r="AY81" s="49">
        <v>0</v>
      </c>
      <c r="AZ81" s="48">
        <v>0</v>
      </c>
      <c r="BA81" s="49">
        <v>0</v>
      </c>
      <c r="BB81" s="48">
        <v>8</v>
      </c>
      <c r="BC81" s="49">
        <v>100</v>
      </c>
      <c r="BD81" s="48">
        <v>8</v>
      </c>
      <c r="BE81" s="48"/>
      <c r="BF81" s="48"/>
      <c r="BG81" s="48"/>
      <c r="BH81" s="48"/>
      <c r="BI81" s="48"/>
      <c r="BJ81" s="48"/>
      <c r="BK81" s="121" t="s">
        <v>1720</v>
      </c>
      <c r="BL81" s="121" t="s">
        <v>1720</v>
      </c>
      <c r="BM81" s="121" t="s">
        <v>1842</v>
      </c>
      <c r="BN81" s="121" t="s">
        <v>1842</v>
      </c>
      <c r="BO81" s="2"/>
      <c r="BP81" s="3"/>
      <c r="BQ81" s="3"/>
      <c r="BR81" s="3"/>
      <c r="BS81" s="3"/>
    </row>
    <row r="82" spans="1:71" ht="15">
      <c r="A82" s="65" t="s">
        <v>289</v>
      </c>
      <c r="B82" s="66"/>
      <c r="C82" s="66"/>
      <c r="D82" s="67">
        <v>600</v>
      </c>
      <c r="E82" s="69"/>
      <c r="F82" s="99" t="str">
        <f>HYPERLINK("https://yt3.ggpht.com/a/AATXAJzE7yY76MupKDgRKOqN44TE5GEpfC5XlG8J6w=s88-c-k-c0xffffffff-no-rj-mo")</f>
        <v>https://yt3.ggpht.com/a/AATXAJzE7yY76MupKDgRKOqN44TE5GEpfC5XlG8J6w=s88-c-k-c0xffffffff-no-rj-mo</v>
      </c>
      <c r="G82" s="66"/>
      <c r="H82" s="70" t="s">
        <v>630</v>
      </c>
      <c r="I82" s="71"/>
      <c r="J82" s="71"/>
      <c r="K82" s="70" t="s">
        <v>630</v>
      </c>
      <c r="L82" s="74">
        <v>909.9090909090909</v>
      </c>
      <c r="M82" s="75">
        <v>5862.1923828125</v>
      </c>
      <c r="N82" s="75">
        <v>2283.0087890625</v>
      </c>
      <c r="O82" s="76"/>
      <c r="P82" s="77"/>
      <c r="Q82" s="77"/>
      <c r="R82" s="85"/>
      <c r="S82" s="48">
        <v>1</v>
      </c>
      <c r="T82" s="48">
        <v>1</v>
      </c>
      <c r="U82" s="49">
        <v>0</v>
      </c>
      <c r="V82" s="49">
        <v>0.142857</v>
      </c>
      <c r="W82" s="49">
        <v>0</v>
      </c>
      <c r="X82" s="49">
        <v>0.655403</v>
      </c>
      <c r="Y82" s="49">
        <v>0</v>
      </c>
      <c r="Z82" s="49">
        <v>1</v>
      </c>
      <c r="AA82" s="72">
        <v>82</v>
      </c>
      <c r="AB82" s="72"/>
      <c r="AC82" s="73"/>
      <c r="AD82" s="79" t="s">
        <v>630</v>
      </c>
      <c r="AE82" s="79"/>
      <c r="AF82" s="79"/>
      <c r="AG82" s="79"/>
      <c r="AH82" s="79"/>
      <c r="AI82" s="79"/>
      <c r="AJ82" s="83">
        <v>40775.30351851852</v>
      </c>
      <c r="AK82" s="81" t="str">
        <f>HYPERLINK("https://yt3.ggpht.com/a/AATXAJzE7yY76MupKDgRKOqN44TE5GEpfC5XlG8J6w=s88-c-k-c0xffffffff-no-rj-mo")</f>
        <v>https://yt3.ggpht.com/a/AATXAJzE7yY76MupKDgRKOqN44TE5GEpfC5XlG8J6w=s88-c-k-c0xffffffff-no-rj-mo</v>
      </c>
      <c r="AL82" s="79">
        <v>131453</v>
      </c>
      <c r="AM82" s="79">
        <v>0</v>
      </c>
      <c r="AN82" s="79">
        <v>241</v>
      </c>
      <c r="AO82" s="79" t="b">
        <v>0</v>
      </c>
      <c r="AP82" s="79">
        <v>5</v>
      </c>
      <c r="AQ82" s="79"/>
      <c r="AR82" s="79"/>
      <c r="AS82" s="79" t="s">
        <v>1028</v>
      </c>
      <c r="AT82" s="81" t="str">
        <f>HYPERLINK("https://www.youtube.com/channel/UC8l6BJlRhpdy3ecXdNh8BzA")</f>
        <v>https://www.youtube.com/channel/UC8l6BJlRhpdy3ecXdNh8BzA</v>
      </c>
      <c r="AU82" s="79" t="str">
        <f>REPLACE(INDEX(GroupVertices[Group],MATCH(Vertices[[#This Row],[Vertex]],GroupVertices[Vertex],0)),1,1,"")</f>
        <v>10</v>
      </c>
      <c r="AV82" s="48">
        <v>0</v>
      </c>
      <c r="AW82" s="49">
        <v>0</v>
      </c>
      <c r="AX82" s="48">
        <v>0</v>
      </c>
      <c r="AY82" s="49">
        <v>0</v>
      </c>
      <c r="AZ82" s="48">
        <v>0</v>
      </c>
      <c r="BA82" s="49">
        <v>0</v>
      </c>
      <c r="BB82" s="48">
        <v>10</v>
      </c>
      <c r="BC82" s="49">
        <v>100</v>
      </c>
      <c r="BD82" s="48">
        <v>10</v>
      </c>
      <c r="BE82" s="48"/>
      <c r="BF82" s="48"/>
      <c r="BG82" s="48"/>
      <c r="BH82" s="48"/>
      <c r="BI82" s="48"/>
      <c r="BJ82" s="48"/>
      <c r="BK82" s="121" t="s">
        <v>1721</v>
      </c>
      <c r="BL82" s="121" t="s">
        <v>1721</v>
      </c>
      <c r="BM82" s="121" t="s">
        <v>1843</v>
      </c>
      <c r="BN82" s="121" t="s">
        <v>1843</v>
      </c>
      <c r="BO82" s="2"/>
      <c r="BP82" s="3"/>
      <c r="BQ82" s="3"/>
      <c r="BR82" s="3"/>
      <c r="BS82" s="3"/>
    </row>
    <row r="83" spans="1:71" ht="15">
      <c r="A83" s="65" t="s">
        <v>290</v>
      </c>
      <c r="B83" s="66"/>
      <c r="C83" s="66"/>
      <c r="D83" s="67">
        <v>600</v>
      </c>
      <c r="E83" s="69"/>
      <c r="F83" s="99" t="str">
        <f>HYPERLINK("https://yt3.ggpht.com/a/AATXAJzXR3nK0R8lHrMxevX1RKtzFYslAc8sKIVWJg=s88-c-k-c0xffffffff-no-rj-mo")</f>
        <v>https://yt3.ggpht.com/a/AATXAJzXR3nK0R8lHrMxevX1RKtzFYslAc8sKIVWJg=s88-c-k-c0xffffffff-no-rj-mo</v>
      </c>
      <c r="G83" s="66"/>
      <c r="H83" s="70" t="s">
        <v>631</v>
      </c>
      <c r="I83" s="71"/>
      <c r="J83" s="71"/>
      <c r="K83" s="70" t="s">
        <v>631</v>
      </c>
      <c r="L83" s="74">
        <v>909.9090909090909</v>
      </c>
      <c r="M83" s="75">
        <v>6474.9365234375</v>
      </c>
      <c r="N83" s="75">
        <v>3322.173095703125</v>
      </c>
      <c r="O83" s="76"/>
      <c r="P83" s="77"/>
      <c r="Q83" s="77"/>
      <c r="R83" s="85"/>
      <c r="S83" s="48">
        <v>1</v>
      </c>
      <c r="T83" s="48">
        <v>1</v>
      </c>
      <c r="U83" s="49">
        <v>0</v>
      </c>
      <c r="V83" s="49">
        <v>0.142857</v>
      </c>
      <c r="W83" s="49">
        <v>0</v>
      </c>
      <c r="X83" s="49">
        <v>0.655403</v>
      </c>
      <c r="Y83" s="49">
        <v>0</v>
      </c>
      <c r="Z83" s="49">
        <v>1</v>
      </c>
      <c r="AA83" s="72">
        <v>83</v>
      </c>
      <c r="AB83" s="72"/>
      <c r="AC83" s="73"/>
      <c r="AD83" s="79" t="s">
        <v>631</v>
      </c>
      <c r="AE83" s="79"/>
      <c r="AF83" s="79"/>
      <c r="AG83" s="79"/>
      <c r="AH83" s="79"/>
      <c r="AI83" s="79" t="s">
        <v>998</v>
      </c>
      <c r="AJ83" s="83">
        <v>40751.799212962964</v>
      </c>
      <c r="AK83" s="81" t="str">
        <f>HYPERLINK("https://yt3.ggpht.com/a/AATXAJzXR3nK0R8lHrMxevX1RKtzFYslAc8sKIVWJg=s88-c-k-c0xffffffff-no-rj-mo")</f>
        <v>https://yt3.ggpht.com/a/AATXAJzXR3nK0R8lHrMxevX1RKtzFYslAc8sKIVWJg=s88-c-k-c0xffffffff-no-rj-mo</v>
      </c>
      <c r="AL83" s="79">
        <v>1040</v>
      </c>
      <c r="AM83" s="79">
        <v>0</v>
      </c>
      <c r="AN83" s="79">
        <v>57</v>
      </c>
      <c r="AO83" s="79" t="b">
        <v>0</v>
      </c>
      <c r="AP83" s="79">
        <v>4</v>
      </c>
      <c r="AQ83" s="79"/>
      <c r="AR83" s="79"/>
      <c r="AS83" s="79" t="s">
        <v>1028</v>
      </c>
      <c r="AT83" s="81" t="str">
        <f>HYPERLINK("https://www.youtube.com/channel/UCy46Vx-jNQI9J3nhF3-5gfA")</f>
        <v>https://www.youtube.com/channel/UCy46Vx-jNQI9J3nhF3-5gfA</v>
      </c>
      <c r="AU83" s="79" t="str">
        <f>REPLACE(INDEX(GroupVertices[Group],MATCH(Vertices[[#This Row],[Vertex]],GroupVertices[Vertex],0)),1,1,"")</f>
        <v>10</v>
      </c>
      <c r="AV83" s="48">
        <v>1</v>
      </c>
      <c r="AW83" s="49">
        <v>16.666666666666668</v>
      </c>
      <c r="AX83" s="48">
        <v>0</v>
      </c>
      <c r="AY83" s="49">
        <v>0</v>
      </c>
      <c r="AZ83" s="48">
        <v>0</v>
      </c>
      <c r="BA83" s="49">
        <v>0</v>
      </c>
      <c r="BB83" s="48">
        <v>5</v>
      </c>
      <c r="BC83" s="49">
        <v>83.33333333333333</v>
      </c>
      <c r="BD83" s="48">
        <v>6</v>
      </c>
      <c r="BE83" s="48"/>
      <c r="BF83" s="48"/>
      <c r="BG83" s="48"/>
      <c r="BH83" s="48"/>
      <c r="BI83" s="48"/>
      <c r="BJ83" s="48"/>
      <c r="BK83" s="121" t="s">
        <v>1722</v>
      </c>
      <c r="BL83" s="121" t="s">
        <v>1722</v>
      </c>
      <c r="BM83" s="121" t="s">
        <v>1844</v>
      </c>
      <c r="BN83" s="121" t="s">
        <v>1844</v>
      </c>
      <c r="BO83" s="2"/>
      <c r="BP83" s="3"/>
      <c r="BQ83" s="3"/>
      <c r="BR83" s="3"/>
      <c r="BS83" s="3"/>
    </row>
    <row r="84" spans="1:71" ht="15">
      <c r="A84" s="65" t="s">
        <v>291</v>
      </c>
      <c r="B84" s="66"/>
      <c r="C84" s="66"/>
      <c r="D84" s="67">
        <v>600</v>
      </c>
      <c r="E84" s="69"/>
      <c r="F84" s="99" t="str">
        <f>HYPERLINK("https://yt3.ggpht.com/a/AATXAJzh9DJsFh8_wOPymzeEpX9pjj__iVQriNRw8g=s88-c-k-c0xffffffff-no-rj-mo")</f>
        <v>https://yt3.ggpht.com/a/AATXAJzh9DJsFh8_wOPymzeEpX9pjj__iVQriNRw8g=s88-c-k-c0xffffffff-no-rj-mo</v>
      </c>
      <c r="G84" s="66"/>
      <c r="H84" s="70" t="s">
        <v>632</v>
      </c>
      <c r="I84" s="71"/>
      <c r="J84" s="71"/>
      <c r="K84" s="70" t="s">
        <v>632</v>
      </c>
      <c r="L84" s="74">
        <v>909.9090909090909</v>
      </c>
      <c r="M84" s="75">
        <v>9489.4970703125</v>
      </c>
      <c r="N84" s="75">
        <v>2373.317626953125</v>
      </c>
      <c r="O84" s="76"/>
      <c r="P84" s="77"/>
      <c r="Q84" s="77"/>
      <c r="R84" s="85"/>
      <c r="S84" s="48">
        <v>1</v>
      </c>
      <c r="T84" s="48">
        <v>1</v>
      </c>
      <c r="U84" s="49">
        <v>0</v>
      </c>
      <c r="V84" s="49">
        <v>1</v>
      </c>
      <c r="W84" s="49">
        <v>0</v>
      </c>
      <c r="X84" s="49">
        <v>0.701752</v>
      </c>
      <c r="Y84" s="49">
        <v>0</v>
      </c>
      <c r="Z84" s="49">
        <v>1</v>
      </c>
      <c r="AA84" s="72">
        <v>84</v>
      </c>
      <c r="AB84" s="72"/>
      <c r="AC84" s="73"/>
      <c r="AD84" s="79" t="s">
        <v>632</v>
      </c>
      <c r="AE84" s="79" t="s">
        <v>942</v>
      </c>
      <c r="AF84" s="79"/>
      <c r="AG84" s="79"/>
      <c r="AH84" s="79"/>
      <c r="AI84" s="79" t="s">
        <v>999</v>
      </c>
      <c r="AJ84" s="83">
        <v>42530.20862268518</v>
      </c>
      <c r="AK84" s="81" t="str">
        <f>HYPERLINK("https://yt3.ggpht.com/a/AATXAJzh9DJsFh8_wOPymzeEpX9pjj__iVQriNRw8g=s88-c-k-c0xffffffff-no-rj-mo")</f>
        <v>https://yt3.ggpht.com/a/AATXAJzh9DJsFh8_wOPymzeEpX9pjj__iVQriNRw8g=s88-c-k-c0xffffffff-no-rj-mo</v>
      </c>
      <c r="AL84" s="79">
        <v>20782</v>
      </c>
      <c r="AM84" s="79">
        <v>0</v>
      </c>
      <c r="AN84" s="79">
        <v>738</v>
      </c>
      <c r="AO84" s="79" t="b">
        <v>0</v>
      </c>
      <c r="AP84" s="79">
        <v>57</v>
      </c>
      <c r="AQ84" s="79"/>
      <c r="AR84" s="79"/>
      <c r="AS84" s="79" t="s">
        <v>1028</v>
      </c>
      <c r="AT84" s="81" t="str">
        <f>HYPERLINK("https://www.youtube.com/channel/UC8WfKMGoSEpj3YsoIs5PTTQ")</f>
        <v>https://www.youtube.com/channel/UC8WfKMGoSEpj3YsoIs5PTTQ</v>
      </c>
      <c r="AU84" s="79" t="str">
        <f>REPLACE(INDEX(GroupVertices[Group],MATCH(Vertices[[#This Row],[Vertex]],GroupVertices[Vertex],0)),1,1,"")</f>
        <v>21</v>
      </c>
      <c r="AV84" s="48">
        <v>0</v>
      </c>
      <c r="AW84" s="49">
        <v>0</v>
      </c>
      <c r="AX84" s="48">
        <v>0</v>
      </c>
      <c r="AY84" s="49">
        <v>0</v>
      </c>
      <c r="AZ84" s="48">
        <v>0</v>
      </c>
      <c r="BA84" s="49">
        <v>0</v>
      </c>
      <c r="BB84" s="48">
        <v>82</v>
      </c>
      <c r="BC84" s="49">
        <v>100</v>
      </c>
      <c r="BD84" s="48">
        <v>82</v>
      </c>
      <c r="BE84" s="48"/>
      <c r="BF84" s="48"/>
      <c r="BG84" s="48"/>
      <c r="BH84" s="48"/>
      <c r="BI84" s="48"/>
      <c r="BJ84" s="48"/>
      <c r="BK84" s="121" t="s">
        <v>1723</v>
      </c>
      <c r="BL84" s="121" t="s">
        <v>1723</v>
      </c>
      <c r="BM84" s="121" t="s">
        <v>1845</v>
      </c>
      <c r="BN84" s="121" t="s">
        <v>1845</v>
      </c>
      <c r="BO84" s="2"/>
      <c r="BP84" s="3"/>
      <c r="BQ84" s="3"/>
      <c r="BR84" s="3"/>
      <c r="BS84" s="3"/>
    </row>
    <row r="85" spans="1:71" ht="15">
      <c r="A85" s="65" t="s">
        <v>292</v>
      </c>
      <c r="B85" s="66"/>
      <c r="C85" s="66"/>
      <c r="D85" s="67">
        <v>1000</v>
      </c>
      <c r="E85" s="69"/>
      <c r="F85" s="99" t="str">
        <f>HYPERLINK("https://yt3.ggpht.com/a/AATXAJyb1IAZ6JDHX4O24SeOYsQciDzDBMdKXbLqow=s88-c-k-c0xffffffff-no-rj-mo")</f>
        <v>https://yt3.ggpht.com/a/AATXAJyb1IAZ6JDHX4O24SeOYsQciDzDBMdKXbLqow=s88-c-k-c0xffffffff-no-rj-mo</v>
      </c>
      <c r="G85" s="66"/>
      <c r="H85" s="70" t="s">
        <v>633</v>
      </c>
      <c r="I85" s="71"/>
      <c r="J85" s="71"/>
      <c r="K85" s="70" t="s">
        <v>633</v>
      </c>
      <c r="L85" s="74">
        <v>1818.8181818181818</v>
      </c>
      <c r="M85" s="75">
        <v>9489.4970703125</v>
      </c>
      <c r="N85" s="75">
        <v>1773.66650390625</v>
      </c>
      <c r="O85" s="76"/>
      <c r="P85" s="77"/>
      <c r="Q85" s="77"/>
      <c r="R85" s="85"/>
      <c r="S85" s="48">
        <v>2</v>
      </c>
      <c r="T85" s="48">
        <v>2</v>
      </c>
      <c r="U85" s="49">
        <v>0</v>
      </c>
      <c r="V85" s="49">
        <v>1</v>
      </c>
      <c r="W85" s="49">
        <v>0</v>
      </c>
      <c r="X85" s="49">
        <v>1.29824</v>
      </c>
      <c r="Y85" s="49">
        <v>0</v>
      </c>
      <c r="Z85" s="49">
        <v>1</v>
      </c>
      <c r="AA85" s="72">
        <v>85</v>
      </c>
      <c r="AB85" s="72"/>
      <c r="AC85" s="73"/>
      <c r="AD85" s="79" t="s">
        <v>633</v>
      </c>
      <c r="AE85" s="79"/>
      <c r="AF85" s="79"/>
      <c r="AG85" s="79"/>
      <c r="AH85" s="79"/>
      <c r="AI85" s="79"/>
      <c r="AJ85" s="83">
        <v>43945.90158564815</v>
      </c>
      <c r="AK85" s="81" t="str">
        <f>HYPERLINK("https://yt3.ggpht.com/a/AATXAJyb1IAZ6JDHX4O24SeOYsQciDzDBMdKXbLqow=s88-c-k-c0xffffffff-no-rj-mo")</f>
        <v>https://yt3.ggpht.com/a/AATXAJyb1IAZ6JDHX4O24SeOYsQciDzDBMdKXbLqow=s88-c-k-c0xffffffff-no-rj-mo</v>
      </c>
      <c r="AL85" s="79">
        <v>0</v>
      </c>
      <c r="AM85" s="79">
        <v>0</v>
      </c>
      <c r="AN85" s="79">
        <v>0</v>
      </c>
      <c r="AO85" s="79" t="b">
        <v>0</v>
      </c>
      <c r="AP85" s="79">
        <v>0</v>
      </c>
      <c r="AQ85" s="79"/>
      <c r="AR85" s="79"/>
      <c r="AS85" s="79" t="s">
        <v>1028</v>
      </c>
      <c r="AT85" s="81" t="str">
        <f>HYPERLINK("https://www.youtube.com/channel/UCgG2soX4OfxzQoov6tiN-EQ")</f>
        <v>https://www.youtube.com/channel/UCgG2soX4OfxzQoov6tiN-EQ</v>
      </c>
      <c r="AU85" s="79" t="str">
        <f>REPLACE(INDEX(GroupVertices[Group],MATCH(Vertices[[#This Row],[Vertex]],GroupVertices[Vertex],0)),1,1,"")</f>
        <v>21</v>
      </c>
      <c r="AV85" s="48">
        <v>0</v>
      </c>
      <c r="AW85" s="49">
        <v>0</v>
      </c>
      <c r="AX85" s="48">
        <v>0</v>
      </c>
      <c r="AY85" s="49">
        <v>0</v>
      </c>
      <c r="AZ85" s="48">
        <v>0</v>
      </c>
      <c r="BA85" s="49">
        <v>0</v>
      </c>
      <c r="BB85" s="48">
        <v>172</v>
      </c>
      <c r="BC85" s="49">
        <v>100</v>
      </c>
      <c r="BD85" s="48">
        <v>172</v>
      </c>
      <c r="BE85" s="48"/>
      <c r="BF85" s="48"/>
      <c r="BG85" s="48"/>
      <c r="BH85" s="48"/>
      <c r="BI85" s="48"/>
      <c r="BJ85" s="48"/>
      <c r="BK85" s="121" t="s">
        <v>1724</v>
      </c>
      <c r="BL85" s="121" t="s">
        <v>1772</v>
      </c>
      <c r="BM85" s="121" t="s">
        <v>1846</v>
      </c>
      <c r="BN85" s="121" t="s">
        <v>1886</v>
      </c>
      <c r="BO85" s="2"/>
      <c r="BP85" s="3"/>
      <c r="BQ85" s="3"/>
      <c r="BR85" s="3"/>
      <c r="BS85" s="3"/>
    </row>
    <row r="86" spans="1:71" ht="15">
      <c r="A86" s="65" t="s">
        <v>293</v>
      </c>
      <c r="B86" s="66"/>
      <c r="C86" s="66"/>
      <c r="D86" s="67">
        <v>1000</v>
      </c>
      <c r="E86" s="69"/>
      <c r="F86" s="99" t="str">
        <f>HYPERLINK("https://yt3.ggpht.com/a/AATXAJwUYPaIzrGi2F2hZ1ZrUnLqiZZCAZzaA0MQDg=s88-c-k-c0xffffffff-no-rj-mo")</f>
        <v>https://yt3.ggpht.com/a/AATXAJwUYPaIzrGi2F2hZ1ZrUnLqiZZCAZzaA0MQDg=s88-c-k-c0xffffffff-no-rj-mo</v>
      </c>
      <c r="G86" s="66"/>
      <c r="H86" s="70" t="s">
        <v>634</v>
      </c>
      <c r="I86" s="71"/>
      <c r="J86" s="71"/>
      <c r="K86" s="70" t="s">
        <v>634</v>
      </c>
      <c r="L86" s="74">
        <v>2727.7272727272725</v>
      </c>
      <c r="M86" s="75">
        <v>8398.92578125</v>
      </c>
      <c r="N86" s="75">
        <v>3797.962890625</v>
      </c>
      <c r="O86" s="76"/>
      <c r="P86" s="77"/>
      <c r="Q86" s="77"/>
      <c r="R86" s="85"/>
      <c r="S86" s="48">
        <v>3</v>
      </c>
      <c r="T86" s="48">
        <v>3</v>
      </c>
      <c r="U86" s="49">
        <v>6</v>
      </c>
      <c r="V86" s="49">
        <v>0.333333</v>
      </c>
      <c r="W86" s="49">
        <v>0</v>
      </c>
      <c r="X86" s="49">
        <v>1.669943</v>
      </c>
      <c r="Y86" s="49">
        <v>0</v>
      </c>
      <c r="Z86" s="49">
        <v>1</v>
      </c>
      <c r="AA86" s="72">
        <v>86</v>
      </c>
      <c r="AB86" s="72"/>
      <c r="AC86" s="73"/>
      <c r="AD86" s="79" t="s">
        <v>634</v>
      </c>
      <c r="AE86" s="79" t="s">
        <v>943</v>
      </c>
      <c r="AF86" s="79"/>
      <c r="AG86" s="79"/>
      <c r="AH86" s="79"/>
      <c r="AI86" s="79" t="s">
        <v>1000</v>
      </c>
      <c r="AJ86" s="83">
        <v>40761.35357638889</v>
      </c>
      <c r="AK86" s="81" t="str">
        <f>HYPERLINK("https://yt3.ggpht.com/a/AATXAJwUYPaIzrGi2F2hZ1ZrUnLqiZZCAZzaA0MQDg=s88-c-k-c0xffffffff-no-rj-mo")</f>
        <v>https://yt3.ggpht.com/a/AATXAJwUYPaIzrGi2F2hZ1ZrUnLqiZZCAZzaA0MQDg=s88-c-k-c0xffffffff-no-rj-mo</v>
      </c>
      <c r="AL86" s="79">
        <v>59682</v>
      </c>
      <c r="AM86" s="79">
        <v>0</v>
      </c>
      <c r="AN86" s="79">
        <v>2420</v>
      </c>
      <c r="AO86" s="79" t="b">
        <v>0</v>
      </c>
      <c r="AP86" s="79">
        <v>56</v>
      </c>
      <c r="AQ86" s="79"/>
      <c r="AR86" s="79"/>
      <c r="AS86" s="79" t="s">
        <v>1028</v>
      </c>
      <c r="AT86" s="81" t="str">
        <f>HYPERLINK("https://www.youtube.com/channel/UCudRqu3McscDKUXXZgxxuAg")</f>
        <v>https://www.youtube.com/channel/UCudRqu3McscDKUXXZgxxuAg</v>
      </c>
      <c r="AU86" s="79" t="str">
        <f>REPLACE(INDEX(GroupVertices[Group],MATCH(Vertices[[#This Row],[Vertex]],GroupVertices[Vertex],0)),1,1,"")</f>
        <v>13</v>
      </c>
      <c r="AV86" s="48">
        <v>1</v>
      </c>
      <c r="AW86" s="49">
        <v>6.25</v>
      </c>
      <c r="AX86" s="48">
        <v>0</v>
      </c>
      <c r="AY86" s="49">
        <v>0</v>
      </c>
      <c r="AZ86" s="48">
        <v>0</v>
      </c>
      <c r="BA86" s="49">
        <v>0</v>
      </c>
      <c r="BB86" s="48">
        <v>15</v>
      </c>
      <c r="BC86" s="49">
        <v>93.75</v>
      </c>
      <c r="BD86" s="48">
        <v>16</v>
      </c>
      <c r="BE86" s="48"/>
      <c r="BF86" s="48"/>
      <c r="BG86" s="48"/>
      <c r="BH86" s="48"/>
      <c r="BI86" s="48"/>
      <c r="BJ86" s="48"/>
      <c r="BK86" s="121" t="s">
        <v>1725</v>
      </c>
      <c r="BL86" s="121" t="s">
        <v>1725</v>
      </c>
      <c r="BM86" s="121" t="s">
        <v>1847</v>
      </c>
      <c r="BN86" s="121" t="s">
        <v>1847</v>
      </c>
      <c r="BO86" s="2"/>
      <c r="BP86" s="3"/>
      <c r="BQ86" s="3"/>
      <c r="BR86" s="3"/>
      <c r="BS86" s="3"/>
    </row>
    <row r="87" spans="1:71" ht="15">
      <c r="A87" s="65" t="s">
        <v>294</v>
      </c>
      <c r="B87" s="66"/>
      <c r="C87" s="66"/>
      <c r="D87" s="67">
        <v>600</v>
      </c>
      <c r="E87" s="69"/>
      <c r="F87" s="99" t="str">
        <f>HYPERLINK("https://yt3.ggpht.com/a/AATXAJy6c_NkhKqyR8wkd9A83m2aODFWmbOGh_IC67LjvQ=s88-c-k-c0xffffffff-no-rj-mo")</f>
        <v>https://yt3.ggpht.com/a/AATXAJy6c_NkhKqyR8wkd9A83m2aODFWmbOGh_IC67LjvQ=s88-c-k-c0xffffffff-no-rj-mo</v>
      </c>
      <c r="G87" s="66"/>
      <c r="H87" s="70" t="s">
        <v>635</v>
      </c>
      <c r="I87" s="71"/>
      <c r="J87" s="71"/>
      <c r="K87" s="70" t="s">
        <v>635</v>
      </c>
      <c r="L87" s="74">
        <v>909.9090909090909</v>
      </c>
      <c r="M87" s="75">
        <v>8757.0859375</v>
      </c>
      <c r="N87" s="75">
        <v>2817.63720703125</v>
      </c>
      <c r="O87" s="76"/>
      <c r="P87" s="77"/>
      <c r="Q87" s="77"/>
      <c r="R87" s="85"/>
      <c r="S87" s="48">
        <v>1</v>
      </c>
      <c r="T87" s="48">
        <v>1</v>
      </c>
      <c r="U87" s="49">
        <v>0</v>
      </c>
      <c r="V87" s="49">
        <v>0.2</v>
      </c>
      <c r="W87" s="49">
        <v>0</v>
      </c>
      <c r="X87" s="49">
        <v>0.62315</v>
      </c>
      <c r="Y87" s="49">
        <v>0</v>
      </c>
      <c r="Z87" s="49">
        <v>1</v>
      </c>
      <c r="AA87" s="72">
        <v>87</v>
      </c>
      <c r="AB87" s="72"/>
      <c r="AC87" s="73"/>
      <c r="AD87" s="79" t="s">
        <v>635</v>
      </c>
      <c r="AE87" s="79"/>
      <c r="AF87" s="79"/>
      <c r="AG87" s="79"/>
      <c r="AH87" s="79"/>
      <c r="AI87" s="79"/>
      <c r="AJ87" s="83">
        <v>43958.49796296296</v>
      </c>
      <c r="AK87" s="81" t="str">
        <f>HYPERLINK("https://yt3.ggpht.com/a/AATXAJy6c_NkhKqyR8wkd9A83m2aODFWmbOGh_IC67LjvQ=s88-c-k-c0xffffffff-no-rj-mo")</f>
        <v>https://yt3.ggpht.com/a/AATXAJy6c_NkhKqyR8wkd9A83m2aODFWmbOGh_IC67LjvQ=s88-c-k-c0xffffffff-no-rj-mo</v>
      </c>
      <c r="AL87" s="79">
        <v>0</v>
      </c>
      <c r="AM87" s="79">
        <v>0</v>
      </c>
      <c r="AN87" s="79">
        <v>0</v>
      </c>
      <c r="AO87" s="79" t="b">
        <v>0</v>
      </c>
      <c r="AP87" s="79">
        <v>0</v>
      </c>
      <c r="AQ87" s="79"/>
      <c r="AR87" s="79"/>
      <c r="AS87" s="79" t="s">
        <v>1028</v>
      </c>
      <c r="AT87" s="81" t="str">
        <f>HYPERLINK("https://www.youtube.com/channel/UCpKKVvQSctzPgpLyum794kg")</f>
        <v>https://www.youtube.com/channel/UCpKKVvQSctzPgpLyum794kg</v>
      </c>
      <c r="AU87" s="79" t="str">
        <f>REPLACE(INDEX(GroupVertices[Group],MATCH(Vertices[[#This Row],[Vertex]],GroupVertices[Vertex],0)),1,1,"")</f>
        <v>13</v>
      </c>
      <c r="AV87" s="48">
        <v>0</v>
      </c>
      <c r="AW87" s="49">
        <v>0</v>
      </c>
      <c r="AX87" s="48">
        <v>0</v>
      </c>
      <c r="AY87" s="49">
        <v>0</v>
      </c>
      <c r="AZ87" s="48">
        <v>0</v>
      </c>
      <c r="BA87" s="49">
        <v>0</v>
      </c>
      <c r="BB87" s="48">
        <v>7</v>
      </c>
      <c r="BC87" s="49">
        <v>100</v>
      </c>
      <c r="BD87" s="48">
        <v>7</v>
      </c>
      <c r="BE87" s="48"/>
      <c r="BF87" s="48"/>
      <c r="BG87" s="48"/>
      <c r="BH87" s="48"/>
      <c r="BI87" s="48"/>
      <c r="BJ87" s="48"/>
      <c r="BK87" s="121" t="s">
        <v>1726</v>
      </c>
      <c r="BL87" s="121" t="s">
        <v>1726</v>
      </c>
      <c r="BM87" s="121" t="s">
        <v>1848</v>
      </c>
      <c r="BN87" s="121" t="s">
        <v>1848</v>
      </c>
      <c r="BO87" s="2"/>
      <c r="BP87" s="3"/>
      <c r="BQ87" s="3"/>
      <c r="BR87" s="3"/>
      <c r="BS87" s="3"/>
    </row>
    <row r="88" spans="1:71" ht="15">
      <c r="A88" s="65" t="s">
        <v>295</v>
      </c>
      <c r="B88" s="66"/>
      <c r="C88" s="66"/>
      <c r="D88" s="67">
        <v>600</v>
      </c>
      <c r="E88" s="69"/>
      <c r="F88" s="99" t="str">
        <f>HYPERLINK("https://yt3.ggpht.com/a/AATXAJzPxV-gbMi7PocL0p5EL5Y5q91bdHweDrZhv0_x8w=s88-c-k-c0xffffffff-no-rj-mo")</f>
        <v>https://yt3.ggpht.com/a/AATXAJzPxV-gbMi7PocL0p5EL5Y5q91bdHweDrZhv0_x8w=s88-c-k-c0xffffffff-no-rj-mo</v>
      </c>
      <c r="G88" s="66"/>
      <c r="H88" s="70" t="s">
        <v>636</v>
      </c>
      <c r="I88" s="71"/>
      <c r="J88" s="71"/>
      <c r="K88" s="70" t="s">
        <v>636</v>
      </c>
      <c r="L88" s="74">
        <v>909.9090909090909</v>
      </c>
      <c r="M88" s="75">
        <v>7716.85009765625</v>
      </c>
      <c r="N88" s="75">
        <v>3764.593994140625</v>
      </c>
      <c r="O88" s="76"/>
      <c r="P88" s="77"/>
      <c r="Q88" s="77"/>
      <c r="R88" s="85"/>
      <c r="S88" s="48">
        <v>1</v>
      </c>
      <c r="T88" s="48">
        <v>1</v>
      </c>
      <c r="U88" s="49">
        <v>0</v>
      </c>
      <c r="V88" s="49">
        <v>0.2</v>
      </c>
      <c r="W88" s="49">
        <v>0</v>
      </c>
      <c r="X88" s="49">
        <v>0.62315</v>
      </c>
      <c r="Y88" s="49">
        <v>0</v>
      </c>
      <c r="Z88" s="49">
        <v>1</v>
      </c>
      <c r="AA88" s="72">
        <v>88</v>
      </c>
      <c r="AB88" s="72"/>
      <c r="AC88" s="73"/>
      <c r="AD88" s="79" t="s">
        <v>636</v>
      </c>
      <c r="AE88" s="79"/>
      <c r="AF88" s="79"/>
      <c r="AG88" s="79"/>
      <c r="AH88" s="79"/>
      <c r="AI88" s="79"/>
      <c r="AJ88" s="83">
        <v>41012.24959490741</v>
      </c>
      <c r="AK88" s="81" t="str">
        <f>HYPERLINK("https://yt3.ggpht.com/a/AATXAJzPxV-gbMi7PocL0p5EL5Y5q91bdHweDrZhv0_x8w=s88-c-k-c0xffffffff-no-rj-mo")</f>
        <v>https://yt3.ggpht.com/a/AATXAJzPxV-gbMi7PocL0p5EL5Y5q91bdHweDrZhv0_x8w=s88-c-k-c0xffffffff-no-rj-mo</v>
      </c>
      <c r="AL88" s="79">
        <v>116</v>
      </c>
      <c r="AM88" s="79">
        <v>0</v>
      </c>
      <c r="AN88" s="79">
        <v>5</v>
      </c>
      <c r="AO88" s="79" t="b">
        <v>0</v>
      </c>
      <c r="AP88" s="79">
        <v>2</v>
      </c>
      <c r="AQ88" s="79"/>
      <c r="AR88" s="79"/>
      <c r="AS88" s="79" t="s">
        <v>1028</v>
      </c>
      <c r="AT88" s="81" t="str">
        <f>HYPERLINK("https://www.youtube.com/channel/UCVCaB0WRwG9QZ6lBNXfu3Zw")</f>
        <v>https://www.youtube.com/channel/UCVCaB0WRwG9QZ6lBNXfu3Zw</v>
      </c>
      <c r="AU88" s="79" t="str">
        <f>REPLACE(INDEX(GroupVertices[Group],MATCH(Vertices[[#This Row],[Vertex]],GroupVertices[Vertex],0)),1,1,"")</f>
        <v>13</v>
      </c>
      <c r="AV88" s="48">
        <v>0</v>
      </c>
      <c r="AW88" s="49">
        <v>0</v>
      </c>
      <c r="AX88" s="48">
        <v>0</v>
      </c>
      <c r="AY88" s="49">
        <v>0</v>
      </c>
      <c r="AZ88" s="48">
        <v>0</v>
      </c>
      <c r="BA88" s="49">
        <v>0</v>
      </c>
      <c r="BB88" s="48">
        <v>6</v>
      </c>
      <c r="BC88" s="49">
        <v>100</v>
      </c>
      <c r="BD88" s="48">
        <v>6</v>
      </c>
      <c r="BE88" s="48"/>
      <c r="BF88" s="48"/>
      <c r="BG88" s="48"/>
      <c r="BH88" s="48"/>
      <c r="BI88" s="48"/>
      <c r="BJ88" s="48"/>
      <c r="BK88" s="121" t="s">
        <v>1727</v>
      </c>
      <c r="BL88" s="121" t="s">
        <v>1727</v>
      </c>
      <c r="BM88" s="121" t="s">
        <v>1849</v>
      </c>
      <c r="BN88" s="121" t="s">
        <v>1849</v>
      </c>
      <c r="BO88" s="2"/>
      <c r="BP88" s="3"/>
      <c r="BQ88" s="3"/>
      <c r="BR88" s="3"/>
      <c r="BS88" s="3"/>
    </row>
    <row r="89" spans="1:71" ht="15">
      <c r="A89" s="65" t="s">
        <v>296</v>
      </c>
      <c r="B89" s="66"/>
      <c r="C89" s="66"/>
      <c r="D89" s="67">
        <v>1000</v>
      </c>
      <c r="E89" s="69"/>
      <c r="F89" s="99" t="str">
        <f>HYPERLINK("https://yt3.ggpht.com/a/AATXAJwIqUSkfcU2PWuT_yCdDHWyqbnrhd1Qxl44QiP30w=s88-c-k-c0xffffffff-no-rj-mo")</f>
        <v>https://yt3.ggpht.com/a/AATXAJwIqUSkfcU2PWuT_yCdDHWyqbnrhd1Qxl44QiP30w=s88-c-k-c0xffffffff-no-rj-mo</v>
      </c>
      <c r="G89" s="66"/>
      <c r="H89" s="70" t="s">
        <v>637</v>
      </c>
      <c r="I89" s="71"/>
      <c r="J89" s="71"/>
      <c r="K89" s="70" t="s">
        <v>637</v>
      </c>
      <c r="L89" s="74">
        <v>1818.8181818181818</v>
      </c>
      <c r="M89" s="75">
        <v>8722.8427734375</v>
      </c>
      <c r="N89" s="75">
        <v>4811.65771484375</v>
      </c>
      <c r="O89" s="76"/>
      <c r="P89" s="77"/>
      <c r="Q89" s="77"/>
      <c r="R89" s="85"/>
      <c r="S89" s="48">
        <v>2</v>
      </c>
      <c r="T89" s="48">
        <v>2</v>
      </c>
      <c r="U89" s="49">
        <v>0</v>
      </c>
      <c r="V89" s="49">
        <v>0.2</v>
      </c>
      <c r="W89" s="49">
        <v>0</v>
      </c>
      <c r="X89" s="49">
        <v>1.083739</v>
      </c>
      <c r="Y89" s="49">
        <v>0</v>
      </c>
      <c r="Z89" s="49">
        <v>1</v>
      </c>
      <c r="AA89" s="72">
        <v>89</v>
      </c>
      <c r="AB89" s="72"/>
      <c r="AC89" s="73"/>
      <c r="AD89" s="79" t="s">
        <v>637</v>
      </c>
      <c r="AE89" s="79"/>
      <c r="AF89" s="79"/>
      <c r="AG89" s="79"/>
      <c r="AH89" s="79"/>
      <c r="AI89" s="79"/>
      <c r="AJ89" s="83">
        <v>41422.38520833333</v>
      </c>
      <c r="AK89" s="81" t="str">
        <f>HYPERLINK("https://yt3.ggpht.com/a/AATXAJwIqUSkfcU2PWuT_yCdDHWyqbnrhd1Qxl44QiP30w=s88-c-k-c0xffffffff-no-rj-mo")</f>
        <v>https://yt3.ggpht.com/a/AATXAJwIqUSkfcU2PWuT_yCdDHWyqbnrhd1Qxl44QiP30w=s88-c-k-c0xffffffff-no-rj-mo</v>
      </c>
      <c r="AL89" s="79">
        <v>0</v>
      </c>
      <c r="AM89" s="79">
        <v>0</v>
      </c>
      <c r="AN89" s="79">
        <v>1</v>
      </c>
      <c r="AO89" s="79" t="b">
        <v>0</v>
      </c>
      <c r="AP89" s="79">
        <v>0</v>
      </c>
      <c r="AQ89" s="79"/>
      <c r="AR89" s="79"/>
      <c r="AS89" s="79" t="s">
        <v>1028</v>
      </c>
      <c r="AT89" s="81" t="str">
        <f>HYPERLINK("https://www.youtube.com/channel/UCtSduV4ON7H5eyXmIpkM5BA")</f>
        <v>https://www.youtube.com/channel/UCtSduV4ON7H5eyXmIpkM5BA</v>
      </c>
      <c r="AU89" s="79" t="str">
        <f>REPLACE(INDEX(GroupVertices[Group],MATCH(Vertices[[#This Row],[Vertex]],GroupVertices[Vertex],0)),1,1,"")</f>
        <v>13</v>
      </c>
      <c r="AV89" s="48">
        <v>1</v>
      </c>
      <c r="AW89" s="49">
        <v>4</v>
      </c>
      <c r="AX89" s="48">
        <v>0</v>
      </c>
      <c r="AY89" s="49">
        <v>0</v>
      </c>
      <c r="AZ89" s="48">
        <v>0</v>
      </c>
      <c r="BA89" s="49">
        <v>0</v>
      </c>
      <c r="BB89" s="48">
        <v>24</v>
      </c>
      <c r="BC89" s="49">
        <v>96</v>
      </c>
      <c r="BD89" s="48">
        <v>25</v>
      </c>
      <c r="BE89" s="48"/>
      <c r="BF89" s="48"/>
      <c r="BG89" s="48"/>
      <c r="BH89" s="48"/>
      <c r="BI89" s="48"/>
      <c r="BJ89" s="48"/>
      <c r="BK89" s="121" t="s">
        <v>1728</v>
      </c>
      <c r="BL89" s="121" t="s">
        <v>1728</v>
      </c>
      <c r="BM89" s="121" t="s">
        <v>1850</v>
      </c>
      <c r="BN89" s="121" t="s">
        <v>1850</v>
      </c>
      <c r="BO89" s="2"/>
      <c r="BP89" s="3"/>
      <c r="BQ89" s="3"/>
      <c r="BR89" s="3"/>
      <c r="BS89" s="3"/>
    </row>
    <row r="90" spans="1:71" ht="15">
      <c r="A90" s="65" t="s">
        <v>297</v>
      </c>
      <c r="B90" s="66"/>
      <c r="C90" s="66"/>
      <c r="D90" s="67">
        <v>1000</v>
      </c>
      <c r="E90" s="69"/>
      <c r="F90" s="99" t="str">
        <f>HYPERLINK("https://yt3.ggpht.com/a/AATXAJzL0uR1Kj4F7aqCRZsXtWSHc8OkSZlzLkGRDJu-xg=s88-c-k-c0xffffffff-no-rj-mo")</f>
        <v>https://yt3.ggpht.com/a/AATXAJzL0uR1Kj4F7aqCRZsXtWSHc8OkSZlzLkGRDJu-xg=s88-c-k-c0xffffffff-no-rj-mo</v>
      </c>
      <c r="G90" s="66"/>
      <c r="H90" s="70" t="s">
        <v>638</v>
      </c>
      <c r="I90" s="71"/>
      <c r="J90" s="71"/>
      <c r="K90" s="70" t="s">
        <v>638</v>
      </c>
      <c r="L90" s="74">
        <v>2727.7272727272725</v>
      </c>
      <c r="M90" s="75">
        <v>4743.70068359375</v>
      </c>
      <c r="N90" s="75">
        <v>8259.5849609375</v>
      </c>
      <c r="O90" s="76"/>
      <c r="P90" s="77"/>
      <c r="Q90" s="77"/>
      <c r="R90" s="85"/>
      <c r="S90" s="48">
        <v>3</v>
      </c>
      <c r="T90" s="48">
        <v>3</v>
      </c>
      <c r="U90" s="49">
        <v>60</v>
      </c>
      <c r="V90" s="49">
        <v>0.041667</v>
      </c>
      <c r="W90" s="49">
        <v>2E-06</v>
      </c>
      <c r="X90" s="49">
        <v>1.164827</v>
      </c>
      <c r="Y90" s="49">
        <v>0.16666666666666666</v>
      </c>
      <c r="Z90" s="49">
        <v>1</v>
      </c>
      <c r="AA90" s="72">
        <v>90</v>
      </c>
      <c r="AB90" s="72"/>
      <c r="AC90" s="73"/>
      <c r="AD90" s="79" t="s">
        <v>638</v>
      </c>
      <c r="AE90" s="79" t="s">
        <v>944</v>
      </c>
      <c r="AF90" s="79"/>
      <c r="AG90" s="79"/>
      <c r="AH90" s="79"/>
      <c r="AI90" s="79" t="s">
        <v>1001</v>
      </c>
      <c r="AJ90" s="83">
        <v>41540.58553240741</v>
      </c>
      <c r="AK90" s="81" t="str">
        <f>HYPERLINK("https://yt3.ggpht.com/a/AATXAJzL0uR1Kj4F7aqCRZsXtWSHc8OkSZlzLkGRDJu-xg=s88-c-k-c0xffffffff-no-rj-mo")</f>
        <v>https://yt3.ggpht.com/a/AATXAJzL0uR1Kj4F7aqCRZsXtWSHc8OkSZlzLkGRDJu-xg=s88-c-k-c0xffffffff-no-rj-mo</v>
      </c>
      <c r="AL90" s="79">
        <v>35487</v>
      </c>
      <c r="AM90" s="79">
        <v>0</v>
      </c>
      <c r="AN90" s="79">
        <v>1700</v>
      </c>
      <c r="AO90" s="79" t="b">
        <v>0</v>
      </c>
      <c r="AP90" s="79">
        <v>143</v>
      </c>
      <c r="AQ90" s="79"/>
      <c r="AR90" s="79"/>
      <c r="AS90" s="79" t="s">
        <v>1028</v>
      </c>
      <c r="AT90" s="81" t="str">
        <f>HYPERLINK("https://www.youtube.com/channel/UCjg2kAW7dd0nmCmHrCSVUng")</f>
        <v>https://www.youtube.com/channel/UCjg2kAW7dd0nmCmHrCSVUng</v>
      </c>
      <c r="AU90" s="79" t="str">
        <f>REPLACE(INDEX(GroupVertices[Group],MATCH(Vertices[[#This Row],[Vertex]],GroupVertices[Vertex],0)),1,1,"")</f>
        <v>3</v>
      </c>
      <c r="AV90" s="48">
        <v>4</v>
      </c>
      <c r="AW90" s="49">
        <v>2.5641025641025643</v>
      </c>
      <c r="AX90" s="48">
        <v>1</v>
      </c>
      <c r="AY90" s="49">
        <v>0.6410256410256411</v>
      </c>
      <c r="AZ90" s="48">
        <v>0</v>
      </c>
      <c r="BA90" s="49">
        <v>0</v>
      </c>
      <c r="BB90" s="48">
        <v>151</v>
      </c>
      <c r="BC90" s="49">
        <v>96.7948717948718</v>
      </c>
      <c r="BD90" s="48">
        <v>156</v>
      </c>
      <c r="BE90" s="48" t="s">
        <v>1454</v>
      </c>
      <c r="BF90" s="48" t="s">
        <v>1454</v>
      </c>
      <c r="BG90" s="48" t="s">
        <v>1498</v>
      </c>
      <c r="BH90" s="48" t="s">
        <v>1498</v>
      </c>
      <c r="BI90" s="48"/>
      <c r="BJ90" s="48"/>
      <c r="BK90" s="121" t="s">
        <v>1729</v>
      </c>
      <c r="BL90" s="121" t="s">
        <v>1773</v>
      </c>
      <c r="BM90" s="121" t="s">
        <v>1851</v>
      </c>
      <c r="BN90" s="121" t="s">
        <v>1851</v>
      </c>
      <c r="BO90" s="2"/>
      <c r="BP90" s="3"/>
      <c r="BQ90" s="3"/>
      <c r="BR90" s="3"/>
      <c r="BS90" s="3"/>
    </row>
    <row r="91" spans="1:71" ht="15">
      <c r="A91" s="65" t="s">
        <v>298</v>
      </c>
      <c r="B91" s="66"/>
      <c r="C91" s="66"/>
      <c r="D91" s="67">
        <v>1000</v>
      </c>
      <c r="E91" s="69"/>
      <c r="F91" s="99" t="str">
        <f>HYPERLINK("https://yt3.ggpht.com/a/AATXAJyFXacuIZQZd27srLhMi_uX7e0EdLafbU8i3A=s88-c-k-c0xffffffff-no-rj-mo")</f>
        <v>https://yt3.ggpht.com/a/AATXAJyFXacuIZQZd27srLhMi_uX7e0EdLafbU8i3A=s88-c-k-c0xffffffff-no-rj-mo</v>
      </c>
      <c r="G91" s="66"/>
      <c r="H91" s="70" t="s">
        <v>639</v>
      </c>
      <c r="I91" s="71"/>
      <c r="J91" s="71"/>
      <c r="K91" s="70" t="s">
        <v>639</v>
      </c>
      <c r="L91" s="74">
        <v>1818.8181818181818</v>
      </c>
      <c r="M91" s="75">
        <v>5141.42333984375</v>
      </c>
      <c r="N91" s="75">
        <v>8045.1923828125</v>
      </c>
      <c r="O91" s="76"/>
      <c r="P91" s="77"/>
      <c r="Q91" s="77"/>
      <c r="R91" s="85"/>
      <c r="S91" s="48">
        <v>2</v>
      </c>
      <c r="T91" s="48">
        <v>3</v>
      </c>
      <c r="U91" s="49">
        <v>0</v>
      </c>
      <c r="V91" s="49">
        <v>0.034483</v>
      </c>
      <c r="W91" s="49">
        <v>2E-06</v>
      </c>
      <c r="X91" s="49">
        <v>1.106208</v>
      </c>
      <c r="Y91" s="49">
        <v>1</v>
      </c>
      <c r="Z91" s="49">
        <v>0.5</v>
      </c>
      <c r="AA91" s="72">
        <v>91</v>
      </c>
      <c r="AB91" s="72"/>
      <c r="AC91" s="73"/>
      <c r="AD91" s="79" t="s">
        <v>639</v>
      </c>
      <c r="AE91" s="79"/>
      <c r="AF91" s="79"/>
      <c r="AG91" s="79"/>
      <c r="AH91" s="79"/>
      <c r="AI91" s="79"/>
      <c r="AJ91" s="83">
        <v>42217.74511574074</v>
      </c>
      <c r="AK91" s="81" t="str">
        <f>HYPERLINK("https://yt3.ggpht.com/a/AATXAJyFXacuIZQZd27srLhMi_uX7e0EdLafbU8i3A=s88-c-k-c0xffffffff-no-rj-mo")</f>
        <v>https://yt3.ggpht.com/a/AATXAJyFXacuIZQZd27srLhMi_uX7e0EdLafbU8i3A=s88-c-k-c0xffffffff-no-rj-mo</v>
      </c>
      <c r="AL91" s="79">
        <v>14</v>
      </c>
      <c r="AM91" s="79">
        <v>0</v>
      </c>
      <c r="AN91" s="79">
        <v>1</v>
      </c>
      <c r="AO91" s="79" t="b">
        <v>0</v>
      </c>
      <c r="AP91" s="79">
        <v>1</v>
      </c>
      <c r="AQ91" s="79"/>
      <c r="AR91" s="79"/>
      <c r="AS91" s="79" t="s">
        <v>1028</v>
      </c>
      <c r="AT91" s="81" t="str">
        <f>HYPERLINK("https://www.youtube.com/channel/UC1rRu-VgjGKeuGQmoEs_oag")</f>
        <v>https://www.youtube.com/channel/UC1rRu-VgjGKeuGQmoEs_oag</v>
      </c>
      <c r="AU91" s="79" t="str">
        <f>REPLACE(INDEX(GroupVertices[Group],MATCH(Vertices[[#This Row],[Vertex]],GroupVertices[Vertex],0)),1,1,"")</f>
        <v>3</v>
      </c>
      <c r="AV91" s="48">
        <v>1</v>
      </c>
      <c r="AW91" s="49">
        <v>1.36986301369863</v>
      </c>
      <c r="AX91" s="48">
        <v>0</v>
      </c>
      <c r="AY91" s="49">
        <v>0</v>
      </c>
      <c r="AZ91" s="48">
        <v>0</v>
      </c>
      <c r="BA91" s="49">
        <v>0</v>
      </c>
      <c r="BB91" s="48">
        <v>72</v>
      </c>
      <c r="BC91" s="49">
        <v>98.63013698630137</v>
      </c>
      <c r="BD91" s="48">
        <v>73</v>
      </c>
      <c r="BE91" s="48"/>
      <c r="BF91" s="48"/>
      <c r="BG91" s="48"/>
      <c r="BH91" s="48"/>
      <c r="BI91" s="48"/>
      <c r="BJ91" s="48"/>
      <c r="BK91" s="121" t="s">
        <v>1730</v>
      </c>
      <c r="BL91" s="121" t="s">
        <v>1774</v>
      </c>
      <c r="BM91" s="121" t="s">
        <v>1852</v>
      </c>
      <c r="BN91" s="121" t="s">
        <v>1887</v>
      </c>
      <c r="BO91" s="2"/>
      <c r="BP91" s="3"/>
      <c r="BQ91" s="3"/>
      <c r="BR91" s="3"/>
      <c r="BS91" s="3"/>
    </row>
    <row r="92" spans="1:71" ht="15">
      <c r="A92" s="65" t="s">
        <v>299</v>
      </c>
      <c r="B92" s="66"/>
      <c r="C92" s="66"/>
      <c r="D92" s="67">
        <v>600</v>
      </c>
      <c r="E92" s="69"/>
      <c r="F92" s="99" t="str">
        <f>HYPERLINK("https://yt3.ggpht.com/a/AATXAJy3L6hbZa6aZqvTVIR7GmRfu3zK_kkUciAF1Q=s88-c-k-c0xffffffff-no-rj-mo")</f>
        <v>https://yt3.ggpht.com/a/AATXAJy3L6hbZa6aZqvTVIR7GmRfu3zK_kkUciAF1Q=s88-c-k-c0xffffffff-no-rj-mo</v>
      </c>
      <c r="G92" s="66"/>
      <c r="H92" s="70" t="s">
        <v>640</v>
      </c>
      <c r="I92" s="71"/>
      <c r="J92" s="71"/>
      <c r="K92" s="70" t="s">
        <v>640</v>
      </c>
      <c r="L92" s="74">
        <v>909.9090909090909</v>
      </c>
      <c r="M92" s="75">
        <v>8215.7392578125</v>
      </c>
      <c r="N92" s="75">
        <v>8652.609375</v>
      </c>
      <c r="O92" s="76"/>
      <c r="P92" s="77"/>
      <c r="Q92" s="77"/>
      <c r="R92" s="85"/>
      <c r="S92" s="48">
        <v>1</v>
      </c>
      <c r="T92" s="48">
        <v>2</v>
      </c>
      <c r="U92" s="49">
        <v>0</v>
      </c>
      <c r="V92" s="49">
        <v>0.052632</v>
      </c>
      <c r="W92" s="49">
        <v>0.000415</v>
      </c>
      <c r="X92" s="49">
        <v>0.917539</v>
      </c>
      <c r="Y92" s="49">
        <v>1</v>
      </c>
      <c r="Z92" s="49">
        <v>0.5</v>
      </c>
      <c r="AA92" s="72">
        <v>92</v>
      </c>
      <c r="AB92" s="72"/>
      <c r="AC92" s="73"/>
      <c r="AD92" s="79" t="s">
        <v>640</v>
      </c>
      <c r="AE92" s="79"/>
      <c r="AF92" s="79"/>
      <c r="AG92" s="79"/>
      <c r="AH92" s="79"/>
      <c r="AI92" s="79"/>
      <c r="AJ92" s="83">
        <v>41233.63462962963</v>
      </c>
      <c r="AK92" s="81" t="str">
        <f>HYPERLINK("https://yt3.ggpht.com/a/AATXAJy3L6hbZa6aZqvTVIR7GmRfu3zK_kkUciAF1Q=s88-c-k-c0xffffffff-no-rj-mo")</f>
        <v>https://yt3.ggpht.com/a/AATXAJy3L6hbZa6aZqvTVIR7GmRfu3zK_kkUciAF1Q=s88-c-k-c0xffffffff-no-rj-mo</v>
      </c>
      <c r="AL92" s="79">
        <v>0</v>
      </c>
      <c r="AM92" s="79">
        <v>0</v>
      </c>
      <c r="AN92" s="79">
        <v>3</v>
      </c>
      <c r="AO92" s="79" t="b">
        <v>0</v>
      </c>
      <c r="AP92" s="79">
        <v>0</v>
      </c>
      <c r="AQ92" s="79"/>
      <c r="AR92" s="79"/>
      <c r="AS92" s="79" t="s">
        <v>1028</v>
      </c>
      <c r="AT92" s="81" t="str">
        <f>HYPERLINK("https://www.youtube.com/channel/UCXVUOdTY_30WBlCOAqsrSag")</f>
        <v>https://www.youtube.com/channel/UCXVUOdTY_30WBlCOAqsrSag</v>
      </c>
      <c r="AU92" s="79" t="str">
        <f>REPLACE(INDEX(GroupVertices[Group],MATCH(Vertices[[#This Row],[Vertex]],GroupVertices[Vertex],0)),1,1,"")</f>
        <v>4</v>
      </c>
      <c r="AV92" s="48">
        <v>2</v>
      </c>
      <c r="AW92" s="49">
        <v>5.555555555555555</v>
      </c>
      <c r="AX92" s="48">
        <v>2</v>
      </c>
      <c r="AY92" s="49">
        <v>5.555555555555555</v>
      </c>
      <c r="AZ92" s="48">
        <v>0</v>
      </c>
      <c r="BA92" s="49">
        <v>0</v>
      </c>
      <c r="BB92" s="48">
        <v>32</v>
      </c>
      <c r="BC92" s="49">
        <v>88.88888888888889</v>
      </c>
      <c r="BD92" s="48">
        <v>36</v>
      </c>
      <c r="BE92" s="48"/>
      <c r="BF92" s="48"/>
      <c r="BG92" s="48"/>
      <c r="BH92" s="48"/>
      <c r="BI92" s="48"/>
      <c r="BJ92" s="48"/>
      <c r="BK92" s="121" t="s">
        <v>1731</v>
      </c>
      <c r="BL92" s="121" t="s">
        <v>1731</v>
      </c>
      <c r="BM92" s="121" t="s">
        <v>1853</v>
      </c>
      <c r="BN92" s="121" t="s">
        <v>1853</v>
      </c>
      <c r="BO92" s="2"/>
      <c r="BP92" s="3"/>
      <c r="BQ92" s="3"/>
      <c r="BR92" s="3"/>
      <c r="BS92" s="3"/>
    </row>
    <row r="93" spans="1:71" ht="15">
      <c r="A93" s="65" t="s">
        <v>301</v>
      </c>
      <c r="B93" s="66"/>
      <c r="C93" s="66"/>
      <c r="D93" s="67">
        <v>1000</v>
      </c>
      <c r="E93" s="69"/>
      <c r="F93" s="99" t="str">
        <f>HYPERLINK("https://yt3.ggpht.com/a/AATXAJxox-7EcbF_Wz6zQenr1knNwTyX_F3E6gdaGw=s88-c-k-c0xffffffff-no-rj-mo")</f>
        <v>https://yt3.ggpht.com/a/AATXAJxox-7EcbF_Wz6zQenr1knNwTyX_F3E6gdaGw=s88-c-k-c0xffffffff-no-rj-mo</v>
      </c>
      <c r="G93" s="66"/>
      <c r="H93" s="70" t="s">
        <v>642</v>
      </c>
      <c r="I93" s="71"/>
      <c r="J93" s="71"/>
      <c r="K93" s="70" t="s">
        <v>642</v>
      </c>
      <c r="L93" s="74">
        <v>1818.8181818181818</v>
      </c>
      <c r="M93" s="75">
        <v>8140.72216796875</v>
      </c>
      <c r="N93" s="75">
        <v>9161.2294921875</v>
      </c>
      <c r="O93" s="76"/>
      <c r="P93" s="77"/>
      <c r="Q93" s="77"/>
      <c r="R93" s="85"/>
      <c r="S93" s="48">
        <v>2</v>
      </c>
      <c r="T93" s="48">
        <v>1</v>
      </c>
      <c r="U93" s="49">
        <v>0</v>
      </c>
      <c r="V93" s="49">
        <v>0.052632</v>
      </c>
      <c r="W93" s="49">
        <v>0.000415</v>
      </c>
      <c r="X93" s="49">
        <v>0.917539</v>
      </c>
      <c r="Y93" s="49">
        <v>1</v>
      </c>
      <c r="Z93" s="49">
        <v>0.5</v>
      </c>
      <c r="AA93" s="72">
        <v>93</v>
      </c>
      <c r="AB93" s="72"/>
      <c r="AC93" s="73"/>
      <c r="AD93" s="79" t="s">
        <v>642</v>
      </c>
      <c r="AE93" s="79"/>
      <c r="AF93" s="79"/>
      <c r="AG93" s="79"/>
      <c r="AH93" s="79"/>
      <c r="AI93" s="79"/>
      <c r="AJ93" s="83">
        <v>41103.77186342593</v>
      </c>
      <c r="AK93" s="81" t="str">
        <f>HYPERLINK("https://yt3.ggpht.com/a/AATXAJxox-7EcbF_Wz6zQenr1knNwTyX_F3E6gdaGw=s88-c-k-c0xffffffff-no-rj-mo")</f>
        <v>https://yt3.ggpht.com/a/AATXAJxox-7EcbF_Wz6zQenr1knNwTyX_F3E6gdaGw=s88-c-k-c0xffffffff-no-rj-mo</v>
      </c>
      <c r="AL93" s="79">
        <v>0</v>
      </c>
      <c r="AM93" s="79">
        <v>0</v>
      </c>
      <c r="AN93" s="79">
        <v>0</v>
      </c>
      <c r="AO93" s="79" t="b">
        <v>0</v>
      </c>
      <c r="AP93" s="79">
        <v>0</v>
      </c>
      <c r="AQ93" s="79"/>
      <c r="AR93" s="79"/>
      <c r="AS93" s="79" t="s">
        <v>1028</v>
      </c>
      <c r="AT93" s="81" t="str">
        <f>HYPERLINK("https://www.youtube.com/channel/UCiIDkjBgs_Zm1Un3h22jxBQ")</f>
        <v>https://www.youtube.com/channel/UCiIDkjBgs_Zm1Un3h22jxBQ</v>
      </c>
      <c r="AU93" s="79" t="str">
        <f>REPLACE(INDEX(GroupVertices[Group],MATCH(Vertices[[#This Row],[Vertex]],GroupVertices[Vertex],0)),1,1,"")</f>
        <v>4</v>
      </c>
      <c r="AV93" s="48">
        <v>0</v>
      </c>
      <c r="AW93" s="49">
        <v>0</v>
      </c>
      <c r="AX93" s="48">
        <v>0</v>
      </c>
      <c r="AY93" s="49">
        <v>0</v>
      </c>
      <c r="AZ93" s="48">
        <v>0</v>
      </c>
      <c r="BA93" s="49">
        <v>0</v>
      </c>
      <c r="BB93" s="48">
        <v>30</v>
      </c>
      <c r="BC93" s="49">
        <v>100</v>
      </c>
      <c r="BD93" s="48">
        <v>30</v>
      </c>
      <c r="BE93" s="48"/>
      <c r="BF93" s="48"/>
      <c r="BG93" s="48"/>
      <c r="BH93" s="48"/>
      <c r="BI93" s="48"/>
      <c r="BJ93" s="48"/>
      <c r="BK93" s="121" t="s">
        <v>1732</v>
      </c>
      <c r="BL93" s="121" t="s">
        <v>1732</v>
      </c>
      <c r="BM93" s="121" t="s">
        <v>1854</v>
      </c>
      <c r="BN93" s="121" t="s">
        <v>1854</v>
      </c>
      <c r="BO93" s="2"/>
      <c r="BP93" s="3"/>
      <c r="BQ93" s="3"/>
      <c r="BR93" s="3"/>
      <c r="BS93" s="3"/>
    </row>
    <row r="94" spans="1:71" ht="15">
      <c r="A94" s="65" t="s">
        <v>300</v>
      </c>
      <c r="B94" s="66"/>
      <c r="C94" s="66"/>
      <c r="D94" s="67">
        <v>1000</v>
      </c>
      <c r="E94" s="69"/>
      <c r="F94" s="99" t="str">
        <f>HYPERLINK("https://yt3.ggpht.com/a/AATXAJzJIvRHZcXnnVkVgYnXFwLAe4v-P4GwiOkHkQ=s88-c-k-c0xffffffff-no-rj-mo")</f>
        <v>https://yt3.ggpht.com/a/AATXAJzJIvRHZcXnnVkVgYnXFwLAe4v-P4GwiOkHkQ=s88-c-k-c0xffffffff-no-rj-mo</v>
      </c>
      <c r="G94" s="66"/>
      <c r="H94" s="70" t="s">
        <v>641</v>
      </c>
      <c r="I94" s="71"/>
      <c r="J94" s="71"/>
      <c r="K94" s="70" t="s">
        <v>641</v>
      </c>
      <c r="L94" s="74">
        <v>8181.181818181818</v>
      </c>
      <c r="M94" s="75">
        <v>7294.40576171875</v>
      </c>
      <c r="N94" s="75">
        <v>8741.541015625</v>
      </c>
      <c r="O94" s="76"/>
      <c r="P94" s="77"/>
      <c r="Q94" s="77"/>
      <c r="R94" s="85"/>
      <c r="S94" s="48">
        <v>9</v>
      </c>
      <c r="T94" s="48">
        <v>8</v>
      </c>
      <c r="U94" s="49">
        <v>86</v>
      </c>
      <c r="V94" s="49">
        <v>0.090909</v>
      </c>
      <c r="W94" s="49">
        <v>0.000927</v>
      </c>
      <c r="X94" s="49">
        <v>3.997966</v>
      </c>
      <c r="Y94" s="49">
        <v>0.013888888888888888</v>
      </c>
      <c r="Z94" s="49">
        <v>0.8888888888888888</v>
      </c>
      <c r="AA94" s="72">
        <v>94</v>
      </c>
      <c r="AB94" s="72"/>
      <c r="AC94" s="73"/>
      <c r="AD94" s="79" t="s">
        <v>641</v>
      </c>
      <c r="AE94" s="79" t="s">
        <v>945</v>
      </c>
      <c r="AF94" s="79"/>
      <c r="AG94" s="79"/>
      <c r="AH94" s="79"/>
      <c r="AI94" s="79" t="s">
        <v>641</v>
      </c>
      <c r="AJ94" s="83">
        <v>42315.7706712963</v>
      </c>
      <c r="AK94" s="81" t="str">
        <f>HYPERLINK("https://yt3.ggpht.com/a/AATXAJzJIvRHZcXnnVkVgYnXFwLAe4v-P4GwiOkHkQ=s88-c-k-c0xffffffff-no-rj-mo")</f>
        <v>https://yt3.ggpht.com/a/AATXAJzJIvRHZcXnnVkVgYnXFwLAe4v-P4GwiOkHkQ=s88-c-k-c0xffffffff-no-rj-mo</v>
      </c>
      <c r="AL94" s="79">
        <v>8725698</v>
      </c>
      <c r="AM94" s="79">
        <v>0</v>
      </c>
      <c r="AN94" s="79">
        <v>124000</v>
      </c>
      <c r="AO94" s="79" t="b">
        <v>0</v>
      </c>
      <c r="AP94" s="79">
        <v>230</v>
      </c>
      <c r="AQ94" s="79"/>
      <c r="AR94" s="79"/>
      <c r="AS94" s="79" t="s">
        <v>1028</v>
      </c>
      <c r="AT94" s="81" t="str">
        <f>HYPERLINK("https://www.youtube.com/channel/UCh9nVJoWXmFb7sLApWGcLPQ")</f>
        <v>https://www.youtube.com/channel/UCh9nVJoWXmFb7sLApWGcLPQ</v>
      </c>
      <c r="AU94" s="79" t="str">
        <f>REPLACE(INDEX(GroupVertices[Group],MATCH(Vertices[[#This Row],[Vertex]],GroupVertices[Vertex],0)),1,1,"")</f>
        <v>4</v>
      </c>
      <c r="AV94" s="48">
        <v>2</v>
      </c>
      <c r="AW94" s="49">
        <v>1.3888888888888888</v>
      </c>
      <c r="AX94" s="48">
        <v>0</v>
      </c>
      <c r="AY94" s="49">
        <v>0</v>
      </c>
      <c r="AZ94" s="48">
        <v>0</v>
      </c>
      <c r="BA94" s="49">
        <v>0</v>
      </c>
      <c r="BB94" s="48">
        <v>142</v>
      </c>
      <c r="BC94" s="49">
        <v>98.61111111111111</v>
      </c>
      <c r="BD94" s="48">
        <v>144</v>
      </c>
      <c r="BE94" s="48"/>
      <c r="BF94" s="48"/>
      <c r="BG94" s="48"/>
      <c r="BH94" s="48"/>
      <c r="BI94" s="48"/>
      <c r="BJ94" s="48"/>
      <c r="BK94" s="121" t="s">
        <v>1733</v>
      </c>
      <c r="BL94" s="121" t="s">
        <v>1775</v>
      </c>
      <c r="BM94" s="121" t="s">
        <v>1855</v>
      </c>
      <c r="BN94" s="121" t="s">
        <v>1855</v>
      </c>
      <c r="BO94" s="2"/>
      <c r="BP94" s="3"/>
      <c r="BQ94" s="3"/>
      <c r="BR94" s="3"/>
      <c r="BS94" s="3"/>
    </row>
    <row r="95" spans="1:71" ht="15">
      <c r="A95" s="65" t="s">
        <v>302</v>
      </c>
      <c r="B95" s="66"/>
      <c r="C95" s="66"/>
      <c r="D95" s="67">
        <v>600</v>
      </c>
      <c r="E95" s="69"/>
      <c r="F95" s="99" t="str">
        <f>HYPERLINK("https://yt3.ggpht.com/a/AATXAJzU0BZKFSoYTcoOriofxmmFOptggqugQevUXw=s88-c-k-c0xffffffff-no-rj-mo")</f>
        <v>https://yt3.ggpht.com/a/AATXAJzU0BZKFSoYTcoOriofxmmFOptggqugQevUXw=s88-c-k-c0xffffffff-no-rj-mo</v>
      </c>
      <c r="G95" s="66"/>
      <c r="H95" s="70" t="s">
        <v>643</v>
      </c>
      <c r="I95" s="71"/>
      <c r="J95" s="71"/>
      <c r="K95" s="70" t="s">
        <v>643</v>
      </c>
      <c r="L95" s="74">
        <v>909.9090909090909</v>
      </c>
      <c r="M95" s="75">
        <v>7085.791015625</v>
      </c>
      <c r="N95" s="75">
        <v>9794.5400390625</v>
      </c>
      <c r="O95" s="76"/>
      <c r="P95" s="77"/>
      <c r="Q95" s="77"/>
      <c r="R95" s="85"/>
      <c r="S95" s="48">
        <v>1</v>
      </c>
      <c r="T95" s="48">
        <v>1</v>
      </c>
      <c r="U95" s="49">
        <v>0</v>
      </c>
      <c r="V95" s="49">
        <v>0.05</v>
      </c>
      <c r="W95" s="49">
        <v>0.000287</v>
      </c>
      <c r="X95" s="49">
        <v>0.527585</v>
      </c>
      <c r="Y95" s="49">
        <v>0</v>
      </c>
      <c r="Z95" s="49">
        <v>1</v>
      </c>
      <c r="AA95" s="72">
        <v>95</v>
      </c>
      <c r="AB95" s="72"/>
      <c r="AC95" s="73"/>
      <c r="AD95" s="79" t="s">
        <v>643</v>
      </c>
      <c r="AE95" s="79"/>
      <c r="AF95" s="79"/>
      <c r="AG95" s="79"/>
      <c r="AH95" s="79"/>
      <c r="AI95" s="79"/>
      <c r="AJ95" s="83">
        <v>43442.35488425926</v>
      </c>
      <c r="AK95" s="81" t="str">
        <f>HYPERLINK("https://yt3.ggpht.com/a/AATXAJzU0BZKFSoYTcoOriofxmmFOptggqugQevUXw=s88-c-k-c0xffffffff-no-rj-mo")</f>
        <v>https://yt3.ggpht.com/a/AATXAJzU0BZKFSoYTcoOriofxmmFOptggqugQevUXw=s88-c-k-c0xffffffff-no-rj-mo</v>
      </c>
      <c r="AL95" s="79">
        <v>0</v>
      </c>
      <c r="AM95" s="79">
        <v>0</v>
      </c>
      <c r="AN95" s="79">
        <v>0</v>
      </c>
      <c r="AO95" s="79" t="b">
        <v>0</v>
      </c>
      <c r="AP95" s="79">
        <v>0</v>
      </c>
      <c r="AQ95" s="79"/>
      <c r="AR95" s="79"/>
      <c r="AS95" s="79" t="s">
        <v>1028</v>
      </c>
      <c r="AT95" s="81" t="str">
        <f>HYPERLINK("https://www.youtube.com/channel/UCJMTQogNChI1UHqWT3Zvbew")</f>
        <v>https://www.youtube.com/channel/UCJMTQogNChI1UHqWT3Zvbew</v>
      </c>
      <c r="AU95" s="79" t="str">
        <f>REPLACE(INDEX(GroupVertices[Group],MATCH(Vertices[[#This Row],[Vertex]],GroupVertices[Vertex],0)),1,1,"")</f>
        <v>4</v>
      </c>
      <c r="AV95" s="48">
        <v>1</v>
      </c>
      <c r="AW95" s="49">
        <v>5.882352941176471</v>
      </c>
      <c r="AX95" s="48">
        <v>0</v>
      </c>
      <c r="AY95" s="49">
        <v>0</v>
      </c>
      <c r="AZ95" s="48">
        <v>0</v>
      </c>
      <c r="BA95" s="49">
        <v>0</v>
      </c>
      <c r="BB95" s="48">
        <v>16</v>
      </c>
      <c r="BC95" s="49">
        <v>94.11764705882354</v>
      </c>
      <c r="BD95" s="48">
        <v>17</v>
      </c>
      <c r="BE95" s="48"/>
      <c r="BF95" s="48"/>
      <c r="BG95" s="48"/>
      <c r="BH95" s="48"/>
      <c r="BI95" s="48"/>
      <c r="BJ95" s="48"/>
      <c r="BK95" s="121" t="s">
        <v>1734</v>
      </c>
      <c r="BL95" s="121" t="s">
        <v>1734</v>
      </c>
      <c r="BM95" s="121" t="s">
        <v>1856</v>
      </c>
      <c r="BN95" s="121" t="s">
        <v>1856</v>
      </c>
      <c r="BO95" s="2"/>
      <c r="BP95" s="3"/>
      <c r="BQ95" s="3"/>
      <c r="BR95" s="3"/>
      <c r="BS95" s="3"/>
    </row>
    <row r="96" spans="1:71" ht="15">
      <c r="A96" s="65" t="s">
        <v>303</v>
      </c>
      <c r="B96" s="66"/>
      <c r="C96" s="66"/>
      <c r="D96" s="67">
        <v>200</v>
      </c>
      <c r="E96" s="69"/>
      <c r="F96" s="99" t="str">
        <f>HYPERLINK("https://yt3.ggpht.com/a/AATXAJybd_ASMPZy3KGK8wTwwI7wTboK6UtTgV2HLw=s88-c-k-c0xffffffff-no-rj-mo")</f>
        <v>https://yt3.ggpht.com/a/AATXAJybd_ASMPZy3KGK8wTwwI7wTboK6UtTgV2HLw=s88-c-k-c0xffffffff-no-rj-mo</v>
      </c>
      <c r="G96" s="66"/>
      <c r="H96" s="70" t="s">
        <v>644</v>
      </c>
      <c r="I96" s="71"/>
      <c r="J96" s="71"/>
      <c r="K96" s="70" t="s">
        <v>644</v>
      </c>
      <c r="L96" s="74">
        <v>1</v>
      </c>
      <c r="M96" s="75">
        <v>6018.50634765625</v>
      </c>
      <c r="N96" s="75">
        <v>7094.666015625</v>
      </c>
      <c r="O96" s="76"/>
      <c r="P96" s="77"/>
      <c r="Q96" s="77"/>
      <c r="R96" s="85"/>
      <c r="S96" s="48">
        <v>0</v>
      </c>
      <c r="T96" s="48">
        <v>1</v>
      </c>
      <c r="U96" s="49">
        <v>0</v>
      </c>
      <c r="V96" s="49">
        <v>0.037037</v>
      </c>
      <c r="W96" s="49">
        <v>9.8E-05</v>
      </c>
      <c r="X96" s="49">
        <v>0.585868</v>
      </c>
      <c r="Y96" s="49">
        <v>0</v>
      </c>
      <c r="Z96" s="49">
        <v>0</v>
      </c>
      <c r="AA96" s="72">
        <v>96</v>
      </c>
      <c r="AB96" s="72"/>
      <c r="AC96" s="73"/>
      <c r="AD96" s="79" t="s">
        <v>644</v>
      </c>
      <c r="AE96" s="79" t="s">
        <v>946</v>
      </c>
      <c r="AF96" s="79"/>
      <c r="AG96" s="79"/>
      <c r="AH96" s="79"/>
      <c r="AI96" s="79" t="s">
        <v>644</v>
      </c>
      <c r="AJ96" s="83">
        <v>42663.31789351852</v>
      </c>
      <c r="AK96" s="81" t="str">
        <f>HYPERLINK("https://yt3.ggpht.com/a/AATXAJybd_ASMPZy3KGK8wTwwI7wTboK6UtTgV2HLw=s88-c-k-c0xffffffff-no-rj-mo")</f>
        <v>https://yt3.ggpht.com/a/AATXAJybd_ASMPZy3KGK8wTwwI7wTboK6UtTgV2HLw=s88-c-k-c0xffffffff-no-rj-mo</v>
      </c>
      <c r="AL96" s="79">
        <v>577062</v>
      </c>
      <c r="AM96" s="79">
        <v>0</v>
      </c>
      <c r="AN96" s="79">
        <v>2170</v>
      </c>
      <c r="AO96" s="79" t="b">
        <v>0</v>
      </c>
      <c r="AP96" s="79">
        <v>108</v>
      </c>
      <c r="AQ96" s="79"/>
      <c r="AR96" s="79"/>
      <c r="AS96" s="79" t="s">
        <v>1028</v>
      </c>
      <c r="AT96" s="81" t="str">
        <f>HYPERLINK("https://www.youtube.com/channel/UCvCl2Tlsxc1QLs7kDTfNY2g")</f>
        <v>https://www.youtube.com/channel/UCvCl2Tlsxc1QLs7kDTfNY2g</v>
      </c>
      <c r="AU96" s="79" t="str">
        <f>REPLACE(INDEX(GroupVertices[Group],MATCH(Vertices[[#This Row],[Vertex]],GroupVertices[Vertex],0)),1,1,"")</f>
        <v>4</v>
      </c>
      <c r="AV96" s="48">
        <v>3</v>
      </c>
      <c r="AW96" s="49">
        <v>6.382978723404255</v>
      </c>
      <c r="AX96" s="48">
        <v>0</v>
      </c>
      <c r="AY96" s="49">
        <v>0</v>
      </c>
      <c r="AZ96" s="48">
        <v>0</v>
      </c>
      <c r="BA96" s="49">
        <v>0</v>
      </c>
      <c r="BB96" s="48">
        <v>44</v>
      </c>
      <c r="BC96" s="49">
        <v>93.61702127659575</v>
      </c>
      <c r="BD96" s="48">
        <v>47</v>
      </c>
      <c r="BE96" s="48" t="s">
        <v>1475</v>
      </c>
      <c r="BF96" s="48" t="s">
        <v>1475</v>
      </c>
      <c r="BG96" s="48" t="s">
        <v>812</v>
      </c>
      <c r="BH96" s="48" t="s">
        <v>812</v>
      </c>
      <c r="BI96" s="48"/>
      <c r="BJ96" s="48"/>
      <c r="BK96" s="121" t="s">
        <v>1735</v>
      </c>
      <c r="BL96" s="121" t="s">
        <v>1735</v>
      </c>
      <c r="BM96" s="121" t="s">
        <v>1857</v>
      </c>
      <c r="BN96" s="121" t="s">
        <v>1857</v>
      </c>
      <c r="BO96" s="2"/>
      <c r="BP96" s="3"/>
      <c r="BQ96" s="3"/>
      <c r="BR96" s="3"/>
      <c r="BS96" s="3"/>
    </row>
    <row r="97" spans="1:71" ht="15">
      <c r="A97" s="65" t="s">
        <v>304</v>
      </c>
      <c r="B97" s="66"/>
      <c r="C97" s="66"/>
      <c r="D97" s="67">
        <v>600</v>
      </c>
      <c r="E97" s="69"/>
      <c r="F97" s="99" t="str">
        <f>HYPERLINK("https://yt3.ggpht.com/a/AATXAJzH4KLZ8KuM5amJlhKFRjzjtgIPZOi3uM1qwA=s88-c-k-c0xffffffff-no-rj-mo")</f>
        <v>https://yt3.ggpht.com/a/AATXAJzH4KLZ8KuM5amJlhKFRjzjtgIPZOi3uM1qwA=s88-c-k-c0xffffffff-no-rj-mo</v>
      </c>
      <c r="G97" s="66"/>
      <c r="H97" s="70" t="s">
        <v>645</v>
      </c>
      <c r="I97" s="71"/>
      <c r="J97" s="71"/>
      <c r="K97" s="70" t="s">
        <v>645</v>
      </c>
      <c r="L97" s="74">
        <v>909.9090909090909</v>
      </c>
      <c r="M97" s="75">
        <v>6624.6103515625</v>
      </c>
      <c r="N97" s="75">
        <v>7874.130859375</v>
      </c>
      <c r="O97" s="76"/>
      <c r="P97" s="77"/>
      <c r="Q97" s="77"/>
      <c r="R97" s="85"/>
      <c r="S97" s="48">
        <v>1</v>
      </c>
      <c r="T97" s="48">
        <v>1</v>
      </c>
      <c r="U97" s="49">
        <v>18</v>
      </c>
      <c r="V97" s="49">
        <v>0.055556</v>
      </c>
      <c r="W97" s="49">
        <v>0.000317</v>
      </c>
      <c r="X97" s="49">
        <v>1.025573</v>
      </c>
      <c r="Y97" s="49">
        <v>0</v>
      </c>
      <c r="Z97" s="49">
        <v>0</v>
      </c>
      <c r="AA97" s="72">
        <v>97</v>
      </c>
      <c r="AB97" s="72"/>
      <c r="AC97" s="73"/>
      <c r="AD97" s="79" t="s">
        <v>645</v>
      </c>
      <c r="AE97" s="79"/>
      <c r="AF97" s="79"/>
      <c r="AG97" s="79"/>
      <c r="AH97" s="79"/>
      <c r="AI97" s="79"/>
      <c r="AJ97" s="83">
        <v>43205.42901620371</v>
      </c>
      <c r="AK97" s="81" t="str">
        <f>HYPERLINK("https://yt3.ggpht.com/a/AATXAJzH4KLZ8KuM5amJlhKFRjzjtgIPZOi3uM1qwA=s88-c-k-c0xffffffff-no-rj-mo")</f>
        <v>https://yt3.ggpht.com/a/AATXAJzH4KLZ8KuM5amJlhKFRjzjtgIPZOi3uM1qwA=s88-c-k-c0xffffffff-no-rj-mo</v>
      </c>
      <c r="AL97" s="79">
        <v>0</v>
      </c>
      <c r="AM97" s="79">
        <v>0</v>
      </c>
      <c r="AN97" s="79">
        <v>0</v>
      </c>
      <c r="AO97" s="79" t="b">
        <v>0</v>
      </c>
      <c r="AP97" s="79">
        <v>0</v>
      </c>
      <c r="AQ97" s="79"/>
      <c r="AR97" s="79"/>
      <c r="AS97" s="79" t="s">
        <v>1028</v>
      </c>
      <c r="AT97" s="81" t="str">
        <f>HYPERLINK("https://www.youtube.com/channel/UC9ALNzhWRFgVrV0OAg_AmVw")</f>
        <v>https://www.youtube.com/channel/UC9ALNzhWRFgVrV0OAg_AmVw</v>
      </c>
      <c r="AU97" s="79" t="str">
        <f>REPLACE(INDEX(GroupVertices[Group],MATCH(Vertices[[#This Row],[Vertex]],GroupVertices[Vertex],0)),1,1,"")</f>
        <v>4</v>
      </c>
      <c r="AV97" s="48">
        <v>0</v>
      </c>
      <c r="AW97" s="49">
        <v>0</v>
      </c>
      <c r="AX97" s="48">
        <v>0</v>
      </c>
      <c r="AY97" s="49">
        <v>0</v>
      </c>
      <c r="AZ97" s="48">
        <v>0</v>
      </c>
      <c r="BA97" s="49">
        <v>0</v>
      </c>
      <c r="BB97" s="48">
        <v>7</v>
      </c>
      <c r="BC97" s="49">
        <v>100</v>
      </c>
      <c r="BD97" s="48">
        <v>7</v>
      </c>
      <c r="BE97" s="48"/>
      <c r="BF97" s="48"/>
      <c r="BG97" s="48"/>
      <c r="BH97" s="48"/>
      <c r="BI97" s="48"/>
      <c r="BJ97" s="48"/>
      <c r="BK97" s="121" t="s">
        <v>1736</v>
      </c>
      <c r="BL97" s="121" t="s">
        <v>1736</v>
      </c>
      <c r="BM97" s="121" t="s">
        <v>1858</v>
      </c>
      <c r="BN97" s="121" t="s">
        <v>1858</v>
      </c>
      <c r="BO97" s="2"/>
      <c r="BP97" s="3"/>
      <c r="BQ97" s="3"/>
      <c r="BR97" s="3"/>
      <c r="BS97" s="3"/>
    </row>
    <row r="98" spans="1:71" ht="15">
      <c r="A98" s="65" t="s">
        <v>305</v>
      </c>
      <c r="B98" s="66"/>
      <c r="C98" s="66"/>
      <c r="D98" s="67">
        <v>600</v>
      </c>
      <c r="E98" s="69"/>
      <c r="F98" s="99" t="str">
        <f>HYPERLINK("https://yt3.ggpht.com/a/AATXAJynEOMlJxIAKVKttrKZX2BIfkCRpkGHmVTogg=s88-c-k-c0xffffffff-no-rj-mo")</f>
        <v>https://yt3.ggpht.com/a/AATXAJynEOMlJxIAKVKttrKZX2BIfkCRpkGHmVTogg=s88-c-k-c0xffffffff-no-rj-mo</v>
      </c>
      <c r="G98" s="66"/>
      <c r="H98" s="70" t="s">
        <v>646</v>
      </c>
      <c r="I98" s="71"/>
      <c r="J98" s="71"/>
      <c r="K98" s="70" t="s">
        <v>646</v>
      </c>
      <c r="L98" s="74">
        <v>909.9090909090909</v>
      </c>
      <c r="M98" s="75">
        <v>7999.26025390625</v>
      </c>
      <c r="N98" s="75">
        <v>7873.98046875</v>
      </c>
      <c r="O98" s="76"/>
      <c r="P98" s="77"/>
      <c r="Q98" s="77"/>
      <c r="R98" s="85"/>
      <c r="S98" s="48">
        <v>1</v>
      </c>
      <c r="T98" s="48">
        <v>1</v>
      </c>
      <c r="U98" s="49">
        <v>0</v>
      </c>
      <c r="V98" s="49">
        <v>0.05</v>
      </c>
      <c r="W98" s="49">
        <v>0.000287</v>
      </c>
      <c r="X98" s="49">
        <v>0.527585</v>
      </c>
      <c r="Y98" s="49">
        <v>0</v>
      </c>
      <c r="Z98" s="49">
        <v>1</v>
      </c>
      <c r="AA98" s="72">
        <v>98</v>
      </c>
      <c r="AB98" s="72"/>
      <c r="AC98" s="73"/>
      <c r="AD98" s="79" t="s">
        <v>646</v>
      </c>
      <c r="AE98" s="79"/>
      <c r="AF98" s="79"/>
      <c r="AG98" s="79"/>
      <c r="AH98" s="79"/>
      <c r="AI98" s="79"/>
      <c r="AJ98" s="83">
        <v>41999.429456018515</v>
      </c>
      <c r="AK98" s="81" t="str">
        <f>HYPERLINK("https://yt3.ggpht.com/a/AATXAJynEOMlJxIAKVKttrKZX2BIfkCRpkGHmVTogg=s88-c-k-c0xffffffff-no-rj-mo")</f>
        <v>https://yt3.ggpht.com/a/AATXAJynEOMlJxIAKVKttrKZX2BIfkCRpkGHmVTogg=s88-c-k-c0xffffffff-no-rj-mo</v>
      </c>
      <c r="AL98" s="79">
        <v>0</v>
      </c>
      <c r="AM98" s="79">
        <v>0</v>
      </c>
      <c r="AN98" s="79">
        <v>0</v>
      </c>
      <c r="AO98" s="79" t="b">
        <v>0</v>
      </c>
      <c r="AP98" s="79">
        <v>0</v>
      </c>
      <c r="AQ98" s="79"/>
      <c r="AR98" s="79"/>
      <c r="AS98" s="79" t="s">
        <v>1028</v>
      </c>
      <c r="AT98" s="81" t="str">
        <f>HYPERLINK("https://www.youtube.com/channel/UCY0421BUY-kaz8BnYPI3LhQ")</f>
        <v>https://www.youtube.com/channel/UCY0421BUY-kaz8BnYPI3LhQ</v>
      </c>
      <c r="AU98" s="79" t="str">
        <f>REPLACE(INDEX(GroupVertices[Group],MATCH(Vertices[[#This Row],[Vertex]],GroupVertices[Vertex],0)),1,1,"")</f>
        <v>4</v>
      </c>
      <c r="AV98" s="48">
        <v>4</v>
      </c>
      <c r="AW98" s="49">
        <v>10.256410256410257</v>
      </c>
      <c r="AX98" s="48">
        <v>0</v>
      </c>
      <c r="AY98" s="49">
        <v>0</v>
      </c>
      <c r="AZ98" s="48">
        <v>0</v>
      </c>
      <c r="BA98" s="49">
        <v>0</v>
      </c>
      <c r="BB98" s="48">
        <v>35</v>
      </c>
      <c r="BC98" s="49">
        <v>89.74358974358974</v>
      </c>
      <c r="BD98" s="48">
        <v>39</v>
      </c>
      <c r="BE98" s="48"/>
      <c r="BF98" s="48"/>
      <c r="BG98" s="48"/>
      <c r="BH98" s="48"/>
      <c r="BI98" s="48"/>
      <c r="BJ98" s="48"/>
      <c r="BK98" s="121" t="s">
        <v>1737</v>
      </c>
      <c r="BL98" s="121" t="s">
        <v>1737</v>
      </c>
      <c r="BM98" s="121" t="s">
        <v>1859</v>
      </c>
      <c r="BN98" s="121" t="s">
        <v>1859</v>
      </c>
      <c r="BO98" s="2"/>
      <c r="BP98" s="3"/>
      <c r="BQ98" s="3"/>
      <c r="BR98" s="3"/>
      <c r="BS98" s="3"/>
    </row>
    <row r="99" spans="1:71" ht="15">
      <c r="A99" s="65" t="s">
        <v>306</v>
      </c>
      <c r="B99" s="66"/>
      <c r="C99" s="66"/>
      <c r="D99" s="67">
        <v>600</v>
      </c>
      <c r="E99" s="69"/>
      <c r="F99" s="99" t="str">
        <f>HYPERLINK("https://yt3.ggpht.com/a/AATXAJzR90rf_EBNT5hv_CY8qulbihWW85SZ-dGnuQ=s88-c-k-c0xffffffff-no-rj-mo")</f>
        <v>https://yt3.ggpht.com/a/AATXAJzR90rf_EBNT5hv_CY8qulbihWW85SZ-dGnuQ=s88-c-k-c0xffffffff-no-rj-mo</v>
      </c>
      <c r="G99" s="66"/>
      <c r="H99" s="70" t="s">
        <v>647</v>
      </c>
      <c r="I99" s="71"/>
      <c r="J99" s="71"/>
      <c r="K99" s="70" t="s">
        <v>647</v>
      </c>
      <c r="L99" s="74">
        <v>909.9090909090909</v>
      </c>
      <c r="M99" s="75">
        <v>7703.892578125</v>
      </c>
      <c r="N99" s="75">
        <v>9790.447265625</v>
      </c>
      <c r="O99" s="76"/>
      <c r="P99" s="77"/>
      <c r="Q99" s="77"/>
      <c r="R99" s="85"/>
      <c r="S99" s="48">
        <v>1</v>
      </c>
      <c r="T99" s="48">
        <v>1</v>
      </c>
      <c r="U99" s="49">
        <v>0</v>
      </c>
      <c r="V99" s="49">
        <v>0.05</v>
      </c>
      <c r="W99" s="49">
        <v>0.000287</v>
      </c>
      <c r="X99" s="49">
        <v>0.527585</v>
      </c>
      <c r="Y99" s="49">
        <v>0</v>
      </c>
      <c r="Z99" s="49">
        <v>1</v>
      </c>
      <c r="AA99" s="72">
        <v>99</v>
      </c>
      <c r="AB99" s="72"/>
      <c r="AC99" s="73"/>
      <c r="AD99" s="79" t="s">
        <v>647</v>
      </c>
      <c r="AE99" s="79"/>
      <c r="AF99" s="79"/>
      <c r="AG99" s="79"/>
      <c r="AH99" s="79"/>
      <c r="AI99" s="79"/>
      <c r="AJ99" s="83">
        <v>42500.531851851854</v>
      </c>
      <c r="AK99" s="81" t="str">
        <f>HYPERLINK("https://yt3.ggpht.com/a/AATXAJzR90rf_EBNT5hv_CY8qulbihWW85SZ-dGnuQ=s88-c-k-c0xffffffff-no-rj-mo")</f>
        <v>https://yt3.ggpht.com/a/AATXAJzR90rf_EBNT5hv_CY8qulbihWW85SZ-dGnuQ=s88-c-k-c0xffffffff-no-rj-mo</v>
      </c>
      <c r="AL99" s="79">
        <v>0</v>
      </c>
      <c r="AM99" s="79">
        <v>0</v>
      </c>
      <c r="AN99" s="79">
        <v>0</v>
      </c>
      <c r="AO99" s="79" t="b">
        <v>0</v>
      </c>
      <c r="AP99" s="79">
        <v>0</v>
      </c>
      <c r="AQ99" s="79"/>
      <c r="AR99" s="79"/>
      <c r="AS99" s="79" t="s">
        <v>1028</v>
      </c>
      <c r="AT99" s="81" t="str">
        <f>HYPERLINK("https://www.youtube.com/channel/UCyqTrRZ04SxeiFtYRkWmnUA")</f>
        <v>https://www.youtube.com/channel/UCyqTrRZ04SxeiFtYRkWmnUA</v>
      </c>
      <c r="AU99" s="79" t="str">
        <f>REPLACE(INDEX(GroupVertices[Group],MATCH(Vertices[[#This Row],[Vertex]],GroupVertices[Vertex],0)),1,1,"")</f>
        <v>4</v>
      </c>
      <c r="AV99" s="48">
        <v>0</v>
      </c>
      <c r="AW99" s="49">
        <v>0</v>
      </c>
      <c r="AX99" s="48">
        <v>0</v>
      </c>
      <c r="AY99" s="49">
        <v>0</v>
      </c>
      <c r="AZ99" s="48">
        <v>0</v>
      </c>
      <c r="BA99" s="49">
        <v>0</v>
      </c>
      <c r="BB99" s="48">
        <v>7</v>
      </c>
      <c r="BC99" s="49">
        <v>100</v>
      </c>
      <c r="BD99" s="48">
        <v>7</v>
      </c>
      <c r="BE99" s="48"/>
      <c r="BF99" s="48"/>
      <c r="BG99" s="48"/>
      <c r="BH99" s="48"/>
      <c r="BI99" s="48"/>
      <c r="BJ99" s="48"/>
      <c r="BK99" s="121" t="s">
        <v>1738</v>
      </c>
      <c r="BL99" s="121" t="s">
        <v>1738</v>
      </c>
      <c r="BM99" s="121" t="s">
        <v>1860</v>
      </c>
      <c r="BN99" s="121" t="s">
        <v>1860</v>
      </c>
      <c r="BO99" s="2"/>
      <c r="BP99" s="3"/>
      <c r="BQ99" s="3"/>
      <c r="BR99" s="3"/>
      <c r="BS99" s="3"/>
    </row>
    <row r="100" spans="1:71" ht="15">
      <c r="A100" s="65" t="s">
        <v>307</v>
      </c>
      <c r="B100" s="66"/>
      <c r="C100" s="66"/>
      <c r="D100" s="67">
        <v>600</v>
      </c>
      <c r="E100" s="69"/>
      <c r="F100" s="99" t="str">
        <f>HYPERLINK("https://yt3.ggpht.com/a/AATXAJw0-Ot-KAjiF4m-1m9PU8Q9JhS_gGffeO124w=s88-c-k-c0xffffffff-no-rj-mo")</f>
        <v>https://yt3.ggpht.com/a/AATXAJw0-Ot-KAjiF4m-1m9PU8Q9JhS_gGffeO124w=s88-c-k-c0xffffffff-no-rj-mo</v>
      </c>
      <c r="G100" s="66"/>
      <c r="H100" s="70" t="s">
        <v>648</v>
      </c>
      <c r="I100" s="71"/>
      <c r="J100" s="71"/>
      <c r="K100" s="70" t="s">
        <v>648</v>
      </c>
      <c r="L100" s="74">
        <v>909.9090909090909</v>
      </c>
      <c r="M100" s="75">
        <v>6539.68505859375</v>
      </c>
      <c r="N100" s="75">
        <v>9505.0537109375</v>
      </c>
      <c r="O100" s="76"/>
      <c r="P100" s="77"/>
      <c r="Q100" s="77"/>
      <c r="R100" s="85"/>
      <c r="S100" s="48">
        <v>1</v>
      </c>
      <c r="T100" s="48">
        <v>1</v>
      </c>
      <c r="U100" s="49">
        <v>0</v>
      </c>
      <c r="V100" s="49">
        <v>0.05</v>
      </c>
      <c r="W100" s="49">
        <v>0.000287</v>
      </c>
      <c r="X100" s="49">
        <v>0.527585</v>
      </c>
      <c r="Y100" s="49">
        <v>0</v>
      </c>
      <c r="Z100" s="49">
        <v>1</v>
      </c>
      <c r="AA100" s="72">
        <v>100</v>
      </c>
      <c r="AB100" s="72"/>
      <c r="AC100" s="73"/>
      <c r="AD100" s="79" t="s">
        <v>648</v>
      </c>
      <c r="AE100" s="79"/>
      <c r="AF100" s="79"/>
      <c r="AG100" s="79"/>
      <c r="AH100" s="79"/>
      <c r="AI100" s="79"/>
      <c r="AJ100" s="83">
        <v>40201.707453703704</v>
      </c>
      <c r="AK100" s="81" t="str">
        <f>HYPERLINK("https://yt3.ggpht.com/a/AATXAJw0-Ot-KAjiF4m-1m9PU8Q9JhS_gGffeO124w=s88-c-k-c0xffffffff-no-rj-mo")</f>
        <v>https://yt3.ggpht.com/a/AATXAJw0-Ot-KAjiF4m-1m9PU8Q9JhS_gGffeO124w=s88-c-k-c0xffffffff-no-rj-mo</v>
      </c>
      <c r="AL100" s="79">
        <v>47</v>
      </c>
      <c r="AM100" s="79">
        <v>0</v>
      </c>
      <c r="AN100" s="79">
        <v>1</v>
      </c>
      <c r="AO100" s="79" t="b">
        <v>0</v>
      </c>
      <c r="AP100" s="79">
        <v>1</v>
      </c>
      <c r="AQ100" s="79"/>
      <c r="AR100" s="79"/>
      <c r="AS100" s="79" t="s">
        <v>1028</v>
      </c>
      <c r="AT100" s="81" t="str">
        <f>HYPERLINK("https://www.youtube.com/channel/UCMMs7TOs0jsoaZ5TdXOixaw")</f>
        <v>https://www.youtube.com/channel/UCMMs7TOs0jsoaZ5TdXOixaw</v>
      </c>
      <c r="AU100" s="79" t="str">
        <f>REPLACE(INDEX(GroupVertices[Group],MATCH(Vertices[[#This Row],[Vertex]],GroupVertices[Vertex],0)),1,1,"")</f>
        <v>4</v>
      </c>
      <c r="AV100" s="48">
        <v>2</v>
      </c>
      <c r="AW100" s="49">
        <v>6.451612903225806</v>
      </c>
      <c r="AX100" s="48">
        <v>0</v>
      </c>
      <c r="AY100" s="49">
        <v>0</v>
      </c>
      <c r="AZ100" s="48">
        <v>0</v>
      </c>
      <c r="BA100" s="49">
        <v>0</v>
      </c>
      <c r="BB100" s="48">
        <v>29</v>
      </c>
      <c r="BC100" s="49">
        <v>93.54838709677419</v>
      </c>
      <c r="BD100" s="48">
        <v>31</v>
      </c>
      <c r="BE100" s="48"/>
      <c r="BF100" s="48"/>
      <c r="BG100" s="48"/>
      <c r="BH100" s="48"/>
      <c r="BI100" s="48"/>
      <c r="BJ100" s="48"/>
      <c r="BK100" s="121" t="s">
        <v>1739</v>
      </c>
      <c r="BL100" s="121" t="s">
        <v>1739</v>
      </c>
      <c r="BM100" s="121" t="s">
        <v>1861</v>
      </c>
      <c r="BN100" s="121" t="s">
        <v>1861</v>
      </c>
      <c r="BO100" s="2"/>
      <c r="BP100" s="3"/>
      <c r="BQ100" s="3"/>
      <c r="BR100" s="3"/>
      <c r="BS100" s="3"/>
    </row>
    <row r="101" spans="1:71" ht="15">
      <c r="A101" s="65" t="s">
        <v>308</v>
      </c>
      <c r="B101" s="66"/>
      <c r="C101" s="66"/>
      <c r="D101" s="67">
        <v>1000</v>
      </c>
      <c r="E101" s="69"/>
      <c r="F101" s="99" t="str">
        <f>HYPERLINK("https://yt3.ggpht.com/a/AATXAJzRGLlGWm3PrCvRosaOsU5tEnkhM6MZ2Nh3Sw=s88-c-k-c0xffffffff-no-rj-mo")</f>
        <v>https://yt3.ggpht.com/a/AATXAJzRGLlGWm3PrCvRosaOsU5tEnkhM6MZ2Nh3Sw=s88-c-k-c0xffffffff-no-rj-mo</v>
      </c>
      <c r="G101" s="66"/>
      <c r="H101" s="70" t="s">
        <v>649</v>
      </c>
      <c r="I101" s="71"/>
      <c r="J101" s="71"/>
      <c r="K101" s="70" t="s">
        <v>649</v>
      </c>
      <c r="L101" s="74">
        <v>1818.8181818181818</v>
      </c>
      <c r="M101" s="75">
        <v>6438.39013671875</v>
      </c>
      <c r="N101" s="75">
        <v>8806.4697265625</v>
      </c>
      <c r="O101" s="76"/>
      <c r="P101" s="77"/>
      <c r="Q101" s="77"/>
      <c r="R101" s="85"/>
      <c r="S101" s="48">
        <v>2</v>
      </c>
      <c r="T101" s="48">
        <v>2</v>
      </c>
      <c r="U101" s="49">
        <v>0</v>
      </c>
      <c r="V101" s="49">
        <v>0.05</v>
      </c>
      <c r="W101" s="49">
        <v>0.000415</v>
      </c>
      <c r="X101" s="49">
        <v>0.917539</v>
      </c>
      <c r="Y101" s="49">
        <v>0</v>
      </c>
      <c r="Z101" s="49">
        <v>1</v>
      </c>
      <c r="AA101" s="72">
        <v>101</v>
      </c>
      <c r="AB101" s="72"/>
      <c r="AC101" s="73"/>
      <c r="AD101" s="79" t="s">
        <v>649</v>
      </c>
      <c r="AE101" s="79"/>
      <c r="AF101" s="79"/>
      <c r="AG101" s="79"/>
      <c r="AH101" s="79"/>
      <c r="AI101" s="79"/>
      <c r="AJ101" s="83">
        <v>41526.254965277774</v>
      </c>
      <c r="AK101" s="81" t="str">
        <f>HYPERLINK("https://yt3.ggpht.com/a/AATXAJzRGLlGWm3PrCvRosaOsU5tEnkhM6MZ2Nh3Sw=s88-c-k-c0xffffffff-no-rj-mo")</f>
        <v>https://yt3.ggpht.com/a/AATXAJzRGLlGWm3PrCvRosaOsU5tEnkhM6MZ2Nh3Sw=s88-c-k-c0xffffffff-no-rj-mo</v>
      </c>
      <c r="AL101" s="79">
        <v>90</v>
      </c>
      <c r="AM101" s="79">
        <v>0</v>
      </c>
      <c r="AN101" s="79">
        <v>0</v>
      </c>
      <c r="AO101" s="79" t="b">
        <v>0</v>
      </c>
      <c r="AP101" s="79">
        <v>12</v>
      </c>
      <c r="AQ101" s="79"/>
      <c r="AR101" s="79"/>
      <c r="AS101" s="79" t="s">
        <v>1028</v>
      </c>
      <c r="AT101" s="81" t="str">
        <f>HYPERLINK("https://www.youtube.com/channel/UCLTL0rIRyH694XlOLtVr63Q")</f>
        <v>https://www.youtube.com/channel/UCLTL0rIRyH694XlOLtVr63Q</v>
      </c>
      <c r="AU101" s="79" t="str">
        <f>REPLACE(INDEX(GroupVertices[Group],MATCH(Vertices[[#This Row],[Vertex]],GroupVertices[Vertex],0)),1,1,"")</f>
        <v>4</v>
      </c>
      <c r="AV101" s="48">
        <v>2</v>
      </c>
      <c r="AW101" s="49">
        <v>10.526315789473685</v>
      </c>
      <c r="AX101" s="48">
        <v>0</v>
      </c>
      <c r="AY101" s="49">
        <v>0</v>
      </c>
      <c r="AZ101" s="48">
        <v>0</v>
      </c>
      <c r="BA101" s="49">
        <v>0</v>
      </c>
      <c r="BB101" s="48">
        <v>17</v>
      </c>
      <c r="BC101" s="49">
        <v>89.47368421052632</v>
      </c>
      <c r="BD101" s="48">
        <v>19</v>
      </c>
      <c r="BE101" s="48"/>
      <c r="BF101" s="48"/>
      <c r="BG101" s="48"/>
      <c r="BH101" s="48"/>
      <c r="BI101" s="48"/>
      <c r="BJ101" s="48"/>
      <c r="BK101" s="121" t="s">
        <v>1740</v>
      </c>
      <c r="BL101" s="121" t="s">
        <v>1740</v>
      </c>
      <c r="BM101" s="121" t="s">
        <v>1862</v>
      </c>
      <c r="BN101" s="121" t="s">
        <v>1862</v>
      </c>
      <c r="BO101" s="2"/>
      <c r="BP101" s="3"/>
      <c r="BQ101" s="3"/>
      <c r="BR101" s="3"/>
      <c r="BS101" s="3"/>
    </row>
    <row r="102" spans="1:71" ht="15">
      <c r="A102" s="65" t="s">
        <v>309</v>
      </c>
      <c r="B102" s="66"/>
      <c r="C102" s="66"/>
      <c r="D102" s="67">
        <v>600</v>
      </c>
      <c r="E102" s="69"/>
      <c r="F102" s="99" t="str">
        <f>HYPERLINK("https://yt3.ggpht.com/a/AATXAJzAwwItTRFL253UaMJjhgMA_uce94hcJCrlmA=s88-c-k-c0xffffffff-no-rj-mo")</f>
        <v>https://yt3.ggpht.com/a/AATXAJzAwwItTRFL253UaMJjhgMA_uce94hcJCrlmA=s88-c-k-c0xffffffff-no-rj-mo</v>
      </c>
      <c r="G102" s="66"/>
      <c r="H102" s="70" t="s">
        <v>650</v>
      </c>
      <c r="I102" s="71"/>
      <c r="J102" s="71"/>
      <c r="K102" s="70" t="s">
        <v>650</v>
      </c>
      <c r="L102" s="74">
        <v>909.9090909090909</v>
      </c>
      <c r="M102" s="75">
        <v>7414.0478515625</v>
      </c>
      <c r="N102" s="75">
        <v>7714.42041015625</v>
      </c>
      <c r="O102" s="76"/>
      <c r="P102" s="77"/>
      <c r="Q102" s="77"/>
      <c r="R102" s="85"/>
      <c r="S102" s="48">
        <v>1</v>
      </c>
      <c r="T102" s="48">
        <v>1</v>
      </c>
      <c r="U102" s="49">
        <v>0</v>
      </c>
      <c r="V102" s="49">
        <v>0.05</v>
      </c>
      <c r="W102" s="49">
        <v>0.000287</v>
      </c>
      <c r="X102" s="49">
        <v>0.527585</v>
      </c>
      <c r="Y102" s="49">
        <v>0</v>
      </c>
      <c r="Z102" s="49">
        <v>1</v>
      </c>
      <c r="AA102" s="72">
        <v>102</v>
      </c>
      <c r="AB102" s="72"/>
      <c r="AC102" s="73"/>
      <c r="AD102" s="79" t="s">
        <v>650</v>
      </c>
      <c r="AE102" s="79"/>
      <c r="AF102" s="79"/>
      <c r="AG102" s="79"/>
      <c r="AH102" s="79"/>
      <c r="AI102" s="79"/>
      <c r="AJ102" s="83">
        <v>41827.269166666665</v>
      </c>
      <c r="AK102" s="81" t="str">
        <f>HYPERLINK("https://yt3.ggpht.com/a/AATXAJzAwwItTRFL253UaMJjhgMA_uce94hcJCrlmA=s88-c-k-c0xffffffff-no-rj-mo")</f>
        <v>https://yt3.ggpht.com/a/AATXAJzAwwItTRFL253UaMJjhgMA_uce94hcJCrlmA=s88-c-k-c0xffffffff-no-rj-mo</v>
      </c>
      <c r="AL102" s="79">
        <v>0</v>
      </c>
      <c r="AM102" s="79">
        <v>0</v>
      </c>
      <c r="AN102" s="79">
        <v>0</v>
      </c>
      <c r="AO102" s="79" t="b">
        <v>0</v>
      </c>
      <c r="AP102" s="79">
        <v>0</v>
      </c>
      <c r="AQ102" s="79"/>
      <c r="AR102" s="79"/>
      <c r="AS102" s="79" t="s">
        <v>1028</v>
      </c>
      <c r="AT102" s="81" t="str">
        <f>HYPERLINK("https://www.youtube.com/channel/UCkTfNFxLWpU1bsaNRynVZgQ")</f>
        <v>https://www.youtube.com/channel/UCkTfNFxLWpU1bsaNRynVZgQ</v>
      </c>
      <c r="AU102" s="79" t="str">
        <f>REPLACE(INDEX(GroupVertices[Group],MATCH(Vertices[[#This Row],[Vertex]],GroupVertices[Vertex],0)),1,1,"")</f>
        <v>4</v>
      </c>
      <c r="AV102" s="48">
        <v>1</v>
      </c>
      <c r="AW102" s="49">
        <v>5</v>
      </c>
      <c r="AX102" s="48">
        <v>1</v>
      </c>
      <c r="AY102" s="49">
        <v>5</v>
      </c>
      <c r="AZ102" s="48">
        <v>0</v>
      </c>
      <c r="BA102" s="49">
        <v>0</v>
      </c>
      <c r="BB102" s="48">
        <v>18</v>
      </c>
      <c r="BC102" s="49">
        <v>90</v>
      </c>
      <c r="BD102" s="48">
        <v>20</v>
      </c>
      <c r="BE102" s="48"/>
      <c r="BF102" s="48"/>
      <c r="BG102" s="48"/>
      <c r="BH102" s="48"/>
      <c r="BI102" s="48"/>
      <c r="BJ102" s="48"/>
      <c r="BK102" s="121" t="s">
        <v>1741</v>
      </c>
      <c r="BL102" s="121" t="s">
        <v>1741</v>
      </c>
      <c r="BM102" s="121" t="s">
        <v>1863</v>
      </c>
      <c r="BN102" s="121" t="s">
        <v>1863</v>
      </c>
      <c r="BO102" s="2"/>
      <c r="BP102" s="3"/>
      <c r="BQ102" s="3"/>
      <c r="BR102" s="3"/>
      <c r="BS102" s="3"/>
    </row>
    <row r="103" spans="1:71" ht="15">
      <c r="A103" s="65" t="s">
        <v>310</v>
      </c>
      <c r="B103" s="66"/>
      <c r="C103" s="66"/>
      <c r="D103" s="67">
        <v>1000</v>
      </c>
      <c r="E103" s="69"/>
      <c r="F103" s="99" t="str">
        <f>HYPERLINK("https://yt3.ggpht.com/a/AATXAJwJXCKgmpojzUgRmAkW0Hiut5OjTPwHOBKusg=s88-c-k-c0xffffffff-no-rj-mo")</f>
        <v>https://yt3.ggpht.com/a/AATXAJwJXCKgmpojzUgRmAkW0Hiut5OjTPwHOBKusg=s88-c-k-c0xffffffff-no-rj-mo</v>
      </c>
      <c r="G103" s="66"/>
      <c r="H103" s="70" t="s">
        <v>651</v>
      </c>
      <c r="I103" s="71"/>
      <c r="J103" s="71"/>
      <c r="K103" s="70" t="s">
        <v>651</v>
      </c>
      <c r="L103" s="74">
        <v>2727.7272727272725</v>
      </c>
      <c r="M103" s="75">
        <v>4379.39208984375</v>
      </c>
      <c r="N103" s="75">
        <v>7853.99560546875</v>
      </c>
      <c r="O103" s="76"/>
      <c r="P103" s="77"/>
      <c r="Q103" s="77"/>
      <c r="R103" s="85"/>
      <c r="S103" s="48">
        <v>3</v>
      </c>
      <c r="T103" s="48">
        <v>2</v>
      </c>
      <c r="U103" s="49">
        <v>62</v>
      </c>
      <c r="V103" s="49">
        <v>0.038462</v>
      </c>
      <c r="W103" s="49">
        <v>1E-06</v>
      </c>
      <c r="X103" s="49">
        <v>1.371718</v>
      </c>
      <c r="Y103" s="49">
        <v>0</v>
      </c>
      <c r="Z103" s="49">
        <v>0.6666666666666666</v>
      </c>
      <c r="AA103" s="72">
        <v>103</v>
      </c>
      <c r="AB103" s="72"/>
      <c r="AC103" s="73"/>
      <c r="AD103" s="79" t="s">
        <v>651</v>
      </c>
      <c r="AE103" s="79"/>
      <c r="AF103" s="79"/>
      <c r="AG103" s="79"/>
      <c r="AH103" s="79"/>
      <c r="AI103" s="79"/>
      <c r="AJ103" s="83">
        <v>40748.65012731482</v>
      </c>
      <c r="AK103" s="81" t="str">
        <f>HYPERLINK("https://yt3.ggpht.com/a/AATXAJwJXCKgmpojzUgRmAkW0Hiut5OjTPwHOBKusg=s88-c-k-c0xffffffff-no-rj-mo")</f>
        <v>https://yt3.ggpht.com/a/AATXAJwJXCKgmpojzUgRmAkW0Hiut5OjTPwHOBKusg=s88-c-k-c0xffffffff-no-rj-mo</v>
      </c>
      <c r="AL103" s="79">
        <v>24</v>
      </c>
      <c r="AM103" s="79">
        <v>0</v>
      </c>
      <c r="AN103" s="79">
        <v>0</v>
      </c>
      <c r="AO103" s="79" t="b">
        <v>0</v>
      </c>
      <c r="AP103" s="79">
        <v>4</v>
      </c>
      <c r="AQ103" s="79"/>
      <c r="AR103" s="79"/>
      <c r="AS103" s="79" t="s">
        <v>1028</v>
      </c>
      <c r="AT103" s="81" t="str">
        <f>HYPERLINK("https://www.youtube.com/channel/UCw9VbBLCPPDHCU8ocVaYbyQ")</f>
        <v>https://www.youtube.com/channel/UCw9VbBLCPPDHCU8ocVaYbyQ</v>
      </c>
      <c r="AU103" s="79" t="str">
        <f>REPLACE(INDEX(GroupVertices[Group],MATCH(Vertices[[#This Row],[Vertex]],GroupVertices[Vertex],0)),1,1,"")</f>
        <v>3</v>
      </c>
      <c r="AV103" s="48">
        <v>2</v>
      </c>
      <c r="AW103" s="49">
        <v>1.8867924528301887</v>
      </c>
      <c r="AX103" s="48">
        <v>0</v>
      </c>
      <c r="AY103" s="49">
        <v>0</v>
      </c>
      <c r="AZ103" s="48">
        <v>0</v>
      </c>
      <c r="BA103" s="49">
        <v>0</v>
      </c>
      <c r="BB103" s="48">
        <v>104</v>
      </c>
      <c r="BC103" s="49">
        <v>98.11320754716981</v>
      </c>
      <c r="BD103" s="48">
        <v>106</v>
      </c>
      <c r="BE103" s="48"/>
      <c r="BF103" s="48"/>
      <c r="BG103" s="48"/>
      <c r="BH103" s="48"/>
      <c r="BI103" s="48"/>
      <c r="BJ103" s="48"/>
      <c r="BK103" s="121" t="s">
        <v>1742</v>
      </c>
      <c r="BL103" s="121" t="s">
        <v>1776</v>
      </c>
      <c r="BM103" s="121" t="s">
        <v>1864</v>
      </c>
      <c r="BN103" s="121" t="s">
        <v>1864</v>
      </c>
      <c r="BO103" s="2"/>
      <c r="BP103" s="3"/>
      <c r="BQ103" s="3"/>
      <c r="BR103" s="3"/>
      <c r="BS103" s="3"/>
    </row>
    <row r="104" spans="1:71" ht="15">
      <c r="A104" s="65" t="s">
        <v>311</v>
      </c>
      <c r="B104" s="66"/>
      <c r="C104" s="66"/>
      <c r="D104" s="67">
        <v>600</v>
      </c>
      <c r="E104" s="69"/>
      <c r="F104" s="99" t="str">
        <f>HYPERLINK("https://yt3.ggpht.com/a/AATXAJyS889axjeFmwtEbNtlE2OCuApBD5nZXXm3SAF9=s88-c-k-c0xffffffff-no-rj-mo")</f>
        <v>https://yt3.ggpht.com/a/AATXAJyS889axjeFmwtEbNtlE2OCuApBD5nZXXm3SAF9=s88-c-k-c0xffffffff-no-rj-mo</v>
      </c>
      <c r="G104" s="66"/>
      <c r="H104" s="70" t="s">
        <v>652</v>
      </c>
      <c r="I104" s="71"/>
      <c r="J104" s="71"/>
      <c r="K104" s="70" t="s">
        <v>652</v>
      </c>
      <c r="L104" s="74">
        <v>909.9090909090909</v>
      </c>
      <c r="M104" s="75">
        <v>9489.4970703125</v>
      </c>
      <c r="N104" s="75">
        <v>1033.1336669921875</v>
      </c>
      <c r="O104" s="76"/>
      <c r="P104" s="77"/>
      <c r="Q104" s="77"/>
      <c r="R104" s="85"/>
      <c r="S104" s="48">
        <v>1</v>
      </c>
      <c r="T104" s="48">
        <v>1</v>
      </c>
      <c r="U104" s="49">
        <v>0</v>
      </c>
      <c r="V104" s="49">
        <v>1</v>
      </c>
      <c r="W104" s="49">
        <v>0</v>
      </c>
      <c r="X104" s="49">
        <v>0.999996</v>
      </c>
      <c r="Y104" s="49">
        <v>0</v>
      </c>
      <c r="Z104" s="49">
        <v>1</v>
      </c>
      <c r="AA104" s="72">
        <v>104</v>
      </c>
      <c r="AB104" s="72"/>
      <c r="AC104" s="73"/>
      <c r="AD104" s="79" t="s">
        <v>652</v>
      </c>
      <c r="AE104" s="79" t="s">
        <v>947</v>
      </c>
      <c r="AF104" s="79"/>
      <c r="AG104" s="79"/>
      <c r="AH104" s="79"/>
      <c r="AI104" s="79" t="s">
        <v>652</v>
      </c>
      <c r="AJ104" s="83">
        <v>43598.34873842593</v>
      </c>
      <c r="AK104" s="81" t="str">
        <f>HYPERLINK("https://yt3.ggpht.com/a/AATXAJyS889axjeFmwtEbNtlE2OCuApBD5nZXXm3SAF9=s88-c-k-c0xffffffff-no-rj-mo")</f>
        <v>https://yt3.ggpht.com/a/AATXAJyS889axjeFmwtEbNtlE2OCuApBD5nZXXm3SAF9=s88-c-k-c0xffffffff-no-rj-mo</v>
      </c>
      <c r="AL104" s="79">
        <v>349188</v>
      </c>
      <c r="AM104" s="79">
        <v>0</v>
      </c>
      <c r="AN104" s="79">
        <v>18800</v>
      </c>
      <c r="AO104" s="79" t="b">
        <v>0</v>
      </c>
      <c r="AP104" s="79">
        <v>119</v>
      </c>
      <c r="AQ104" s="79"/>
      <c r="AR104" s="79"/>
      <c r="AS104" s="79" t="s">
        <v>1028</v>
      </c>
      <c r="AT104" s="81" t="str">
        <f>HYPERLINK("https://www.youtube.com/channel/UC6DnLOwz8R0iZPmkZ3vMM1g")</f>
        <v>https://www.youtube.com/channel/UC6DnLOwz8R0iZPmkZ3vMM1g</v>
      </c>
      <c r="AU104" s="79" t="str">
        <f>REPLACE(INDEX(GroupVertices[Group],MATCH(Vertices[[#This Row],[Vertex]],GroupVertices[Vertex],0)),1,1,"")</f>
        <v>20</v>
      </c>
      <c r="AV104" s="48">
        <v>0</v>
      </c>
      <c r="AW104" s="49">
        <v>0</v>
      </c>
      <c r="AX104" s="48">
        <v>0</v>
      </c>
      <c r="AY104" s="49">
        <v>0</v>
      </c>
      <c r="AZ104" s="48">
        <v>0</v>
      </c>
      <c r="BA104" s="49">
        <v>0</v>
      </c>
      <c r="BB104" s="48">
        <v>6</v>
      </c>
      <c r="BC104" s="49">
        <v>100</v>
      </c>
      <c r="BD104" s="48">
        <v>6</v>
      </c>
      <c r="BE104" s="48"/>
      <c r="BF104" s="48"/>
      <c r="BG104" s="48"/>
      <c r="BH104" s="48"/>
      <c r="BI104" s="48"/>
      <c r="BJ104" s="48"/>
      <c r="BK104" s="121" t="s">
        <v>1743</v>
      </c>
      <c r="BL104" s="121" t="s">
        <v>1743</v>
      </c>
      <c r="BM104" s="121" t="s">
        <v>1865</v>
      </c>
      <c r="BN104" s="121" t="s">
        <v>1865</v>
      </c>
      <c r="BO104" s="2"/>
      <c r="BP104" s="3"/>
      <c r="BQ104" s="3"/>
      <c r="BR104" s="3"/>
      <c r="BS104" s="3"/>
    </row>
    <row r="105" spans="1:71" ht="15">
      <c r="A105" s="65" t="s">
        <v>312</v>
      </c>
      <c r="B105" s="66"/>
      <c r="C105" s="66"/>
      <c r="D105" s="67">
        <v>600</v>
      </c>
      <c r="E105" s="69"/>
      <c r="F105" s="99" t="str">
        <f>HYPERLINK("https://yt3.ggpht.com/a/AATXAJyIUIatLO59DZ2XKXrKGUpX-0nZj5eIw2HV2Q=s88-c-k-c0xffffffff-no-rj-mo")</f>
        <v>https://yt3.ggpht.com/a/AATXAJyIUIatLO59DZ2XKXrKGUpX-0nZj5eIw2HV2Q=s88-c-k-c0xffffffff-no-rj-mo</v>
      </c>
      <c r="G105" s="66"/>
      <c r="H105" s="70" t="s">
        <v>653</v>
      </c>
      <c r="I105" s="71"/>
      <c r="J105" s="71"/>
      <c r="K105" s="70" t="s">
        <v>653</v>
      </c>
      <c r="L105" s="74">
        <v>909.9090909090909</v>
      </c>
      <c r="M105" s="75">
        <v>9489.4970703125</v>
      </c>
      <c r="N105" s="75">
        <v>440.7073669433594</v>
      </c>
      <c r="O105" s="76"/>
      <c r="P105" s="77"/>
      <c r="Q105" s="77"/>
      <c r="R105" s="85"/>
      <c r="S105" s="48">
        <v>1</v>
      </c>
      <c r="T105" s="48">
        <v>1</v>
      </c>
      <c r="U105" s="49">
        <v>0</v>
      </c>
      <c r="V105" s="49">
        <v>1</v>
      </c>
      <c r="W105" s="49">
        <v>0</v>
      </c>
      <c r="X105" s="49">
        <v>0.999996</v>
      </c>
      <c r="Y105" s="49">
        <v>0</v>
      </c>
      <c r="Z105" s="49">
        <v>1</v>
      </c>
      <c r="AA105" s="72">
        <v>105</v>
      </c>
      <c r="AB105" s="72"/>
      <c r="AC105" s="73"/>
      <c r="AD105" s="79" t="s">
        <v>653</v>
      </c>
      <c r="AE105" s="79" t="s">
        <v>948</v>
      </c>
      <c r="AF105" s="79"/>
      <c r="AG105" s="79"/>
      <c r="AH105" s="79"/>
      <c r="AI105" s="79" t="s">
        <v>1002</v>
      </c>
      <c r="AJ105" s="83">
        <v>40974.10563657407</v>
      </c>
      <c r="AK105" s="81" t="str">
        <f>HYPERLINK("https://yt3.ggpht.com/a/AATXAJyIUIatLO59DZ2XKXrKGUpX-0nZj5eIw2HV2Q=s88-c-k-c0xffffffff-no-rj-mo")</f>
        <v>https://yt3.ggpht.com/a/AATXAJyIUIatLO59DZ2XKXrKGUpX-0nZj5eIw2HV2Q=s88-c-k-c0xffffffff-no-rj-mo</v>
      </c>
      <c r="AL105" s="79">
        <v>280384</v>
      </c>
      <c r="AM105" s="79">
        <v>0</v>
      </c>
      <c r="AN105" s="79">
        <v>4180</v>
      </c>
      <c r="AO105" s="79" t="b">
        <v>0</v>
      </c>
      <c r="AP105" s="79">
        <v>97</v>
      </c>
      <c r="AQ105" s="79"/>
      <c r="AR105" s="79"/>
      <c r="AS105" s="79" t="s">
        <v>1028</v>
      </c>
      <c r="AT105" s="81" t="str">
        <f>HYPERLINK("https://www.youtube.com/channel/UC6w0Q41ERflRJf5blMy8c8g")</f>
        <v>https://www.youtube.com/channel/UC6w0Q41ERflRJf5blMy8c8g</v>
      </c>
      <c r="AU105" s="79" t="str">
        <f>REPLACE(INDEX(GroupVertices[Group],MATCH(Vertices[[#This Row],[Vertex]],GroupVertices[Vertex],0)),1,1,"")</f>
        <v>20</v>
      </c>
      <c r="AV105" s="48">
        <v>0</v>
      </c>
      <c r="AW105" s="49">
        <v>0</v>
      </c>
      <c r="AX105" s="48">
        <v>0</v>
      </c>
      <c r="AY105" s="49">
        <v>0</v>
      </c>
      <c r="AZ105" s="48">
        <v>0</v>
      </c>
      <c r="BA105" s="49">
        <v>0</v>
      </c>
      <c r="BB105" s="48">
        <v>57</v>
      </c>
      <c r="BC105" s="49">
        <v>100</v>
      </c>
      <c r="BD105" s="48">
        <v>57</v>
      </c>
      <c r="BE105" s="48"/>
      <c r="BF105" s="48"/>
      <c r="BG105" s="48"/>
      <c r="BH105" s="48"/>
      <c r="BI105" s="48"/>
      <c r="BJ105" s="48"/>
      <c r="BK105" s="121" t="s">
        <v>1744</v>
      </c>
      <c r="BL105" s="121" t="s">
        <v>1744</v>
      </c>
      <c r="BM105" s="121" t="s">
        <v>1866</v>
      </c>
      <c r="BN105" s="121" t="s">
        <v>1866</v>
      </c>
      <c r="BO105" s="2"/>
      <c r="BP105" s="3"/>
      <c r="BQ105" s="3"/>
      <c r="BR105" s="3"/>
      <c r="BS105" s="3"/>
    </row>
    <row r="106" spans="1:71" ht="15">
      <c r="A106" s="65" t="s">
        <v>313</v>
      </c>
      <c r="B106" s="66"/>
      <c r="C106" s="66"/>
      <c r="D106" s="67">
        <v>200</v>
      </c>
      <c r="E106" s="69"/>
      <c r="F106" s="99" t="str">
        <f>HYPERLINK("https://yt3.ggpht.com/a/AATXAJwsJdM5e0j8iG7yGueCkUK2mWXcVGtQs_07yQ=s88-c-k-c0xffffffff-no-rj-mo")</f>
        <v>https://yt3.ggpht.com/a/AATXAJwsJdM5e0j8iG7yGueCkUK2mWXcVGtQs_07yQ=s88-c-k-c0xffffffff-no-rj-mo</v>
      </c>
      <c r="G106" s="66"/>
      <c r="H106" s="70" t="s">
        <v>654</v>
      </c>
      <c r="I106" s="71"/>
      <c r="J106" s="71"/>
      <c r="K106" s="70" t="s">
        <v>654</v>
      </c>
      <c r="L106" s="74">
        <v>1</v>
      </c>
      <c r="M106" s="75">
        <v>6896.8681640625</v>
      </c>
      <c r="N106" s="75">
        <v>1033.1336669921875</v>
      </c>
      <c r="O106" s="76"/>
      <c r="P106" s="77"/>
      <c r="Q106" s="77"/>
      <c r="R106" s="85"/>
      <c r="S106" s="48">
        <v>0</v>
      </c>
      <c r="T106" s="48">
        <v>1</v>
      </c>
      <c r="U106" s="49">
        <v>0</v>
      </c>
      <c r="V106" s="49">
        <v>0.333333</v>
      </c>
      <c r="W106" s="49">
        <v>0</v>
      </c>
      <c r="X106" s="49">
        <v>0.770267</v>
      </c>
      <c r="Y106" s="49">
        <v>0</v>
      </c>
      <c r="Z106" s="49">
        <v>0</v>
      </c>
      <c r="AA106" s="72">
        <v>106</v>
      </c>
      <c r="AB106" s="72"/>
      <c r="AC106" s="73"/>
      <c r="AD106" s="79" t="s">
        <v>654</v>
      </c>
      <c r="AE106" s="79"/>
      <c r="AF106" s="79"/>
      <c r="AG106" s="79"/>
      <c r="AH106" s="79"/>
      <c r="AI106" s="79"/>
      <c r="AJ106" s="83">
        <v>41394.31760416667</v>
      </c>
      <c r="AK106" s="81" t="str">
        <f>HYPERLINK("https://yt3.ggpht.com/a/AATXAJwsJdM5e0j8iG7yGueCkUK2mWXcVGtQs_07yQ=s88-c-k-c0xffffffff-no-rj-mo")</f>
        <v>https://yt3.ggpht.com/a/AATXAJwsJdM5e0j8iG7yGueCkUK2mWXcVGtQs_07yQ=s88-c-k-c0xffffffff-no-rj-mo</v>
      </c>
      <c r="AL106" s="79">
        <v>0</v>
      </c>
      <c r="AM106" s="79">
        <v>0</v>
      </c>
      <c r="AN106" s="79">
        <v>0</v>
      </c>
      <c r="AO106" s="79" t="b">
        <v>0</v>
      </c>
      <c r="AP106" s="79">
        <v>0</v>
      </c>
      <c r="AQ106" s="79"/>
      <c r="AR106" s="79"/>
      <c r="AS106" s="79" t="s">
        <v>1028</v>
      </c>
      <c r="AT106" s="81" t="str">
        <f>HYPERLINK("https://www.youtube.com/channel/UCObnhHbh2Y5aPYBuAUU4rEA")</f>
        <v>https://www.youtube.com/channel/UCObnhHbh2Y5aPYBuAUU4rEA</v>
      </c>
      <c r="AU106" s="79" t="str">
        <f>REPLACE(INDEX(GroupVertices[Group],MATCH(Vertices[[#This Row],[Vertex]],GroupVertices[Vertex],0)),1,1,"")</f>
        <v>18</v>
      </c>
      <c r="AV106" s="48">
        <v>0</v>
      </c>
      <c r="AW106" s="49">
        <v>0</v>
      </c>
      <c r="AX106" s="48">
        <v>0</v>
      </c>
      <c r="AY106" s="49">
        <v>0</v>
      </c>
      <c r="AZ106" s="48">
        <v>0</v>
      </c>
      <c r="BA106" s="49">
        <v>0</v>
      </c>
      <c r="BB106" s="48">
        <v>18</v>
      </c>
      <c r="BC106" s="49">
        <v>100</v>
      </c>
      <c r="BD106" s="48">
        <v>18</v>
      </c>
      <c r="BE106" s="48"/>
      <c r="BF106" s="48"/>
      <c r="BG106" s="48"/>
      <c r="BH106" s="48"/>
      <c r="BI106" s="48"/>
      <c r="BJ106" s="48"/>
      <c r="BK106" s="121" t="s">
        <v>1745</v>
      </c>
      <c r="BL106" s="121" t="s">
        <v>1745</v>
      </c>
      <c r="BM106" s="121" t="s">
        <v>1867</v>
      </c>
      <c r="BN106" s="121" t="s">
        <v>1867</v>
      </c>
      <c r="BO106" s="2"/>
      <c r="BP106" s="3"/>
      <c r="BQ106" s="3"/>
      <c r="BR106" s="3"/>
      <c r="BS106" s="3"/>
    </row>
    <row r="107" spans="1:71" ht="15">
      <c r="A107" s="65" t="s">
        <v>314</v>
      </c>
      <c r="B107" s="66"/>
      <c r="C107" s="66"/>
      <c r="D107" s="67">
        <v>600</v>
      </c>
      <c r="E107" s="69"/>
      <c r="F107" s="99" t="str">
        <f>HYPERLINK("https://yt3.ggpht.com/a/AATXAJy34W7rpQbcneVlxTVNNbLRIQDLR8kGPJshQg=s88-c-k-c0xffffffff-no-rj-mo")</f>
        <v>https://yt3.ggpht.com/a/AATXAJy34W7rpQbcneVlxTVNNbLRIQDLR8kGPJshQg=s88-c-k-c0xffffffff-no-rj-mo</v>
      </c>
      <c r="G107" s="66"/>
      <c r="H107" s="70" t="s">
        <v>655</v>
      </c>
      <c r="I107" s="71"/>
      <c r="J107" s="71"/>
      <c r="K107" s="70" t="s">
        <v>655</v>
      </c>
      <c r="L107" s="74">
        <v>909.9090909090909</v>
      </c>
      <c r="M107" s="75">
        <v>7528.4404296875</v>
      </c>
      <c r="N107" s="75">
        <v>1033.1336669921875</v>
      </c>
      <c r="O107" s="76"/>
      <c r="P107" s="77"/>
      <c r="Q107" s="77"/>
      <c r="R107" s="85"/>
      <c r="S107" s="48">
        <v>1</v>
      </c>
      <c r="T107" s="48">
        <v>1</v>
      </c>
      <c r="U107" s="49">
        <v>2</v>
      </c>
      <c r="V107" s="49">
        <v>0.5</v>
      </c>
      <c r="W107" s="49">
        <v>0</v>
      </c>
      <c r="X107" s="49">
        <v>1.459453</v>
      </c>
      <c r="Y107" s="49">
        <v>0</v>
      </c>
      <c r="Z107" s="49">
        <v>0</v>
      </c>
      <c r="AA107" s="72">
        <v>107</v>
      </c>
      <c r="AB107" s="72"/>
      <c r="AC107" s="73"/>
      <c r="AD107" s="79" t="s">
        <v>655</v>
      </c>
      <c r="AE107" s="79"/>
      <c r="AF107" s="79"/>
      <c r="AG107" s="79"/>
      <c r="AH107" s="79"/>
      <c r="AI107" s="79"/>
      <c r="AJ107" s="83">
        <v>41326.256053240744</v>
      </c>
      <c r="AK107" s="81" t="str">
        <f>HYPERLINK("https://yt3.ggpht.com/a/AATXAJy34W7rpQbcneVlxTVNNbLRIQDLR8kGPJshQg=s88-c-k-c0xffffffff-no-rj-mo")</f>
        <v>https://yt3.ggpht.com/a/AATXAJy34W7rpQbcneVlxTVNNbLRIQDLR8kGPJshQg=s88-c-k-c0xffffffff-no-rj-mo</v>
      </c>
      <c r="AL107" s="79">
        <v>0</v>
      </c>
      <c r="AM107" s="79">
        <v>0</v>
      </c>
      <c r="AN107" s="79">
        <v>1</v>
      </c>
      <c r="AO107" s="79" t="b">
        <v>0</v>
      </c>
      <c r="AP107" s="79">
        <v>0</v>
      </c>
      <c r="AQ107" s="79"/>
      <c r="AR107" s="79"/>
      <c r="AS107" s="79" t="s">
        <v>1028</v>
      </c>
      <c r="AT107" s="81" t="str">
        <f>HYPERLINK("https://www.youtube.com/channel/UCFrlL2ETbR5Ut4zRY4rGlbA")</f>
        <v>https://www.youtube.com/channel/UCFrlL2ETbR5Ut4zRY4rGlbA</v>
      </c>
      <c r="AU107" s="79" t="str">
        <f>REPLACE(INDEX(GroupVertices[Group],MATCH(Vertices[[#This Row],[Vertex]],GroupVertices[Vertex],0)),1,1,"")</f>
        <v>18</v>
      </c>
      <c r="AV107" s="48">
        <v>0</v>
      </c>
      <c r="AW107" s="49">
        <v>0</v>
      </c>
      <c r="AX107" s="48">
        <v>0</v>
      </c>
      <c r="AY107" s="49">
        <v>0</v>
      </c>
      <c r="AZ107" s="48">
        <v>0</v>
      </c>
      <c r="BA107" s="49">
        <v>0</v>
      </c>
      <c r="BB107" s="48">
        <v>37</v>
      </c>
      <c r="BC107" s="49">
        <v>100</v>
      </c>
      <c r="BD107" s="48">
        <v>37</v>
      </c>
      <c r="BE107" s="48"/>
      <c r="BF107" s="48"/>
      <c r="BG107" s="48"/>
      <c r="BH107" s="48"/>
      <c r="BI107" s="48"/>
      <c r="BJ107" s="48"/>
      <c r="BK107" s="121" t="s">
        <v>1746</v>
      </c>
      <c r="BL107" s="121" t="s">
        <v>1746</v>
      </c>
      <c r="BM107" s="121" t="s">
        <v>1868</v>
      </c>
      <c r="BN107" s="121" t="s">
        <v>1868</v>
      </c>
      <c r="BO107" s="2"/>
      <c r="BP107" s="3"/>
      <c r="BQ107" s="3"/>
      <c r="BR107" s="3"/>
      <c r="BS107" s="3"/>
    </row>
    <row r="108" spans="1:71" ht="15">
      <c r="A108" s="65" t="s">
        <v>330</v>
      </c>
      <c r="B108" s="66"/>
      <c r="C108" s="66"/>
      <c r="D108" s="67">
        <v>600</v>
      </c>
      <c r="E108" s="69"/>
      <c r="F108" s="99" t="str">
        <f>HYPERLINK("https://yt3.ggpht.com/a/AATXAJyPXi1_PVSJJK8_f0ed9Eagks2R7heDem1xSA=s88-c-k-c0xffffffff-no-rj-mo")</f>
        <v>https://yt3.ggpht.com/a/AATXAJyPXi1_PVSJJK8_f0ed9Eagks2R7heDem1xSA=s88-c-k-c0xffffffff-no-rj-mo</v>
      </c>
      <c r="G108" s="66"/>
      <c r="H108" s="70" t="s">
        <v>877</v>
      </c>
      <c r="I108" s="71"/>
      <c r="J108" s="71"/>
      <c r="K108" s="70" t="s">
        <v>877</v>
      </c>
      <c r="L108" s="74">
        <v>909.9090909090909</v>
      </c>
      <c r="M108" s="75">
        <v>6896.8681640625</v>
      </c>
      <c r="N108" s="75">
        <v>440.7073669433594</v>
      </c>
      <c r="O108" s="76"/>
      <c r="P108" s="77"/>
      <c r="Q108" s="77"/>
      <c r="R108" s="85"/>
      <c r="S108" s="48">
        <v>1</v>
      </c>
      <c r="T108" s="48">
        <v>0</v>
      </c>
      <c r="U108" s="49">
        <v>0</v>
      </c>
      <c r="V108" s="49">
        <v>0.333333</v>
      </c>
      <c r="W108" s="49">
        <v>0</v>
      </c>
      <c r="X108" s="49">
        <v>0.770267</v>
      </c>
      <c r="Y108" s="49">
        <v>0</v>
      </c>
      <c r="Z108" s="49">
        <v>0</v>
      </c>
      <c r="AA108" s="72">
        <v>108</v>
      </c>
      <c r="AB108" s="72"/>
      <c r="AC108" s="73"/>
      <c r="AD108" s="79" t="s">
        <v>877</v>
      </c>
      <c r="AE108" s="79" t="s">
        <v>949</v>
      </c>
      <c r="AF108" s="79"/>
      <c r="AG108" s="79"/>
      <c r="AH108" s="79"/>
      <c r="AI108" s="79" t="s">
        <v>1003</v>
      </c>
      <c r="AJ108" s="83">
        <v>42114.90429398148</v>
      </c>
      <c r="AK108" s="81" t="str">
        <f>HYPERLINK("https://yt3.ggpht.com/a/AATXAJyPXi1_PVSJJK8_f0ed9Eagks2R7heDem1xSA=s88-c-k-c0xffffffff-no-rj-mo")</f>
        <v>https://yt3.ggpht.com/a/AATXAJyPXi1_PVSJJK8_f0ed9Eagks2R7heDem1xSA=s88-c-k-c0xffffffff-no-rj-mo</v>
      </c>
      <c r="AL108" s="79">
        <v>275052</v>
      </c>
      <c r="AM108" s="79">
        <v>0</v>
      </c>
      <c r="AN108" s="79">
        <v>5390</v>
      </c>
      <c r="AO108" s="79" t="b">
        <v>0</v>
      </c>
      <c r="AP108" s="79">
        <v>105</v>
      </c>
      <c r="AQ108" s="79"/>
      <c r="AR108" s="79"/>
      <c r="AS108" s="79" t="s">
        <v>1028</v>
      </c>
      <c r="AT108" s="81" t="str">
        <f>HYPERLINK("https://www.youtube.com/channel/UCjlfQwqb-0S40XQ8seYPLSw")</f>
        <v>https://www.youtube.com/channel/UCjlfQwqb-0S40XQ8seYPLSw</v>
      </c>
      <c r="AU108" s="79" t="str">
        <f>REPLACE(INDEX(GroupVertices[Group],MATCH(Vertices[[#This Row],[Vertex]],GroupVertices[Vertex],0)),1,1,"")</f>
        <v>18</v>
      </c>
      <c r="AV108" s="48"/>
      <c r="AW108" s="49"/>
      <c r="AX108" s="48"/>
      <c r="AY108" s="49"/>
      <c r="AZ108" s="48"/>
      <c r="BA108" s="49"/>
      <c r="BB108" s="48"/>
      <c r="BC108" s="49"/>
      <c r="BD108" s="48"/>
      <c r="BE108" s="48"/>
      <c r="BF108" s="48"/>
      <c r="BG108" s="48"/>
      <c r="BH108" s="48"/>
      <c r="BI108" s="48"/>
      <c r="BJ108" s="48"/>
      <c r="BK108" s="48"/>
      <c r="BL108" s="48"/>
      <c r="BM108" s="48"/>
      <c r="BN108" s="48"/>
      <c r="BO108" s="2"/>
      <c r="BP108" s="3"/>
      <c r="BQ108" s="3"/>
      <c r="BR108" s="3"/>
      <c r="BS108" s="3"/>
    </row>
    <row r="109" spans="1:71" ht="15">
      <c r="A109" s="65" t="s">
        <v>315</v>
      </c>
      <c r="B109" s="66"/>
      <c r="C109" s="66"/>
      <c r="D109" s="67">
        <v>200</v>
      </c>
      <c r="E109" s="69"/>
      <c r="F109" s="99" t="str">
        <f>HYPERLINK("https://yt3.ggpht.com/a/AATXAJx8HqybyP0K1SWrDCc803eakp_shRZb_rSe9Q=s88-c-k-c0xffffffff-no-rj-mo")</f>
        <v>https://yt3.ggpht.com/a/AATXAJx8HqybyP0K1SWrDCc803eakp_shRZb_rSe9Q=s88-c-k-c0xffffffff-no-rj-mo</v>
      </c>
      <c r="G109" s="66"/>
      <c r="H109" s="70" t="s">
        <v>656</v>
      </c>
      <c r="I109" s="71"/>
      <c r="J109" s="71"/>
      <c r="K109" s="70" t="s">
        <v>656</v>
      </c>
      <c r="L109" s="74">
        <v>1</v>
      </c>
      <c r="M109" s="75">
        <v>8207.7783203125</v>
      </c>
      <c r="N109" s="75">
        <v>2308.295166015625</v>
      </c>
      <c r="O109" s="76"/>
      <c r="P109" s="77"/>
      <c r="Q109" s="77"/>
      <c r="R109" s="85"/>
      <c r="S109" s="48">
        <v>0</v>
      </c>
      <c r="T109" s="48">
        <v>1</v>
      </c>
      <c r="U109" s="49">
        <v>0</v>
      </c>
      <c r="V109" s="49">
        <v>0.333333</v>
      </c>
      <c r="W109" s="49">
        <v>0</v>
      </c>
      <c r="X109" s="49">
        <v>0.638295</v>
      </c>
      <c r="Y109" s="49">
        <v>0</v>
      </c>
      <c r="Z109" s="49">
        <v>0</v>
      </c>
      <c r="AA109" s="72">
        <v>109</v>
      </c>
      <c r="AB109" s="72"/>
      <c r="AC109" s="73"/>
      <c r="AD109" s="79" t="s">
        <v>656</v>
      </c>
      <c r="AE109" s="79"/>
      <c r="AF109" s="79"/>
      <c r="AG109" s="79"/>
      <c r="AH109" s="79"/>
      <c r="AI109" s="79"/>
      <c r="AJ109" s="83">
        <v>41843.20668981481</v>
      </c>
      <c r="AK109" s="81" t="str">
        <f>HYPERLINK("https://yt3.ggpht.com/a/AATXAJx8HqybyP0K1SWrDCc803eakp_shRZb_rSe9Q=s88-c-k-c0xffffffff-no-rj-mo")</f>
        <v>https://yt3.ggpht.com/a/AATXAJx8HqybyP0K1SWrDCc803eakp_shRZb_rSe9Q=s88-c-k-c0xffffffff-no-rj-mo</v>
      </c>
      <c r="AL109" s="79">
        <v>0</v>
      </c>
      <c r="AM109" s="79">
        <v>0</v>
      </c>
      <c r="AN109" s="79">
        <v>0</v>
      </c>
      <c r="AO109" s="79" t="b">
        <v>0</v>
      </c>
      <c r="AP109" s="79">
        <v>0</v>
      </c>
      <c r="AQ109" s="79"/>
      <c r="AR109" s="79"/>
      <c r="AS109" s="79" t="s">
        <v>1028</v>
      </c>
      <c r="AT109" s="81" t="str">
        <f>HYPERLINK("https://www.youtube.com/channel/UClvPWSa0aybaVolvU6WH1JQ")</f>
        <v>https://www.youtube.com/channel/UClvPWSa0aybaVolvU6WH1JQ</v>
      </c>
      <c r="AU109" s="79" t="str">
        <f>REPLACE(INDEX(GroupVertices[Group],MATCH(Vertices[[#This Row],[Vertex]],GroupVertices[Vertex],0)),1,1,"")</f>
        <v>17</v>
      </c>
      <c r="AV109" s="48">
        <v>0</v>
      </c>
      <c r="AW109" s="49">
        <v>0</v>
      </c>
      <c r="AX109" s="48">
        <v>0</v>
      </c>
      <c r="AY109" s="49">
        <v>0</v>
      </c>
      <c r="AZ109" s="48">
        <v>0</v>
      </c>
      <c r="BA109" s="49">
        <v>0</v>
      </c>
      <c r="BB109" s="48">
        <v>12</v>
      </c>
      <c r="BC109" s="49">
        <v>100</v>
      </c>
      <c r="BD109" s="48">
        <v>12</v>
      </c>
      <c r="BE109" s="48"/>
      <c r="BF109" s="48"/>
      <c r="BG109" s="48"/>
      <c r="BH109" s="48"/>
      <c r="BI109" s="48"/>
      <c r="BJ109" s="48"/>
      <c r="BK109" s="121" t="s">
        <v>1747</v>
      </c>
      <c r="BL109" s="121" t="s">
        <v>1747</v>
      </c>
      <c r="BM109" s="121" t="s">
        <v>1869</v>
      </c>
      <c r="BN109" s="121" t="s">
        <v>1869</v>
      </c>
      <c r="BO109" s="2"/>
      <c r="BP109" s="3"/>
      <c r="BQ109" s="3"/>
      <c r="BR109" s="3"/>
      <c r="BS109" s="3"/>
    </row>
    <row r="110" spans="1:71" ht="15">
      <c r="A110" s="65" t="s">
        <v>317</v>
      </c>
      <c r="B110" s="66"/>
      <c r="C110" s="66"/>
      <c r="D110" s="67">
        <v>1000</v>
      </c>
      <c r="E110" s="69"/>
      <c r="F110" s="99" t="str">
        <f>HYPERLINK("https://yt3.ggpht.com/a/AATXAJwfkeV7nL2Y3EYg_pNewHTQFO3Qo9DYrXDn=s88-c-k-c0xffffffff-no-rj-mo")</f>
        <v>https://yt3.ggpht.com/a/AATXAJwfkeV7nL2Y3EYg_pNewHTQFO3Qo9DYrXDn=s88-c-k-c0xffffffff-no-rj-mo</v>
      </c>
      <c r="G110" s="66"/>
      <c r="H110" s="70" t="s">
        <v>658</v>
      </c>
      <c r="I110" s="71"/>
      <c r="J110" s="71"/>
      <c r="K110" s="70" t="s">
        <v>658</v>
      </c>
      <c r="L110" s="74">
        <v>2727.7272727272725</v>
      </c>
      <c r="M110" s="75">
        <v>8207.7783203125</v>
      </c>
      <c r="N110" s="75">
        <v>1578.599365234375</v>
      </c>
      <c r="O110" s="76"/>
      <c r="P110" s="77"/>
      <c r="Q110" s="77"/>
      <c r="R110" s="85"/>
      <c r="S110" s="48">
        <v>3</v>
      </c>
      <c r="T110" s="48">
        <v>2</v>
      </c>
      <c r="U110" s="49">
        <v>2</v>
      </c>
      <c r="V110" s="49">
        <v>0.5</v>
      </c>
      <c r="W110" s="49">
        <v>0</v>
      </c>
      <c r="X110" s="49">
        <v>1.723397</v>
      </c>
      <c r="Y110" s="49">
        <v>0</v>
      </c>
      <c r="Z110" s="49">
        <v>0.5</v>
      </c>
      <c r="AA110" s="72">
        <v>110</v>
      </c>
      <c r="AB110" s="72"/>
      <c r="AC110" s="73"/>
      <c r="AD110" s="79" t="s">
        <v>658</v>
      </c>
      <c r="AE110" s="79"/>
      <c r="AF110" s="79"/>
      <c r="AG110" s="79"/>
      <c r="AH110" s="79"/>
      <c r="AI110" s="79"/>
      <c r="AJ110" s="83">
        <v>41772.980358796296</v>
      </c>
      <c r="AK110" s="81" t="str">
        <f>HYPERLINK("https://yt3.ggpht.com/a/AATXAJwfkeV7nL2Y3EYg_pNewHTQFO3Qo9DYrXDn=s88-c-k-c0xffffffff-no-rj-mo")</f>
        <v>https://yt3.ggpht.com/a/AATXAJwfkeV7nL2Y3EYg_pNewHTQFO3Qo9DYrXDn=s88-c-k-c0xffffffff-no-rj-mo</v>
      </c>
      <c r="AL110" s="79">
        <v>0</v>
      </c>
      <c r="AM110" s="79">
        <v>0</v>
      </c>
      <c r="AN110" s="79">
        <v>0</v>
      </c>
      <c r="AO110" s="79" t="b">
        <v>0</v>
      </c>
      <c r="AP110" s="79">
        <v>0</v>
      </c>
      <c r="AQ110" s="79"/>
      <c r="AR110" s="79"/>
      <c r="AS110" s="79" t="s">
        <v>1028</v>
      </c>
      <c r="AT110" s="81" t="str">
        <f>HYPERLINK("https://www.youtube.com/channel/UCFcrsUy0gf9ZQ0K8UqZpGRg")</f>
        <v>https://www.youtube.com/channel/UCFcrsUy0gf9ZQ0K8UqZpGRg</v>
      </c>
      <c r="AU110" s="79" t="str">
        <f>REPLACE(INDEX(GroupVertices[Group],MATCH(Vertices[[#This Row],[Vertex]],GroupVertices[Vertex],0)),1,1,"")</f>
        <v>17</v>
      </c>
      <c r="AV110" s="48">
        <v>1</v>
      </c>
      <c r="AW110" s="49">
        <v>4.761904761904762</v>
      </c>
      <c r="AX110" s="48">
        <v>0</v>
      </c>
      <c r="AY110" s="49">
        <v>0</v>
      </c>
      <c r="AZ110" s="48">
        <v>0</v>
      </c>
      <c r="BA110" s="49">
        <v>0</v>
      </c>
      <c r="BB110" s="48">
        <v>20</v>
      </c>
      <c r="BC110" s="49">
        <v>95.23809523809524</v>
      </c>
      <c r="BD110" s="48">
        <v>21</v>
      </c>
      <c r="BE110" s="48"/>
      <c r="BF110" s="48"/>
      <c r="BG110" s="48"/>
      <c r="BH110" s="48"/>
      <c r="BI110" s="48"/>
      <c r="BJ110" s="48"/>
      <c r="BK110" s="121" t="s">
        <v>1748</v>
      </c>
      <c r="BL110" s="121" t="s">
        <v>1748</v>
      </c>
      <c r="BM110" s="121" t="s">
        <v>1870</v>
      </c>
      <c r="BN110" s="121" t="s">
        <v>1870</v>
      </c>
      <c r="BO110" s="2"/>
      <c r="BP110" s="3"/>
      <c r="BQ110" s="3"/>
      <c r="BR110" s="3"/>
      <c r="BS110" s="3"/>
    </row>
    <row r="111" spans="1:71" ht="15">
      <c r="A111" s="65" t="s">
        <v>316</v>
      </c>
      <c r="B111" s="66"/>
      <c r="C111" s="66"/>
      <c r="D111" s="67">
        <v>600</v>
      </c>
      <c r="E111" s="69"/>
      <c r="F111" s="99" t="str">
        <f>HYPERLINK("https://yt3.ggpht.com/a/AATXAJyOJAVovlu8lkLQTBl1XXMlPFWs8GxxidQrEGXv=s88-c-k-c0xffffffff-no-rj-mo")</f>
        <v>https://yt3.ggpht.com/a/AATXAJyOJAVovlu8lkLQTBl1XXMlPFWs8GxxidQrEGXv=s88-c-k-c0xffffffff-no-rj-mo</v>
      </c>
      <c r="G111" s="66"/>
      <c r="H111" s="70" t="s">
        <v>657</v>
      </c>
      <c r="I111" s="71"/>
      <c r="J111" s="71"/>
      <c r="K111" s="70" t="s">
        <v>657</v>
      </c>
      <c r="L111" s="74">
        <v>909.9090909090909</v>
      </c>
      <c r="M111" s="75">
        <v>8722.587890625</v>
      </c>
      <c r="N111" s="75">
        <v>2308.295166015625</v>
      </c>
      <c r="O111" s="76"/>
      <c r="P111" s="77"/>
      <c r="Q111" s="77"/>
      <c r="R111" s="85"/>
      <c r="S111" s="48">
        <v>1</v>
      </c>
      <c r="T111" s="48">
        <v>1</v>
      </c>
      <c r="U111" s="49">
        <v>0</v>
      </c>
      <c r="V111" s="49">
        <v>0.333333</v>
      </c>
      <c r="W111" s="49">
        <v>0</v>
      </c>
      <c r="X111" s="49">
        <v>0.638295</v>
      </c>
      <c r="Y111" s="49">
        <v>0</v>
      </c>
      <c r="Z111" s="49">
        <v>1</v>
      </c>
      <c r="AA111" s="72">
        <v>111</v>
      </c>
      <c r="AB111" s="72"/>
      <c r="AC111" s="73"/>
      <c r="AD111" s="79" t="s">
        <v>657</v>
      </c>
      <c r="AE111" s="79" t="s">
        <v>950</v>
      </c>
      <c r="AF111" s="79"/>
      <c r="AG111" s="79"/>
      <c r="AH111" s="79"/>
      <c r="AI111" s="79" t="s">
        <v>1004</v>
      </c>
      <c r="AJ111" s="83">
        <v>39898.08846064815</v>
      </c>
      <c r="AK111" s="81" t="str">
        <f>HYPERLINK("https://yt3.ggpht.com/a/AATXAJyOJAVovlu8lkLQTBl1XXMlPFWs8GxxidQrEGXv=s88-c-k-c0xffffffff-no-rj-mo")</f>
        <v>https://yt3.ggpht.com/a/AATXAJyOJAVovlu8lkLQTBl1XXMlPFWs8GxxidQrEGXv=s88-c-k-c0xffffffff-no-rj-mo</v>
      </c>
      <c r="AL111" s="79">
        <v>1391612</v>
      </c>
      <c r="AM111" s="79">
        <v>0</v>
      </c>
      <c r="AN111" s="79">
        <v>26000</v>
      </c>
      <c r="AO111" s="79" t="b">
        <v>0</v>
      </c>
      <c r="AP111" s="79">
        <v>313</v>
      </c>
      <c r="AQ111" s="79"/>
      <c r="AR111" s="79"/>
      <c r="AS111" s="79" t="s">
        <v>1028</v>
      </c>
      <c r="AT111" s="81" t="str">
        <f>HYPERLINK("https://www.youtube.com/channel/UCxtIinrEU9jrFkjaZ_udq0Q")</f>
        <v>https://www.youtube.com/channel/UCxtIinrEU9jrFkjaZ_udq0Q</v>
      </c>
      <c r="AU111" s="79" t="str">
        <f>REPLACE(INDEX(GroupVertices[Group],MATCH(Vertices[[#This Row],[Vertex]],GroupVertices[Vertex],0)),1,1,"")</f>
        <v>17</v>
      </c>
      <c r="AV111" s="48">
        <v>1</v>
      </c>
      <c r="AW111" s="49">
        <v>0.9803921568627451</v>
      </c>
      <c r="AX111" s="48">
        <v>0</v>
      </c>
      <c r="AY111" s="49">
        <v>0</v>
      </c>
      <c r="AZ111" s="48">
        <v>0</v>
      </c>
      <c r="BA111" s="49">
        <v>0</v>
      </c>
      <c r="BB111" s="48">
        <v>101</v>
      </c>
      <c r="BC111" s="49">
        <v>99.01960784313725</v>
      </c>
      <c r="BD111" s="48">
        <v>102</v>
      </c>
      <c r="BE111" s="48"/>
      <c r="BF111" s="48"/>
      <c r="BG111" s="48"/>
      <c r="BH111" s="48"/>
      <c r="BI111" s="48"/>
      <c r="BJ111" s="48"/>
      <c r="BK111" s="121" t="s">
        <v>1749</v>
      </c>
      <c r="BL111" s="121" t="s">
        <v>1749</v>
      </c>
      <c r="BM111" s="121" t="s">
        <v>1871</v>
      </c>
      <c r="BN111" s="121" t="s">
        <v>1871</v>
      </c>
      <c r="BO111" s="2"/>
      <c r="BP111" s="3"/>
      <c r="BQ111" s="3"/>
      <c r="BR111" s="3"/>
      <c r="BS111" s="3"/>
    </row>
    <row r="112" spans="1:71" ht="15">
      <c r="A112" s="65" t="s">
        <v>318</v>
      </c>
      <c r="B112" s="66"/>
      <c r="C112" s="66"/>
      <c r="D112" s="67">
        <v>1000</v>
      </c>
      <c r="E112" s="69"/>
      <c r="F112" s="99" t="str">
        <f>HYPERLINK("https://yt3.ggpht.com/a/AATXAJwsmji2AKKFb1TBI8YIemA5ZFcJE8HMIMv-3WL2mw=s88-c-k-c0xffffffff-no-rj-mo")</f>
        <v>https://yt3.ggpht.com/a/AATXAJwsmji2AKKFb1TBI8YIemA5ZFcJE8HMIMv-3WL2mw=s88-c-k-c0xffffffff-no-rj-mo</v>
      </c>
      <c r="G112" s="66"/>
      <c r="H112" s="70" t="s">
        <v>659</v>
      </c>
      <c r="I112" s="71"/>
      <c r="J112" s="71"/>
      <c r="K112" s="70" t="s">
        <v>659</v>
      </c>
      <c r="L112" s="74">
        <v>6363.363636363636</v>
      </c>
      <c r="M112" s="75">
        <v>4384.98974609375</v>
      </c>
      <c r="N112" s="75">
        <v>5759.37841796875</v>
      </c>
      <c r="O112" s="76"/>
      <c r="P112" s="77"/>
      <c r="Q112" s="77"/>
      <c r="R112" s="85"/>
      <c r="S112" s="48">
        <v>7</v>
      </c>
      <c r="T112" s="48">
        <v>7</v>
      </c>
      <c r="U112" s="49">
        <v>40</v>
      </c>
      <c r="V112" s="49">
        <v>0.142857</v>
      </c>
      <c r="W112" s="49">
        <v>0</v>
      </c>
      <c r="X112" s="49">
        <v>3.315211</v>
      </c>
      <c r="Y112" s="49">
        <v>0.023809523809523808</v>
      </c>
      <c r="Z112" s="49">
        <v>1</v>
      </c>
      <c r="AA112" s="72">
        <v>112</v>
      </c>
      <c r="AB112" s="72"/>
      <c r="AC112" s="73"/>
      <c r="AD112" s="79" t="s">
        <v>659</v>
      </c>
      <c r="AE112" s="79" t="s">
        <v>951</v>
      </c>
      <c r="AF112" s="79"/>
      <c r="AG112" s="79"/>
      <c r="AH112" s="79"/>
      <c r="AI112" s="79" t="s">
        <v>1005</v>
      </c>
      <c r="AJ112" s="83">
        <v>41477.572233796294</v>
      </c>
      <c r="AK112" s="81" t="str">
        <f>HYPERLINK("https://yt3.ggpht.com/a/AATXAJwsmji2AKKFb1TBI8YIemA5ZFcJE8HMIMv-3WL2mw=s88-c-k-c0xffffffff-no-rj-mo")</f>
        <v>https://yt3.ggpht.com/a/AATXAJwsmji2AKKFb1TBI8YIemA5ZFcJE8HMIMv-3WL2mw=s88-c-k-c0xffffffff-no-rj-mo</v>
      </c>
      <c r="AL112" s="79">
        <v>2534264</v>
      </c>
      <c r="AM112" s="79">
        <v>0</v>
      </c>
      <c r="AN112" s="79">
        <v>47500</v>
      </c>
      <c r="AO112" s="79" t="b">
        <v>0</v>
      </c>
      <c r="AP112" s="79">
        <v>155</v>
      </c>
      <c r="AQ112" s="79"/>
      <c r="AR112" s="79"/>
      <c r="AS112" s="79" t="s">
        <v>1028</v>
      </c>
      <c r="AT112" s="81" t="str">
        <f>HYPERLINK("https://www.youtube.com/channel/UCNaIAElKPANu-d7ysRpLcUg")</f>
        <v>https://www.youtube.com/channel/UCNaIAElKPANu-d7ysRpLcUg</v>
      </c>
      <c r="AU112" s="79" t="str">
        <f>REPLACE(INDEX(GroupVertices[Group],MATCH(Vertices[[#This Row],[Vertex]],GroupVertices[Vertex],0)),1,1,"")</f>
        <v>5</v>
      </c>
      <c r="AV112" s="48">
        <v>0</v>
      </c>
      <c r="AW112" s="49">
        <v>0</v>
      </c>
      <c r="AX112" s="48">
        <v>0</v>
      </c>
      <c r="AY112" s="49">
        <v>0</v>
      </c>
      <c r="AZ112" s="48">
        <v>0</v>
      </c>
      <c r="BA112" s="49">
        <v>0</v>
      </c>
      <c r="BB112" s="48">
        <v>29</v>
      </c>
      <c r="BC112" s="49">
        <v>100</v>
      </c>
      <c r="BD112" s="48">
        <v>29</v>
      </c>
      <c r="BE112" s="48"/>
      <c r="BF112" s="48"/>
      <c r="BG112" s="48"/>
      <c r="BH112" s="48"/>
      <c r="BI112" s="48"/>
      <c r="BJ112" s="48"/>
      <c r="BK112" s="121" t="s">
        <v>1750</v>
      </c>
      <c r="BL112" s="121" t="s">
        <v>1750</v>
      </c>
      <c r="BM112" s="121" t="s">
        <v>1872</v>
      </c>
      <c r="BN112" s="121" t="s">
        <v>1872</v>
      </c>
      <c r="BO112" s="2"/>
      <c r="BP112" s="3"/>
      <c r="BQ112" s="3"/>
      <c r="BR112" s="3"/>
      <c r="BS112" s="3"/>
    </row>
    <row r="113" spans="1:71" ht="15">
      <c r="A113" s="65" t="s">
        <v>319</v>
      </c>
      <c r="B113" s="66"/>
      <c r="C113" s="66"/>
      <c r="D113" s="67">
        <v>600</v>
      </c>
      <c r="E113" s="69"/>
      <c r="F113" s="99" t="str">
        <f>HYPERLINK("https://yt3.ggpht.com/a/AATXAJy1PvSHA2EEfZZvazKpDqFfDyQGJjmGUzzvzA=s88-c-k-c0xffffffff-no-rj-mo")</f>
        <v>https://yt3.ggpht.com/a/AATXAJy1PvSHA2EEfZZvazKpDqFfDyQGJjmGUzzvzA=s88-c-k-c0xffffffff-no-rj-mo</v>
      </c>
      <c r="G113" s="66"/>
      <c r="H113" s="70" t="s">
        <v>660</v>
      </c>
      <c r="I113" s="71"/>
      <c r="J113" s="71"/>
      <c r="K113" s="70" t="s">
        <v>660</v>
      </c>
      <c r="L113" s="74">
        <v>909.9090909090909</v>
      </c>
      <c r="M113" s="75">
        <v>4955.1455078125</v>
      </c>
      <c r="N113" s="75">
        <v>6717.32861328125</v>
      </c>
      <c r="O113" s="76"/>
      <c r="P113" s="77"/>
      <c r="Q113" s="77"/>
      <c r="R113" s="85"/>
      <c r="S113" s="48">
        <v>1</v>
      </c>
      <c r="T113" s="48">
        <v>1</v>
      </c>
      <c r="U113" s="49">
        <v>0</v>
      </c>
      <c r="V113" s="49">
        <v>0.076923</v>
      </c>
      <c r="W113" s="49">
        <v>0</v>
      </c>
      <c r="X113" s="49">
        <v>0.552561</v>
      </c>
      <c r="Y113" s="49">
        <v>0</v>
      </c>
      <c r="Z113" s="49">
        <v>1</v>
      </c>
      <c r="AA113" s="72">
        <v>113</v>
      </c>
      <c r="AB113" s="72"/>
      <c r="AC113" s="73"/>
      <c r="AD113" s="79" t="s">
        <v>660</v>
      </c>
      <c r="AE113" s="79"/>
      <c r="AF113" s="79"/>
      <c r="AG113" s="79"/>
      <c r="AH113" s="79"/>
      <c r="AI113" s="79"/>
      <c r="AJ113" s="83">
        <v>42106.99240740741</v>
      </c>
      <c r="AK113" s="81" t="str">
        <f>HYPERLINK("https://yt3.ggpht.com/a/AATXAJy1PvSHA2EEfZZvazKpDqFfDyQGJjmGUzzvzA=s88-c-k-c0xffffffff-no-rj-mo")</f>
        <v>https://yt3.ggpht.com/a/AATXAJy1PvSHA2EEfZZvazKpDqFfDyQGJjmGUzzvzA=s88-c-k-c0xffffffff-no-rj-mo</v>
      </c>
      <c r="AL113" s="79">
        <v>0</v>
      </c>
      <c r="AM113" s="79">
        <v>0</v>
      </c>
      <c r="AN113" s="79">
        <v>0</v>
      </c>
      <c r="AO113" s="79" t="b">
        <v>0</v>
      </c>
      <c r="AP113" s="79">
        <v>1</v>
      </c>
      <c r="AQ113" s="79"/>
      <c r="AR113" s="79"/>
      <c r="AS113" s="79" t="s">
        <v>1028</v>
      </c>
      <c r="AT113" s="81" t="str">
        <f>HYPERLINK("https://www.youtube.com/channel/UCRtSCIRujzmYEwCfeGosiLA")</f>
        <v>https://www.youtube.com/channel/UCRtSCIRujzmYEwCfeGosiLA</v>
      </c>
      <c r="AU113" s="79" t="str">
        <f>REPLACE(INDEX(GroupVertices[Group],MATCH(Vertices[[#This Row],[Vertex]],GroupVertices[Vertex],0)),1,1,"")</f>
        <v>5</v>
      </c>
      <c r="AV113" s="48">
        <v>0</v>
      </c>
      <c r="AW113" s="49">
        <v>0</v>
      </c>
      <c r="AX113" s="48">
        <v>0</v>
      </c>
      <c r="AY113" s="49">
        <v>0</v>
      </c>
      <c r="AZ113" s="48">
        <v>0</v>
      </c>
      <c r="BA113" s="49">
        <v>0</v>
      </c>
      <c r="BB113" s="48">
        <v>5</v>
      </c>
      <c r="BC113" s="49">
        <v>100</v>
      </c>
      <c r="BD113" s="48">
        <v>5</v>
      </c>
      <c r="BE113" s="48"/>
      <c r="BF113" s="48"/>
      <c r="BG113" s="48"/>
      <c r="BH113" s="48"/>
      <c r="BI113" s="48"/>
      <c r="BJ113" s="48"/>
      <c r="BK113" s="121" t="s">
        <v>1751</v>
      </c>
      <c r="BL113" s="121" t="s">
        <v>1751</v>
      </c>
      <c r="BM113" s="121" t="s">
        <v>1873</v>
      </c>
      <c r="BN113" s="121" t="s">
        <v>1873</v>
      </c>
      <c r="BO113" s="2"/>
      <c r="BP113" s="3"/>
      <c r="BQ113" s="3"/>
      <c r="BR113" s="3"/>
      <c r="BS113" s="3"/>
    </row>
    <row r="114" spans="1:71" ht="15">
      <c r="A114" s="65" t="s">
        <v>320</v>
      </c>
      <c r="B114" s="66"/>
      <c r="C114" s="66"/>
      <c r="D114" s="67">
        <v>600</v>
      </c>
      <c r="E114" s="69"/>
      <c r="F114" s="99" t="str">
        <f>HYPERLINK("https://yt3.ggpht.com/a/AATXAJzaTU7IMTzYDOJrGK2jIvzzK4_lfRk2skQi8A=s88-c-k-c0xffffffff-no-rj-mo")</f>
        <v>https://yt3.ggpht.com/a/AATXAJzaTU7IMTzYDOJrGK2jIvzzK4_lfRk2skQi8A=s88-c-k-c0xffffffff-no-rj-mo</v>
      </c>
      <c r="G114" s="66"/>
      <c r="H114" s="70" t="s">
        <v>661</v>
      </c>
      <c r="I114" s="71"/>
      <c r="J114" s="71"/>
      <c r="K114" s="70" t="s">
        <v>661</v>
      </c>
      <c r="L114" s="74">
        <v>909.9090909090909</v>
      </c>
      <c r="M114" s="75">
        <v>4126.8759765625</v>
      </c>
      <c r="N114" s="75">
        <v>6950.171875</v>
      </c>
      <c r="O114" s="76"/>
      <c r="P114" s="77"/>
      <c r="Q114" s="77"/>
      <c r="R114" s="85"/>
      <c r="S114" s="48">
        <v>1</v>
      </c>
      <c r="T114" s="48">
        <v>1</v>
      </c>
      <c r="U114" s="49">
        <v>0</v>
      </c>
      <c r="V114" s="49">
        <v>0.076923</v>
      </c>
      <c r="W114" s="49">
        <v>0</v>
      </c>
      <c r="X114" s="49">
        <v>0.552561</v>
      </c>
      <c r="Y114" s="49">
        <v>0</v>
      </c>
      <c r="Z114" s="49">
        <v>1</v>
      </c>
      <c r="AA114" s="72">
        <v>114</v>
      </c>
      <c r="AB114" s="72"/>
      <c r="AC114" s="73"/>
      <c r="AD114" s="79" t="s">
        <v>661</v>
      </c>
      <c r="AE114" s="79"/>
      <c r="AF114" s="79"/>
      <c r="AG114" s="79"/>
      <c r="AH114" s="79"/>
      <c r="AI114" s="79"/>
      <c r="AJ114" s="83">
        <v>41073.07800925926</v>
      </c>
      <c r="AK114" s="81" t="str">
        <f>HYPERLINK("https://yt3.ggpht.com/a/AATXAJzaTU7IMTzYDOJrGK2jIvzzK4_lfRk2skQi8A=s88-c-k-c0xffffffff-no-rj-mo")</f>
        <v>https://yt3.ggpht.com/a/AATXAJzaTU7IMTzYDOJrGK2jIvzzK4_lfRk2skQi8A=s88-c-k-c0xffffffff-no-rj-mo</v>
      </c>
      <c r="AL114" s="79">
        <v>78</v>
      </c>
      <c r="AM114" s="79">
        <v>0</v>
      </c>
      <c r="AN114" s="79">
        <v>2</v>
      </c>
      <c r="AO114" s="79" t="b">
        <v>0</v>
      </c>
      <c r="AP114" s="79">
        <v>2</v>
      </c>
      <c r="AQ114" s="79"/>
      <c r="AR114" s="79"/>
      <c r="AS114" s="79" t="s">
        <v>1028</v>
      </c>
      <c r="AT114" s="81" t="str">
        <f>HYPERLINK("https://www.youtube.com/channel/UCxeH47zPVeMZmOZXjpgrjrA")</f>
        <v>https://www.youtube.com/channel/UCxeH47zPVeMZmOZXjpgrjrA</v>
      </c>
      <c r="AU114" s="79" t="str">
        <f>REPLACE(INDEX(GroupVertices[Group],MATCH(Vertices[[#This Row],[Vertex]],GroupVertices[Vertex],0)),1,1,"")</f>
        <v>5</v>
      </c>
      <c r="AV114" s="48">
        <v>1</v>
      </c>
      <c r="AW114" s="49">
        <v>7.6923076923076925</v>
      </c>
      <c r="AX114" s="48">
        <v>0</v>
      </c>
      <c r="AY114" s="49">
        <v>0</v>
      </c>
      <c r="AZ114" s="48">
        <v>0</v>
      </c>
      <c r="BA114" s="49">
        <v>0</v>
      </c>
      <c r="BB114" s="48">
        <v>12</v>
      </c>
      <c r="BC114" s="49">
        <v>92.3076923076923</v>
      </c>
      <c r="BD114" s="48">
        <v>13</v>
      </c>
      <c r="BE114" s="48"/>
      <c r="BF114" s="48"/>
      <c r="BG114" s="48"/>
      <c r="BH114" s="48"/>
      <c r="BI114" s="48"/>
      <c r="BJ114" s="48"/>
      <c r="BK114" s="121" t="s">
        <v>1752</v>
      </c>
      <c r="BL114" s="121" t="s">
        <v>1752</v>
      </c>
      <c r="BM114" s="121" t="s">
        <v>1874</v>
      </c>
      <c r="BN114" s="121" t="s">
        <v>1874</v>
      </c>
      <c r="BO114" s="2"/>
      <c r="BP114" s="3"/>
      <c r="BQ114" s="3"/>
      <c r="BR114" s="3"/>
      <c r="BS114" s="3"/>
    </row>
    <row r="115" spans="1:71" ht="15">
      <c r="A115" s="65" t="s">
        <v>321</v>
      </c>
      <c r="B115" s="66"/>
      <c r="C115" s="66"/>
      <c r="D115" s="67">
        <v>600</v>
      </c>
      <c r="E115" s="69"/>
      <c r="F115" s="99" t="str">
        <f>HYPERLINK("https://yt3.ggpht.com/a/AATXAJzfYXOX9bLFkCuGJDPS4ATUClbxzqe4nprSng=s88-c-k-c0xffffffff-no-rj-mo")</f>
        <v>https://yt3.ggpht.com/a/AATXAJzfYXOX9bLFkCuGJDPS4ATUClbxzqe4nprSng=s88-c-k-c0xffffffff-no-rj-mo</v>
      </c>
      <c r="G115" s="66"/>
      <c r="H115" s="70" t="s">
        <v>662</v>
      </c>
      <c r="I115" s="71"/>
      <c r="J115" s="71"/>
      <c r="K115" s="70" t="s">
        <v>662</v>
      </c>
      <c r="L115" s="74">
        <v>909.9090909090909</v>
      </c>
      <c r="M115" s="75">
        <v>4961.56494140625</v>
      </c>
      <c r="N115" s="75">
        <v>4807.451171875</v>
      </c>
      <c r="O115" s="76"/>
      <c r="P115" s="77"/>
      <c r="Q115" s="77"/>
      <c r="R115" s="85"/>
      <c r="S115" s="48">
        <v>1</v>
      </c>
      <c r="T115" s="48">
        <v>1</v>
      </c>
      <c r="U115" s="49">
        <v>0</v>
      </c>
      <c r="V115" s="49">
        <v>0.076923</v>
      </c>
      <c r="W115" s="49">
        <v>0</v>
      </c>
      <c r="X115" s="49">
        <v>0.552561</v>
      </c>
      <c r="Y115" s="49">
        <v>0</v>
      </c>
      <c r="Z115" s="49">
        <v>1</v>
      </c>
      <c r="AA115" s="72">
        <v>115</v>
      </c>
      <c r="AB115" s="72"/>
      <c r="AC115" s="73"/>
      <c r="AD115" s="79" t="s">
        <v>662</v>
      </c>
      <c r="AE115" s="79"/>
      <c r="AF115" s="79"/>
      <c r="AG115" s="79"/>
      <c r="AH115" s="79"/>
      <c r="AI115" s="79"/>
      <c r="AJ115" s="83">
        <v>41514.14732638889</v>
      </c>
      <c r="AK115" s="81" t="str">
        <f>HYPERLINK("https://yt3.ggpht.com/a/AATXAJzfYXOX9bLFkCuGJDPS4ATUClbxzqe4nprSng=s88-c-k-c0xffffffff-no-rj-mo")</f>
        <v>https://yt3.ggpht.com/a/AATXAJzfYXOX9bLFkCuGJDPS4ATUClbxzqe4nprSng=s88-c-k-c0xffffffff-no-rj-mo</v>
      </c>
      <c r="AL115" s="79">
        <v>11</v>
      </c>
      <c r="AM115" s="79">
        <v>0</v>
      </c>
      <c r="AN115" s="79">
        <v>0</v>
      </c>
      <c r="AO115" s="79" t="b">
        <v>0</v>
      </c>
      <c r="AP115" s="79">
        <v>1</v>
      </c>
      <c r="AQ115" s="79"/>
      <c r="AR115" s="79"/>
      <c r="AS115" s="79" t="s">
        <v>1028</v>
      </c>
      <c r="AT115" s="81" t="str">
        <f>HYPERLINK("https://www.youtube.com/channel/UCzzE0_GewzpmYymSZ65B0eQ")</f>
        <v>https://www.youtube.com/channel/UCzzE0_GewzpmYymSZ65B0eQ</v>
      </c>
      <c r="AU115" s="79" t="str">
        <f>REPLACE(INDEX(GroupVertices[Group],MATCH(Vertices[[#This Row],[Vertex]],GroupVertices[Vertex],0)),1,1,"")</f>
        <v>5</v>
      </c>
      <c r="AV115" s="48">
        <v>1</v>
      </c>
      <c r="AW115" s="49">
        <v>0.9523809523809523</v>
      </c>
      <c r="AX115" s="48">
        <v>0</v>
      </c>
      <c r="AY115" s="49">
        <v>0</v>
      </c>
      <c r="AZ115" s="48">
        <v>0</v>
      </c>
      <c r="BA115" s="49">
        <v>0</v>
      </c>
      <c r="BB115" s="48">
        <v>104</v>
      </c>
      <c r="BC115" s="49">
        <v>99.04761904761905</v>
      </c>
      <c r="BD115" s="48">
        <v>105</v>
      </c>
      <c r="BE115" s="48" t="s">
        <v>1494</v>
      </c>
      <c r="BF115" s="48" t="s">
        <v>1494</v>
      </c>
      <c r="BG115" s="48" t="s">
        <v>812</v>
      </c>
      <c r="BH115" s="48" t="s">
        <v>812</v>
      </c>
      <c r="BI115" s="48"/>
      <c r="BJ115" s="48"/>
      <c r="BK115" s="121" t="s">
        <v>1753</v>
      </c>
      <c r="BL115" s="121" t="s">
        <v>1753</v>
      </c>
      <c r="BM115" s="121" t="s">
        <v>1875</v>
      </c>
      <c r="BN115" s="121" t="s">
        <v>1875</v>
      </c>
      <c r="BO115" s="2"/>
      <c r="BP115" s="3"/>
      <c r="BQ115" s="3"/>
      <c r="BR115" s="3"/>
      <c r="BS115" s="3"/>
    </row>
    <row r="116" spans="1:71" ht="15">
      <c r="A116" s="65" t="s">
        <v>322</v>
      </c>
      <c r="B116" s="66"/>
      <c r="C116" s="66"/>
      <c r="D116" s="67">
        <v>600</v>
      </c>
      <c r="E116" s="69"/>
      <c r="F116" s="99" t="str">
        <f>HYPERLINK("https://yt3.ggpht.com/a/AATXAJzALkjVq2yrlGOK-Yn91Lnjc4COCkWId7sR1jt2_w=s88-c-k-c0xffffffff-no-rj-mo")</f>
        <v>https://yt3.ggpht.com/a/AATXAJzALkjVq2yrlGOK-Yn91Lnjc4COCkWId7sR1jt2_w=s88-c-k-c0xffffffff-no-rj-mo</v>
      </c>
      <c r="G116" s="66"/>
      <c r="H116" s="70" t="s">
        <v>663</v>
      </c>
      <c r="I116" s="71"/>
      <c r="J116" s="71"/>
      <c r="K116" s="70" t="s">
        <v>663</v>
      </c>
      <c r="L116" s="74">
        <v>909.9090909090909</v>
      </c>
      <c r="M116" s="75">
        <v>4134.6337890625</v>
      </c>
      <c r="N116" s="75">
        <v>4566.017578125</v>
      </c>
      <c r="O116" s="76"/>
      <c r="P116" s="77"/>
      <c r="Q116" s="77"/>
      <c r="R116" s="85"/>
      <c r="S116" s="48">
        <v>1</v>
      </c>
      <c r="T116" s="48">
        <v>1</v>
      </c>
      <c r="U116" s="49">
        <v>0</v>
      </c>
      <c r="V116" s="49">
        <v>0.076923</v>
      </c>
      <c r="W116" s="49">
        <v>0</v>
      </c>
      <c r="X116" s="49">
        <v>0.552561</v>
      </c>
      <c r="Y116" s="49">
        <v>0</v>
      </c>
      <c r="Z116" s="49">
        <v>1</v>
      </c>
      <c r="AA116" s="72">
        <v>116</v>
      </c>
      <c r="AB116" s="72"/>
      <c r="AC116" s="73"/>
      <c r="AD116" s="79" t="s">
        <v>663</v>
      </c>
      <c r="AE116" s="79"/>
      <c r="AF116" s="79"/>
      <c r="AG116" s="79"/>
      <c r="AH116" s="79"/>
      <c r="AI116" s="79"/>
      <c r="AJ116" s="83">
        <v>41503.20505787037</v>
      </c>
      <c r="AK116" s="81" t="str">
        <f>HYPERLINK("https://yt3.ggpht.com/a/AATXAJzALkjVq2yrlGOK-Yn91Lnjc4COCkWId7sR1jt2_w=s88-c-k-c0xffffffff-no-rj-mo")</f>
        <v>https://yt3.ggpht.com/a/AATXAJzALkjVq2yrlGOK-Yn91Lnjc4COCkWId7sR1jt2_w=s88-c-k-c0xffffffff-no-rj-mo</v>
      </c>
      <c r="AL116" s="79">
        <v>0</v>
      </c>
      <c r="AM116" s="79">
        <v>0</v>
      </c>
      <c r="AN116" s="79">
        <v>0</v>
      </c>
      <c r="AO116" s="79" t="b">
        <v>0</v>
      </c>
      <c r="AP116" s="79">
        <v>0</v>
      </c>
      <c r="AQ116" s="79"/>
      <c r="AR116" s="79"/>
      <c r="AS116" s="79" t="s">
        <v>1028</v>
      </c>
      <c r="AT116" s="81" t="str">
        <f>HYPERLINK("https://www.youtube.com/channel/UCLP9rg296XvOznLwGaJVdew")</f>
        <v>https://www.youtube.com/channel/UCLP9rg296XvOznLwGaJVdew</v>
      </c>
      <c r="AU116" s="79" t="str">
        <f>REPLACE(INDEX(GroupVertices[Group],MATCH(Vertices[[#This Row],[Vertex]],GroupVertices[Vertex],0)),1,1,"")</f>
        <v>5</v>
      </c>
      <c r="AV116" s="48">
        <v>0</v>
      </c>
      <c r="AW116" s="49">
        <v>0</v>
      </c>
      <c r="AX116" s="48">
        <v>0</v>
      </c>
      <c r="AY116" s="49">
        <v>0</v>
      </c>
      <c r="AZ116" s="48">
        <v>0</v>
      </c>
      <c r="BA116" s="49">
        <v>0</v>
      </c>
      <c r="BB116" s="48">
        <v>6</v>
      </c>
      <c r="BC116" s="49">
        <v>100</v>
      </c>
      <c r="BD116" s="48">
        <v>6</v>
      </c>
      <c r="BE116" s="48"/>
      <c r="BF116" s="48"/>
      <c r="BG116" s="48"/>
      <c r="BH116" s="48"/>
      <c r="BI116" s="48"/>
      <c r="BJ116" s="48"/>
      <c r="BK116" s="121" t="s">
        <v>1754</v>
      </c>
      <c r="BL116" s="121" t="s">
        <v>1754</v>
      </c>
      <c r="BM116" s="121" t="s">
        <v>1876</v>
      </c>
      <c r="BN116" s="121" t="s">
        <v>1876</v>
      </c>
      <c r="BO116" s="2"/>
      <c r="BP116" s="3"/>
      <c r="BQ116" s="3"/>
      <c r="BR116" s="3"/>
      <c r="BS116" s="3"/>
    </row>
    <row r="117" spans="1:71" ht="15">
      <c r="A117" s="65" t="s">
        <v>323</v>
      </c>
      <c r="B117" s="66"/>
      <c r="C117" s="66"/>
      <c r="D117" s="67">
        <v>600</v>
      </c>
      <c r="E117" s="69"/>
      <c r="F117" s="99" t="str">
        <f>HYPERLINK("https://yt3.ggpht.com/a/AATXAJy0uHCxGcqM2bLwuw9ISnng9ND38yH3ymz5mA=s88-c-k-c0xffffffff-no-rj-mo")</f>
        <v>https://yt3.ggpht.com/a/AATXAJy0uHCxGcqM2bLwuw9ISnng9ND38yH3ymz5mA=s88-c-k-c0xffffffff-no-rj-mo</v>
      </c>
      <c r="G117" s="66"/>
      <c r="H117" s="70" t="s">
        <v>664</v>
      </c>
      <c r="I117" s="71"/>
      <c r="J117" s="71"/>
      <c r="K117" s="70" t="s">
        <v>664</v>
      </c>
      <c r="L117" s="74">
        <v>909.9090909090909</v>
      </c>
      <c r="M117" s="75">
        <v>3502.83447265625</v>
      </c>
      <c r="N117" s="75">
        <v>6093.37646484375</v>
      </c>
      <c r="O117" s="76"/>
      <c r="P117" s="77"/>
      <c r="Q117" s="77"/>
      <c r="R117" s="85"/>
      <c r="S117" s="48">
        <v>1</v>
      </c>
      <c r="T117" s="48">
        <v>2</v>
      </c>
      <c r="U117" s="49">
        <v>0</v>
      </c>
      <c r="V117" s="49">
        <v>0.083333</v>
      </c>
      <c r="W117" s="49">
        <v>0</v>
      </c>
      <c r="X117" s="49">
        <v>0.960975</v>
      </c>
      <c r="Y117" s="49">
        <v>1</v>
      </c>
      <c r="Z117" s="49">
        <v>0.5</v>
      </c>
      <c r="AA117" s="72">
        <v>117</v>
      </c>
      <c r="AB117" s="72"/>
      <c r="AC117" s="73"/>
      <c r="AD117" s="79" t="s">
        <v>664</v>
      </c>
      <c r="AE117" s="79"/>
      <c r="AF117" s="79"/>
      <c r="AG117" s="79"/>
      <c r="AH117" s="79"/>
      <c r="AI117" s="79"/>
      <c r="AJ117" s="83">
        <v>40859.9766087963</v>
      </c>
      <c r="AK117" s="81" t="str">
        <f>HYPERLINK("https://yt3.ggpht.com/a/AATXAJy0uHCxGcqM2bLwuw9ISnng9ND38yH3ymz5mA=s88-c-k-c0xffffffff-no-rj-mo")</f>
        <v>https://yt3.ggpht.com/a/AATXAJy0uHCxGcqM2bLwuw9ISnng9ND38yH3ymz5mA=s88-c-k-c0xffffffff-no-rj-mo</v>
      </c>
      <c r="AL117" s="79">
        <v>0</v>
      </c>
      <c r="AM117" s="79">
        <v>0</v>
      </c>
      <c r="AN117" s="79">
        <v>0</v>
      </c>
      <c r="AO117" s="79" t="b">
        <v>0</v>
      </c>
      <c r="AP117" s="79">
        <v>0</v>
      </c>
      <c r="AQ117" s="79"/>
      <c r="AR117" s="79"/>
      <c r="AS117" s="79" t="s">
        <v>1028</v>
      </c>
      <c r="AT117" s="81" t="str">
        <f>HYPERLINK("https://www.youtube.com/channel/UCwHR-x4jQl_3foBBuSBPhHw")</f>
        <v>https://www.youtube.com/channel/UCwHR-x4jQl_3foBBuSBPhHw</v>
      </c>
      <c r="AU117" s="79" t="str">
        <f>REPLACE(INDEX(GroupVertices[Group],MATCH(Vertices[[#This Row],[Vertex]],GroupVertices[Vertex],0)),1,1,"")</f>
        <v>5</v>
      </c>
      <c r="AV117" s="48">
        <v>0</v>
      </c>
      <c r="AW117" s="49">
        <v>0</v>
      </c>
      <c r="AX117" s="48">
        <v>0</v>
      </c>
      <c r="AY117" s="49">
        <v>0</v>
      </c>
      <c r="AZ117" s="48">
        <v>0</v>
      </c>
      <c r="BA117" s="49">
        <v>0</v>
      </c>
      <c r="BB117" s="48">
        <v>22</v>
      </c>
      <c r="BC117" s="49">
        <v>100</v>
      </c>
      <c r="BD117" s="48">
        <v>22</v>
      </c>
      <c r="BE117" s="48"/>
      <c r="BF117" s="48"/>
      <c r="BG117" s="48"/>
      <c r="BH117" s="48"/>
      <c r="BI117" s="48"/>
      <c r="BJ117" s="48"/>
      <c r="BK117" s="121" t="s">
        <v>1755</v>
      </c>
      <c r="BL117" s="121" t="s">
        <v>1777</v>
      </c>
      <c r="BM117" s="121" t="s">
        <v>1877</v>
      </c>
      <c r="BN117" s="121" t="s">
        <v>1888</v>
      </c>
      <c r="BO117" s="2"/>
      <c r="BP117" s="3"/>
      <c r="BQ117" s="3"/>
      <c r="BR117" s="3"/>
      <c r="BS117" s="3"/>
    </row>
    <row r="118" spans="1:71" ht="15">
      <c r="A118" s="65" t="s">
        <v>324</v>
      </c>
      <c r="B118" s="66"/>
      <c r="C118" s="66"/>
      <c r="D118" s="67">
        <v>1000</v>
      </c>
      <c r="E118" s="69"/>
      <c r="F118" s="99" t="str">
        <f>HYPERLINK("https://yt3.ggpht.com/a/AATXAJxZzwX1dzmD3iOS51pb6eE1UMH2_C6oCpfKFA06Ng=s88-c-k-c0xffffffff-no-rj-mo")</f>
        <v>https://yt3.ggpht.com/a/AATXAJxZzwX1dzmD3iOS51pb6eE1UMH2_C6oCpfKFA06Ng=s88-c-k-c0xffffffff-no-rj-mo</v>
      </c>
      <c r="G118" s="66"/>
      <c r="H118" s="70" t="s">
        <v>665</v>
      </c>
      <c r="I118" s="71"/>
      <c r="J118" s="71"/>
      <c r="K118" s="70" t="s">
        <v>665</v>
      </c>
      <c r="L118" s="74">
        <v>1818.8181818181818</v>
      </c>
      <c r="M118" s="75">
        <v>3504.98828125</v>
      </c>
      <c r="N118" s="75">
        <v>5416.3271484375</v>
      </c>
      <c r="O118" s="76"/>
      <c r="P118" s="77"/>
      <c r="Q118" s="77"/>
      <c r="R118" s="85"/>
      <c r="S118" s="48">
        <v>2</v>
      </c>
      <c r="T118" s="48">
        <v>1</v>
      </c>
      <c r="U118" s="49">
        <v>0</v>
      </c>
      <c r="V118" s="49">
        <v>0.083333</v>
      </c>
      <c r="W118" s="49">
        <v>0</v>
      </c>
      <c r="X118" s="49">
        <v>0.960975</v>
      </c>
      <c r="Y118" s="49">
        <v>1</v>
      </c>
      <c r="Z118" s="49">
        <v>0.5</v>
      </c>
      <c r="AA118" s="72">
        <v>118</v>
      </c>
      <c r="AB118" s="72"/>
      <c r="AC118" s="73"/>
      <c r="AD118" s="79" t="s">
        <v>665</v>
      </c>
      <c r="AE118" s="79"/>
      <c r="AF118" s="79"/>
      <c r="AG118" s="79"/>
      <c r="AH118" s="79"/>
      <c r="AI118" s="79"/>
      <c r="AJ118" s="83">
        <v>40824.214849537035</v>
      </c>
      <c r="AK118" s="81" t="str">
        <f>HYPERLINK("https://yt3.ggpht.com/a/AATXAJxZzwX1dzmD3iOS51pb6eE1UMH2_C6oCpfKFA06Ng=s88-c-k-c0xffffffff-no-rj-mo")</f>
        <v>https://yt3.ggpht.com/a/AATXAJxZzwX1dzmD3iOS51pb6eE1UMH2_C6oCpfKFA06Ng=s88-c-k-c0xffffffff-no-rj-mo</v>
      </c>
      <c r="AL118" s="79">
        <v>0</v>
      </c>
      <c r="AM118" s="79">
        <v>0</v>
      </c>
      <c r="AN118" s="79">
        <v>1</v>
      </c>
      <c r="AO118" s="79" t="b">
        <v>0</v>
      </c>
      <c r="AP118" s="79">
        <v>0</v>
      </c>
      <c r="AQ118" s="79"/>
      <c r="AR118" s="79"/>
      <c r="AS118" s="79" t="s">
        <v>1028</v>
      </c>
      <c r="AT118" s="81" t="str">
        <f>HYPERLINK("https://www.youtube.com/channel/UCV-uhNsCQ0Ybu4twaEaj8CQ")</f>
        <v>https://www.youtube.com/channel/UCV-uhNsCQ0Ybu4twaEaj8CQ</v>
      </c>
      <c r="AU118" s="79" t="str">
        <f>REPLACE(INDEX(GroupVertices[Group],MATCH(Vertices[[#This Row],[Vertex]],GroupVertices[Vertex],0)),1,1,"")</f>
        <v>5</v>
      </c>
      <c r="AV118" s="48">
        <v>0</v>
      </c>
      <c r="AW118" s="49">
        <v>0</v>
      </c>
      <c r="AX118" s="48">
        <v>0</v>
      </c>
      <c r="AY118" s="49">
        <v>0</v>
      </c>
      <c r="AZ118" s="48">
        <v>0</v>
      </c>
      <c r="BA118" s="49">
        <v>0</v>
      </c>
      <c r="BB118" s="48">
        <v>33</v>
      </c>
      <c r="BC118" s="49">
        <v>100</v>
      </c>
      <c r="BD118" s="48">
        <v>33</v>
      </c>
      <c r="BE118" s="48"/>
      <c r="BF118" s="48"/>
      <c r="BG118" s="48"/>
      <c r="BH118" s="48"/>
      <c r="BI118" s="48"/>
      <c r="BJ118" s="48"/>
      <c r="BK118" s="121" t="s">
        <v>1756</v>
      </c>
      <c r="BL118" s="121" t="s">
        <v>1756</v>
      </c>
      <c r="BM118" s="121" t="s">
        <v>1878</v>
      </c>
      <c r="BN118" s="121" t="s">
        <v>1878</v>
      </c>
      <c r="BO118" s="2"/>
      <c r="BP118" s="3"/>
      <c r="BQ118" s="3"/>
      <c r="BR118" s="3"/>
      <c r="BS118" s="3"/>
    </row>
    <row r="119" spans="1:71" ht="15">
      <c r="A119" s="65" t="s">
        <v>325</v>
      </c>
      <c r="B119" s="66"/>
      <c r="C119" s="66"/>
      <c r="D119" s="67">
        <v>600</v>
      </c>
      <c r="E119" s="69"/>
      <c r="F119" s="99" t="str">
        <f>HYPERLINK("https://yt3.ggpht.com/a/AATXAJzIQ_r28Q4jQLUdHLVYnI7QBH8ANVaBLgu3j2NyKg=s88-c-k-c0xffffffff-no-rj-mo")</f>
        <v>https://yt3.ggpht.com/a/AATXAJzIQ_r28Q4jQLUdHLVYnI7QBH8ANVaBLgu3j2NyKg=s88-c-k-c0xffffffff-no-rj-mo</v>
      </c>
      <c r="G119" s="66"/>
      <c r="H119" s="70" t="s">
        <v>666</v>
      </c>
      <c r="I119" s="71"/>
      <c r="J119" s="71"/>
      <c r="K119" s="70" t="s">
        <v>666</v>
      </c>
      <c r="L119" s="74">
        <v>909.9090909090909</v>
      </c>
      <c r="M119" s="75">
        <v>5328.55419921875</v>
      </c>
      <c r="N119" s="75">
        <v>5764.35205078125</v>
      </c>
      <c r="O119" s="76"/>
      <c r="P119" s="77"/>
      <c r="Q119" s="77"/>
      <c r="R119" s="85"/>
      <c r="S119" s="48">
        <v>1</v>
      </c>
      <c r="T119" s="48">
        <v>1</v>
      </c>
      <c r="U119" s="49">
        <v>0</v>
      </c>
      <c r="V119" s="49">
        <v>0.076923</v>
      </c>
      <c r="W119" s="49">
        <v>0</v>
      </c>
      <c r="X119" s="49">
        <v>0.552561</v>
      </c>
      <c r="Y119" s="49">
        <v>0</v>
      </c>
      <c r="Z119" s="49">
        <v>1</v>
      </c>
      <c r="AA119" s="72">
        <v>119</v>
      </c>
      <c r="AB119" s="72"/>
      <c r="AC119" s="73"/>
      <c r="AD119" s="79" t="s">
        <v>666</v>
      </c>
      <c r="AE119" s="79"/>
      <c r="AF119" s="79"/>
      <c r="AG119" s="79"/>
      <c r="AH119" s="79"/>
      <c r="AI119" s="79"/>
      <c r="AJ119" s="83">
        <v>41622.12315972222</v>
      </c>
      <c r="AK119" s="81" t="str">
        <f>HYPERLINK("https://yt3.ggpht.com/a/AATXAJzIQ_r28Q4jQLUdHLVYnI7QBH8ANVaBLgu3j2NyKg=s88-c-k-c0xffffffff-no-rj-mo")</f>
        <v>https://yt3.ggpht.com/a/AATXAJzIQ_r28Q4jQLUdHLVYnI7QBH8ANVaBLgu3j2NyKg=s88-c-k-c0xffffffff-no-rj-mo</v>
      </c>
      <c r="AL119" s="79">
        <v>0</v>
      </c>
      <c r="AM119" s="79">
        <v>0</v>
      </c>
      <c r="AN119" s="79">
        <v>0</v>
      </c>
      <c r="AO119" s="79" t="b">
        <v>0</v>
      </c>
      <c r="AP119" s="79">
        <v>0</v>
      </c>
      <c r="AQ119" s="79"/>
      <c r="AR119" s="79"/>
      <c r="AS119" s="79" t="s">
        <v>1028</v>
      </c>
      <c r="AT119" s="81" t="str">
        <f>HYPERLINK("https://www.youtube.com/channel/UCdO355gbRMlaZLqhaz-X84w")</f>
        <v>https://www.youtube.com/channel/UCdO355gbRMlaZLqhaz-X84w</v>
      </c>
      <c r="AU119" s="79" t="str">
        <f>REPLACE(INDEX(GroupVertices[Group],MATCH(Vertices[[#This Row],[Vertex]],GroupVertices[Vertex],0)),1,1,"")</f>
        <v>5</v>
      </c>
      <c r="AV119" s="48">
        <v>0</v>
      </c>
      <c r="AW119" s="49">
        <v>0</v>
      </c>
      <c r="AX119" s="48">
        <v>0</v>
      </c>
      <c r="AY119" s="49">
        <v>0</v>
      </c>
      <c r="AZ119" s="48">
        <v>0</v>
      </c>
      <c r="BA119" s="49">
        <v>0</v>
      </c>
      <c r="BB119" s="48">
        <v>6</v>
      </c>
      <c r="BC119" s="49">
        <v>100</v>
      </c>
      <c r="BD119" s="48">
        <v>6</v>
      </c>
      <c r="BE119" s="48"/>
      <c r="BF119" s="48"/>
      <c r="BG119" s="48"/>
      <c r="BH119" s="48"/>
      <c r="BI119" s="48"/>
      <c r="BJ119" s="48"/>
      <c r="BK119" s="121" t="s">
        <v>1757</v>
      </c>
      <c r="BL119" s="121" t="s">
        <v>1757</v>
      </c>
      <c r="BM119" s="121" t="s">
        <v>1879</v>
      </c>
      <c r="BN119" s="121" t="s">
        <v>1879</v>
      </c>
      <c r="BO119" s="2"/>
      <c r="BP119" s="3"/>
      <c r="BQ119" s="3"/>
      <c r="BR119" s="3"/>
      <c r="BS119" s="3"/>
    </row>
    <row r="120" spans="1:71" ht="15">
      <c r="A120" s="65" t="s">
        <v>326</v>
      </c>
      <c r="B120" s="66"/>
      <c r="C120" s="66"/>
      <c r="D120" s="67">
        <v>600</v>
      </c>
      <c r="E120" s="69"/>
      <c r="F120" s="99" t="str">
        <f>HYPERLINK("https://yt3.ggpht.com/a/AATXAJygugBB_18GnEvOWxC0Y6-g6c-N6MneSGvBzQ=s88-c-k-c0xffffffff-no-rj-mo")</f>
        <v>https://yt3.ggpht.com/a/AATXAJygugBB_18GnEvOWxC0Y6-g6c-N6MneSGvBzQ=s88-c-k-c0xffffffff-no-rj-mo</v>
      </c>
      <c r="G120" s="66"/>
      <c r="H120" s="70" t="s">
        <v>667</v>
      </c>
      <c r="I120" s="71"/>
      <c r="J120" s="71"/>
      <c r="K120" s="70" t="s">
        <v>667</v>
      </c>
      <c r="L120" s="74">
        <v>909.9090909090909</v>
      </c>
      <c r="M120" s="75">
        <v>3599.208984375</v>
      </c>
      <c r="N120" s="75">
        <v>7399.7578125</v>
      </c>
      <c r="O120" s="76"/>
      <c r="P120" s="77"/>
      <c r="Q120" s="77"/>
      <c r="R120" s="85"/>
      <c r="S120" s="48">
        <v>1</v>
      </c>
      <c r="T120" s="48">
        <v>1</v>
      </c>
      <c r="U120" s="49">
        <v>0</v>
      </c>
      <c r="V120" s="49">
        <v>0.02381</v>
      </c>
      <c r="W120" s="49">
        <v>0</v>
      </c>
      <c r="X120" s="49">
        <v>0.583829</v>
      </c>
      <c r="Y120" s="49">
        <v>0</v>
      </c>
      <c r="Z120" s="49">
        <v>1</v>
      </c>
      <c r="AA120" s="72">
        <v>120</v>
      </c>
      <c r="AB120" s="72"/>
      <c r="AC120" s="73"/>
      <c r="AD120" s="79" t="s">
        <v>667</v>
      </c>
      <c r="AE120" s="79"/>
      <c r="AF120" s="79"/>
      <c r="AG120" s="79"/>
      <c r="AH120" s="79"/>
      <c r="AI120" s="79"/>
      <c r="AJ120" s="83">
        <v>41872.55668981482</v>
      </c>
      <c r="AK120" s="81" t="str">
        <f>HYPERLINK("https://yt3.ggpht.com/a/AATXAJygugBB_18GnEvOWxC0Y6-g6c-N6MneSGvBzQ=s88-c-k-c0xffffffff-no-rj-mo")</f>
        <v>https://yt3.ggpht.com/a/AATXAJygugBB_18GnEvOWxC0Y6-g6c-N6MneSGvBzQ=s88-c-k-c0xffffffff-no-rj-mo</v>
      </c>
      <c r="AL120" s="79">
        <v>0</v>
      </c>
      <c r="AM120" s="79">
        <v>0</v>
      </c>
      <c r="AN120" s="79">
        <v>0</v>
      </c>
      <c r="AO120" s="79" t="b">
        <v>0</v>
      </c>
      <c r="AP120" s="79">
        <v>0</v>
      </c>
      <c r="AQ120" s="79"/>
      <c r="AR120" s="79"/>
      <c r="AS120" s="79" t="s">
        <v>1028</v>
      </c>
      <c r="AT120" s="81" t="str">
        <f>HYPERLINK("https://www.youtube.com/channel/UC2YHRjs9y2Jy0mdzPR_gvdQ")</f>
        <v>https://www.youtube.com/channel/UC2YHRjs9y2Jy0mdzPR_gvdQ</v>
      </c>
      <c r="AU120" s="79" t="str">
        <f>REPLACE(INDEX(GroupVertices[Group],MATCH(Vertices[[#This Row],[Vertex]],GroupVertices[Vertex],0)),1,1,"")</f>
        <v>3</v>
      </c>
      <c r="AV120" s="48">
        <v>4</v>
      </c>
      <c r="AW120" s="49">
        <v>20</v>
      </c>
      <c r="AX120" s="48">
        <v>0</v>
      </c>
      <c r="AY120" s="49">
        <v>0</v>
      </c>
      <c r="AZ120" s="48">
        <v>0</v>
      </c>
      <c r="BA120" s="49">
        <v>0</v>
      </c>
      <c r="BB120" s="48">
        <v>16</v>
      </c>
      <c r="BC120" s="49">
        <v>80</v>
      </c>
      <c r="BD120" s="48">
        <v>20</v>
      </c>
      <c r="BE120" s="48"/>
      <c r="BF120" s="48"/>
      <c r="BG120" s="48"/>
      <c r="BH120" s="48"/>
      <c r="BI120" s="48"/>
      <c r="BJ120" s="48"/>
      <c r="BK120" s="121" t="s">
        <v>1758</v>
      </c>
      <c r="BL120" s="121" t="s">
        <v>1758</v>
      </c>
      <c r="BM120" s="121" t="s">
        <v>1880</v>
      </c>
      <c r="BN120" s="121" t="s">
        <v>1880</v>
      </c>
      <c r="BO120" s="2"/>
      <c r="BP120" s="3"/>
      <c r="BQ120" s="3"/>
      <c r="BR120" s="3"/>
      <c r="BS120" s="3"/>
    </row>
    <row r="121" spans="1:71" ht="15">
      <c r="A121" s="86" t="s">
        <v>327</v>
      </c>
      <c r="B121" s="87"/>
      <c r="C121" s="87"/>
      <c r="D121" s="88">
        <v>200</v>
      </c>
      <c r="E121" s="89"/>
      <c r="F121" s="100" t="str">
        <f>HYPERLINK("https://yt3.ggpht.com/a/AATXAJxqyYeDwxjICqk1gRpn7mIzQSUVsGaIQ39ilg=s88-c-k-c0xffffffff-no-rj-mo")</f>
        <v>https://yt3.ggpht.com/a/AATXAJxqyYeDwxjICqk1gRpn7mIzQSUVsGaIQ39ilg=s88-c-k-c0xffffffff-no-rj-mo</v>
      </c>
      <c r="G121" s="87"/>
      <c r="H121" s="90" t="s">
        <v>668</v>
      </c>
      <c r="I121" s="91"/>
      <c r="J121" s="91"/>
      <c r="K121" s="90" t="s">
        <v>668</v>
      </c>
      <c r="L121" s="92">
        <v>1</v>
      </c>
      <c r="M121" s="93">
        <v>4469.1650390625</v>
      </c>
      <c r="N121" s="93">
        <v>7094.666015625</v>
      </c>
      <c r="O121" s="94"/>
      <c r="P121" s="95"/>
      <c r="Q121" s="95"/>
      <c r="R121" s="96"/>
      <c r="S121" s="48">
        <v>0</v>
      </c>
      <c r="T121" s="48">
        <v>1</v>
      </c>
      <c r="U121" s="49">
        <v>0</v>
      </c>
      <c r="V121" s="49">
        <v>0.027778</v>
      </c>
      <c r="W121" s="49">
        <v>0</v>
      </c>
      <c r="X121" s="49">
        <v>0.538653</v>
      </c>
      <c r="Y121" s="49">
        <v>0</v>
      </c>
      <c r="Z121" s="49">
        <v>0</v>
      </c>
      <c r="AA121" s="97">
        <v>121</v>
      </c>
      <c r="AB121" s="97"/>
      <c r="AC121" s="98"/>
      <c r="AD121" s="79" t="s">
        <v>668</v>
      </c>
      <c r="AE121" s="79"/>
      <c r="AF121" s="79"/>
      <c r="AG121" s="79"/>
      <c r="AH121" s="79"/>
      <c r="AI121" s="79"/>
      <c r="AJ121" s="83">
        <v>43865.984930555554</v>
      </c>
      <c r="AK121" s="81" t="str">
        <f>HYPERLINK("https://yt3.ggpht.com/a/AATXAJxqyYeDwxjICqk1gRpn7mIzQSUVsGaIQ39ilg=s88-c-k-c0xffffffff-no-rj-mo")</f>
        <v>https://yt3.ggpht.com/a/AATXAJxqyYeDwxjICqk1gRpn7mIzQSUVsGaIQ39ilg=s88-c-k-c0xffffffff-no-rj-mo</v>
      </c>
      <c r="AL121" s="79">
        <v>0</v>
      </c>
      <c r="AM121" s="79">
        <v>0</v>
      </c>
      <c r="AN121" s="79">
        <v>0</v>
      </c>
      <c r="AO121" s="79" t="b">
        <v>0</v>
      </c>
      <c r="AP121" s="79">
        <v>0</v>
      </c>
      <c r="AQ121" s="79"/>
      <c r="AR121" s="79"/>
      <c r="AS121" s="79" t="s">
        <v>1028</v>
      </c>
      <c r="AT121" s="81" t="str">
        <f>HYPERLINK("https://www.youtube.com/channel/UCOkHNLgWs8h7Ga_QZU07ryA")</f>
        <v>https://www.youtube.com/channel/UCOkHNLgWs8h7Ga_QZU07ryA</v>
      </c>
      <c r="AU121" s="79" t="str">
        <f>REPLACE(INDEX(GroupVertices[Group],MATCH(Vertices[[#This Row],[Vertex]],GroupVertices[Vertex],0)),1,1,"")</f>
        <v>3</v>
      </c>
      <c r="AV121" s="48">
        <v>0</v>
      </c>
      <c r="AW121" s="49">
        <v>0</v>
      </c>
      <c r="AX121" s="48">
        <v>0</v>
      </c>
      <c r="AY121" s="49">
        <v>0</v>
      </c>
      <c r="AZ121" s="48">
        <v>0</v>
      </c>
      <c r="BA121" s="49">
        <v>0</v>
      </c>
      <c r="BB121" s="48">
        <v>52</v>
      </c>
      <c r="BC121" s="49">
        <v>100</v>
      </c>
      <c r="BD121" s="48">
        <v>52</v>
      </c>
      <c r="BE121" s="48"/>
      <c r="BF121" s="48"/>
      <c r="BG121" s="48"/>
      <c r="BH121" s="48"/>
      <c r="BI121" s="48"/>
      <c r="BJ121" s="48"/>
      <c r="BK121" s="121" t="s">
        <v>1759</v>
      </c>
      <c r="BL121" s="121" t="s">
        <v>1759</v>
      </c>
      <c r="BM121" s="121" t="s">
        <v>1881</v>
      </c>
      <c r="BN121" s="121" t="s">
        <v>1881</v>
      </c>
      <c r="BO121" s="2"/>
      <c r="BP121" s="3"/>
      <c r="BQ121" s="3"/>
      <c r="BR121" s="3"/>
      <c r="BS121" s="3"/>
    </row>
    <row r="122" spans="1:71" ht="15">
      <c r="A122" s="65" t="s">
        <v>860</v>
      </c>
      <c r="B122" s="66"/>
      <c r="C122" s="66"/>
      <c r="D122" s="67">
        <v>200</v>
      </c>
      <c r="E122" s="69"/>
      <c r="F122" s="99" t="str">
        <f>HYPERLINK("https://yt3.ggpht.com/a/AATXAJxXCP3omMge37rdYjgLhW1I9URqm4yjFDetqkrd=s88-c-k-c0xffffffff-no-rj-mo")</f>
        <v>https://yt3.ggpht.com/a/AATXAJxXCP3omMge37rdYjgLhW1I9URqm4yjFDetqkrd=s88-c-k-c0xffffffff-no-rj-mo</v>
      </c>
      <c r="G122" s="66" t="s">
        <v>51</v>
      </c>
      <c r="H122" s="70" t="s">
        <v>878</v>
      </c>
      <c r="I122" s="71"/>
      <c r="J122" s="71"/>
      <c r="K122" s="70" t="s">
        <v>878</v>
      </c>
      <c r="L122" s="74">
        <v>1</v>
      </c>
      <c r="M122" s="75">
        <v>1751.417236328125</v>
      </c>
      <c r="N122" s="75">
        <v>5457.06494140625</v>
      </c>
      <c r="O122" s="76"/>
      <c r="P122" s="77"/>
      <c r="Q122" s="77"/>
      <c r="R122" s="85"/>
      <c r="S122" s="48">
        <v>0</v>
      </c>
      <c r="T122" s="48">
        <v>0</v>
      </c>
      <c r="U122" s="49">
        <v>0</v>
      </c>
      <c r="V122" s="49">
        <v>0</v>
      </c>
      <c r="W122" s="49">
        <v>0</v>
      </c>
      <c r="X122" s="49">
        <v>0</v>
      </c>
      <c r="Y122" s="49">
        <v>0</v>
      </c>
      <c r="Z122" s="49">
        <v>0</v>
      </c>
      <c r="AA122" s="72">
        <v>122</v>
      </c>
      <c r="AB122" s="72"/>
      <c r="AC122" s="73"/>
      <c r="AD122" s="79" t="s">
        <v>878</v>
      </c>
      <c r="AE122" s="79" t="s">
        <v>952</v>
      </c>
      <c r="AF122" s="79"/>
      <c r="AG122" s="79"/>
      <c r="AH122" s="79"/>
      <c r="AI122" s="79" t="s">
        <v>1006</v>
      </c>
      <c r="AJ122" s="83">
        <v>43134.71685185185</v>
      </c>
      <c r="AK122" s="81" t="str">
        <f>HYPERLINK("https://yt3.ggpht.com/a/AATXAJxXCP3omMge37rdYjgLhW1I9URqm4yjFDetqkrd=s88-c-k-c0xffffffff-no-rj-mo")</f>
        <v>https://yt3.ggpht.com/a/AATXAJxXCP3omMge37rdYjgLhW1I9URqm4yjFDetqkrd=s88-c-k-c0xffffffff-no-rj-mo</v>
      </c>
      <c r="AL122" s="79">
        <v>1965855</v>
      </c>
      <c r="AM122" s="79">
        <v>0</v>
      </c>
      <c r="AN122" s="79">
        <v>22000</v>
      </c>
      <c r="AO122" s="79" t="b">
        <v>0</v>
      </c>
      <c r="AP122" s="79">
        <v>140</v>
      </c>
      <c r="AQ122" s="79"/>
      <c r="AR122" s="79"/>
      <c r="AS122" s="79" t="s">
        <v>1028</v>
      </c>
      <c r="AT122" s="81" t="str">
        <f>HYPERLINK("https://www.youtube.com/channel/UC-h-wArcxJC8zBOD-UxfCOg")</f>
        <v>https://www.youtube.com/channel/UC-h-wArcxJC8zBOD-UxfCOg</v>
      </c>
      <c r="AU122" s="79" t="str">
        <f>REPLACE(INDEX(GroupVertices[Group],MATCH(Vertices[[#This Row],[Vertex]],GroupVertices[Vertex],0)),1,1,"")</f>
        <v>1</v>
      </c>
      <c r="AV122" s="48"/>
      <c r="AW122" s="49"/>
      <c r="AX122" s="48"/>
      <c r="AY122" s="49"/>
      <c r="AZ122" s="48"/>
      <c r="BA122" s="49"/>
      <c r="BB122" s="48"/>
      <c r="BC122" s="49"/>
      <c r="BD122" s="48"/>
      <c r="BE122" s="48"/>
      <c r="BF122" s="48"/>
      <c r="BG122" s="48"/>
      <c r="BH122" s="48"/>
      <c r="BI122" s="48"/>
      <c r="BJ122" s="48"/>
      <c r="BK122" s="48"/>
      <c r="BL122" s="48"/>
      <c r="BM122" s="48"/>
      <c r="BN122" s="48"/>
      <c r="BO122" s="2"/>
      <c r="BP122" s="3"/>
      <c r="BQ122" s="3"/>
      <c r="BR122" s="3"/>
      <c r="BS122" s="3"/>
    </row>
    <row r="123" spans="1:71" ht="15">
      <c r="A123" s="65" t="s">
        <v>820</v>
      </c>
      <c r="B123" s="66"/>
      <c r="C123" s="66"/>
      <c r="D123" s="67">
        <v>200</v>
      </c>
      <c r="E123" s="69"/>
      <c r="F123" s="99" t="str">
        <f>HYPERLINK("https://yt3.ggpht.com/a/AATXAJxWUllxMt0NfXNVBi-6dvmzdKKoHoAbBQMpAPndJg=s88-c-k-c0xffffffff-no-rj-mo")</f>
        <v>https://yt3.ggpht.com/a/AATXAJxWUllxMt0NfXNVBi-6dvmzdKKoHoAbBQMpAPndJg=s88-c-k-c0xffffffff-no-rj-mo</v>
      </c>
      <c r="G123" s="66" t="s">
        <v>51</v>
      </c>
      <c r="H123" s="70" t="s">
        <v>879</v>
      </c>
      <c r="I123" s="71"/>
      <c r="J123" s="71"/>
      <c r="K123" s="70" t="s">
        <v>879</v>
      </c>
      <c r="L123" s="74">
        <v>1</v>
      </c>
      <c r="M123" s="75">
        <v>1093.3089599609375</v>
      </c>
      <c r="N123" s="75">
        <v>5457.06494140625</v>
      </c>
      <c r="O123" s="76"/>
      <c r="P123" s="77"/>
      <c r="Q123" s="77"/>
      <c r="R123" s="85"/>
      <c r="S123" s="48">
        <v>0</v>
      </c>
      <c r="T123" s="48">
        <v>0</v>
      </c>
      <c r="U123" s="49">
        <v>0</v>
      </c>
      <c r="V123" s="49">
        <v>0</v>
      </c>
      <c r="W123" s="49">
        <v>0</v>
      </c>
      <c r="X123" s="49">
        <v>0</v>
      </c>
      <c r="Y123" s="49">
        <v>0</v>
      </c>
      <c r="Z123" s="49">
        <v>0</v>
      </c>
      <c r="AA123" s="72">
        <v>123</v>
      </c>
      <c r="AB123" s="72"/>
      <c r="AC123" s="73"/>
      <c r="AD123" s="79" t="s">
        <v>879</v>
      </c>
      <c r="AE123" s="79" t="s">
        <v>953</v>
      </c>
      <c r="AF123" s="79"/>
      <c r="AG123" s="79"/>
      <c r="AH123" s="79"/>
      <c r="AI123" s="79" t="s">
        <v>1007</v>
      </c>
      <c r="AJ123" s="83">
        <v>41956.544803240744</v>
      </c>
      <c r="AK123" s="81" t="str">
        <f>HYPERLINK("https://yt3.ggpht.com/a/AATXAJxWUllxMt0NfXNVBi-6dvmzdKKoHoAbBQMpAPndJg=s88-c-k-c0xffffffff-no-rj-mo")</f>
        <v>https://yt3.ggpht.com/a/AATXAJxWUllxMt0NfXNVBi-6dvmzdKKoHoAbBQMpAPndJg=s88-c-k-c0xffffffff-no-rj-mo</v>
      </c>
      <c r="AL123" s="79">
        <v>1707372</v>
      </c>
      <c r="AM123" s="79">
        <v>0</v>
      </c>
      <c r="AN123" s="79">
        <v>2780</v>
      </c>
      <c r="AO123" s="79" t="b">
        <v>0</v>
      </c>
      <c r="AP123" s="79">
        <v>646</v>
      </c>
      <c r="AQ123" s="79"/>
      <c r="AR123" s="79"/>
      <c r="AS123" s="79" t="s">
        <v>1028</v>
      </c>
      <c r="AT123" s="81" t="str">
        <f>HYPERLINK("https://www.youtube.com/channel/UCTIJerXXeEuYuYPSTPblqVg")</f>
        <v>https://www.youtube.com/channel/UCTIJerXXeEuYuYPSTPblqVg</v>
      </c>
      <c r="AU123" s="79" t="str">
        <f>REPLACE(INDEX(GroupVertices[Group],MATCH(Vertices[[#This Row],[Vertex]],GroupVertices[Vertex],0)),1,1,"")</f>
        <v>1</v>
      </c>
      <c r="AV123" s="48"/>
      <c r="AW123" s="49"/>
      <c r="AX123" s="48"/>
      <c r="AY123" s="49"/>
      <c r="AZ123" s="48"/>
      <c r="BA123" s="49"/>
      <c r="BB123" s="48"/>
      <c r="BC123" s="49"/>
      <c r="BD123" s="48"/>
      <c r="BE123" s="48"/>
      <c r="BF123" s="48"/>
      <c r="BG123" s="48"/>
      <c r="BH123" s="48"/>
      <c r="BI123" s="48"/>
      <c r="BJ123" s="48"/>
      <c r="BK123" s="48"/>
      <c r="BL123" s="48"/>
      <c r="BM123" s="48"/>
      <c r="BN123" s="48"/>
      <c r="BO123" s="2"/>
      <c r="BP123" s="3"/>
      <c r="BQ123" s="3"/>
      <c r="BR123" s="3"/>
      <c r="BS123" s="3"/>
    </row>
    <row r="124" spans="1:71" ht="15">
      <c r="A124" s="65" t="s">
        <v>821</v>
      </c>
      <c r="B124" s="66"/>
      <c r="C124" s="66"/>
      <c r="D124" s="67">
        <v>200</v>
      </c>
      <c r="E124" s="69"/>
      <c r="F124" s="99" t="str">
        <f>HYPERLINK("https://yt3.ggpht.com/a/AATXAJxdf6cBxE7RVVsLc4UrGmQzlJqr9n_9P3grwg=s88-c-k-c0xffffffff-no-rj-mo")</f>
        <v>https://yt3.ggpht.com/a/AATXAJxdf6cBxE7RVVsLc4UrGmQzlJqr9n_9P3grwg=s88-c-k-c0xffffffff-no-rj-mo</v>
      </c>
      <c r="G124" s="66" t="s">
        <v>51</v>
      </c>
      <c r="H124" s="70" t="s">
        <v>880</v>
      </c>
      <c r="I124" s="71"/>
      <c r="J124" s="71"/>
      <c r="K124" s="70" t="s">
        <v>880</v>
      </c>
      <c r="L124" s="74">
        <v>1</v>
      </c>
      <c r="M124" s="75">
        <v>2409.525390625</v>
      </c>
      <c r="N124" s="75">
        <v>5457.06494140625</v>
      </c>
      <c r="O124" s="76"/>
      <c r="P124" s="77"/>
      <c r="Q124" s="77"/>
      <c r="R124" s="85"/>
      <c r="S124" s="48">
        <v>0</v>
      </c>
      <c r="T124" s="48">
        <v>0</v>
      </c>
      <c r="U124" s="49">
        <v>0</v>
      </c>
      <c r="V124" s="49">
        <v>0</v>
      </c>
      <c r="W124" s="49">
        <v>0</v>
      </c>
      <c r="X124" s="49">
        <v>0</v>
      </c>
      <c r="Y124" s="49">
        <v>0</v>
      </c>
      <c r="Z124" s="49">
        <v>0</v>
      </c>
      <c r="AA124" s="72">
        <v>124</v>
      </c>
      <c r="AB124" s="72"/>
      <c r="AC124" s="73"/>
      <c r="AD124" s="79" t="s">
        <v>880</v>
      </c>
      <c r="AE124" s="79"/>
      <c r="AF124" s="79"/>
      <c r="AG124" s="79"/>
      <c r="AH124" s="79"/>
      <c r="AI124" s="79" t="s">
        <v>1008</v>
      </c>
      <c r="AJ124" s="83">
        <v>41757.428449074076</v>
      </c>
      <c r="AK124" s="81" t="str">
        <f>HYPERLINK("https://yt3.ggpht.com/a/AATXAJxdf6cBxE7RVVsLc4UrGmQzlJqr9n_9P3grwg=s88-c-k-c0xffffffff-no-rj-mo")</f>
        <v>https://yt3.ggpht.com/a/AATXAJxdf6cBxE7RVVsLc4UrGmQzlJqr9n_9P3grwg=s88-c-k-c0xffffffff-no-rj-mo</v>
      </c>
      <c r="AL124" s="79">
        <v>191830</v>
      </c>
      <c r="AM124" s="79">
        <v>0</v>
      </c>
      <c r="AN124" s="79">
        <v>2180</v>
      </c>
      <c r="AO124" s="79" t="b">
        <v>0</v>
      </c>
      <c r="AP124" s="79">
        <v>65</v>
      </c>
      <c r="AQ124" s="79"/>
      <c r="AR124" s="79"/>
      <c r="AS124" s="79" t="s">
        <v>1028</v>
      </c>
      <c r="AT124" s="81" t="str">
        <f>HYPERLINK("https://www.youtube.com/channel/UCJIC_Bi1VNsf2QTLOlcTrzA")</f>
        <v>https://www.youtube.com/channel/UCJIC_Bi1VNsf2QTLOlcTrzA</v>
      </c>
      <c r="AU124" s="79" t="str">
        <f>REPLACE(INDEX(GroupVertices[Group],MATCH(Vertices[[#This Row],[Vertex]],GroupVertices[Vertex],0)),1,1,"")</f>
        <v>1</v>
      </c>
      <c r="AV124" s="48"/>
      <c r="AW124" s="49"/>
      <c r="AX124" s="48"/>
      <c r="AY124" s="49"/>
      <c r="AZ124" s="48"/>
      <c r="BA124" s="49"/>
      <c r="BB124" s="48"/>
      <c r="BC124" s="49"/>
      <c r="BD124" s="48"/>
      <c r="BE124" s="48"/>
      <c r="BF124" s="48"/>
      <c r="BG124" s="48"/>
      <c r="BH124" s="48"/>
      <c r="BI124" s="48"/>
      <c r="BJ124" s="48"/>
      <c r="BK124" s="48"/>
      <c r="BL124" s="48"/>
      <c r="BM124" s="48"/>
      <c r="BN124" s="48"/>
      <c r="BO124" s="2"/>
      <c r="BP124" s="3"/>
      <c r="BQ124" s="3"/>
      <c r="BR124" s="3"/>
      <c r="BS124" s="3"/>
    </row>
    <row r="125" spans="1:71" ht="15">
      <c r="A125" s="65" t="s">
        <v>822</v>
      </c>
      <c r="B125" s="66"/>
      <c r="C125" s="66"/>
      <c r="D125" s="67">
        <v>200</v>
      </c>
      <c r="E125" s="69"/>
      <c r="F125" s="99" t="str">
        <f>HYPERLINK("https://yt3.ggpht.com/a/AATXAJzZf_9sCOBDoE30rKTCJpc91gn2nXv9Sh3I2g=s88-c-k-c0xffffffff-no-rj-mo")</f>
        <v>https://yt3.ggpht.com/a/AATXAJzZf_9sCOBDoE30rKTCJpc91gn2nXv9Sh3I2g=s88-c-k-c0xffffffff-no-rj-mo</v>
      </c>
      <c r="G125" s="66" t="s">
        <v>51</v>
      </c>
      <c r="H125" s="70" t="s">
        <v>881</v>
      </c>
      <c r="I125" s="71"/>
      <c r="J125" s="71"/>
      <c r="K125" s="70" t="s">
        <v>881</v>
      </c>
      <c r="L125" s="74">
        <v>1</v>
      </c>
      <c r="M125" s="75">
        <v>435.20062255859375</v>
      </c>
      <c r="N125" s="75">
        <v>4657.5302734375</v>
      </c>
      <c r="O125" s="76"/>
      <c r="P125" s="77"/>
      <c r="Q125" s="77"/>
      <c r="R125" s="85"/>
      <c r="S125" s="48">
        <v>0</v>
      </c>
      <c r="T125" s="48">
        <v>0</v>
      </c>
      <c r="U125" s="49">
        <v>0</v>
      </c>
      <c r="V125" s="49">
        <v>0</v>
      </c>
      <c r="W125" s="49">
        <v>0</v>
      </c>
      <c r="X125" s="49">
        <v>0</v>
      </c>
      <c r="Y125" s="49">
        <v>0</v>
      </c>
      <c r="Z125" s="49">
        <v>0</v>
      </c>
      <c r="AA125" s="72">
        <v>125</v>
      </c>
      <c r="AB125" s="72"/>
      <c r="AC125" s="73"/>
      <c r="AD125" s="79" t="s">
        <v>881</v>
      </c>
      <c r="AE125" s="79" t="s">
        <v>954</v>
      </c>
      <c r="AF125" s="79"/>
      <c r="AG125" s="79"/>
      <c r="AH125" s="79"/>
      <c r="AI125" s="79"/>
      <c r="AJ125" s="83">
        <v>41854.36056712963</v>
      </c>
      <c r="AK125" s="81" t="str">
        <f>HYPERLINK("https://yt3.ggpht.com/a/AATXAJzZf_9sCOBDoE30rKTCJpc91gn2nXv9Sh3I2g=s88-c-k-c0xffffffff-no-rj-mo")</f>
        <v>https://yt3.ggpht.com/a/AATXAJzZf_9sCOBDoE30rKTCJpc91gn2nXv9Sh3I2g=s88-c-k-c0xffffffff-no-rj-mo</v>
      </c>
      <c r="AL125" s="79">
        <v>8984</v>
      </c>
      <c r="AM125" s="79">
        <v>0</v>
      </c>
      <c r="AN125" s="79">
        <v>484</v>
      </c>
      <c r="AO125" s="79" t="b">
        <v>0</v>
      </c>
      <c r="AP125" s="79">
        <v>128</v>
      </c>
      <c r="AQ125" s="79"/>
      <c r="AR125" s="79"/>
      <c r="AS125" s="79" t="s">
        <v>1028</v>
      </c>
      <c r="AT125" s="81" t="str">
        <f>HYPERLINK("https://www.youtube.com/channel/UC7Hp2JZOQmbjlC9Rn3vco5g")</f>
        <v>https://www.youtube.com/channel/UC7Hp2JZOQmbjlC9Rn3vco5g</v>
      </c>
      <c r="AU125" s="79" t="str">
        <f>REPLACE(INDEX(GroupVertices[Group],MATCH(Vertices[[#This Row],[Vertex]],GroupVertices[Vertex],0)),1,1,"")</f>
        <v>1</v>
      </c>
      <c r="AV125" s="48"/>
      <c r="AW125" s="49"/>
      <c r="AX125" s="48"/>
      <c r="AY125" s="49"/>
      <c r="AZ125" s="48"/>
      <c r="BA125" s="49"/>
      <c r="BB125" s="48"/>
      <c r="BC125" s="49"/>
      <c r="BD125" s="48"/>
      <c r="BE125" s="48"/>
      <c r="BF125" s="48"/>
      <c r="BG125" s="48"/>
      <c r="BH125" s="48"/>
      <c r="BI125" s="48"/>
      <c r="BJ125" s="48"/>
      <c r="BK125" s="48"/>
      <c r="BL125" s="48"/>
      <c r="BM125" s="48"/>
      <c r="BN125" s="48"/>
      <c r="BO125" s="2"/>
      <c r="BP125" s="3"/>
      <c r="BQ125" s="3"/>
      <c r="BR125" s="3"/>
      <c r="BS125" s="3"/>
    </row>
    <row r="126" spans="1:71" ht="15">
      <c r="A126" s="65" t="s">
        <v>823</v>
      </c>
      <c r="B126" s="66"/>
      <c r="C126" s="66"/>
      <c r="D126" s="67">
        <v>200</v>
      </c>
      <c r="E126" s="69"/>
      <c r="F126" s="99" t="str">
        <f>HYPERLINK("https://yt3.ggpht.com/a/AATXAJy7FutpEdgoQkFDxyhNSCg6jW4ufA8IuDeavw=s88-c-k-c0xffffffff-no-rj-mo")</f>
        <v>https://yt3.ggpht.com/a/AATXAJy7FutpEdgoQkFDxyhNSCg6jW4ufA8IuDeavw=s88-c-k-c0xffffffff-no-rj-mo</v>
      </c>
      <c r="G126" s="66" t="s">
        <v>51</v>
      </c>
      <c r="H126" s="70" t="s">
        <v>882</v>
      </c>
      <c r="I126" s="71"/>
      <c r="J126" s="71"/>
      <c r="K126" s="70" t="s">
        <v>882</v>
      </c>
      <c r="L126" s="74">
        <v>1</v>
      </c>
      <c r="M126" s="75">
        <v>3067.6337890625</v>
      </c>
      <c r="N126" s="75">
        <v>5457.06494140625</v>
      </c>
      <c r="O126" s="76"/>
      <c r="P126" s="77"/>
      <c r="Q126" s="77"/>
      <c r="R126" s="85"/>
      <c r="S126" s="48">
        <v>0</v>
      </c>
      <c r="T126" s="48">
        <v>0</v>
      </c>
      <c r="U126" s="49">
        <v>0</v>
      </c>
      <c r="V126" s="49">
        <v>0</v>
      </c>
      <c r="W126" s="49">
        <v>0</v>
      </c>
      <c r="X126" s="49">
        <v>0</v>
      </c>
      <c r="Y126" s="49">
        <v>0</v>
      </c>
      <c r="Z126" s="49">
        <v>0</v>
      </c>
      <c r="AA126" s="72">
        <v>126</v>
      </c>
      <c r="AB126" s="72"/>
      <c r="AC126" s="73"/>
      <c r="AD126" s="79" t="s">
        <v>882</v>
      </c>
      <c r="AE126" s="79" t="s">
        <v>955</v>
      </c>
      <c r="AF126" s="79"/>
      <c r="AG126" s="79"/>
      <c r="AH126" s="79"/>
      <c r="AI126" s="79"/>
      <c r="AJ126" s="83">
        <v>39212.54247685185</v>
      </c>
      <c r="AK126" s="81" t="str">
        <f>HYPERLINK("https://yt3.ggpht.com/a/AATXAJy7FutpEdgoQkFDxyhNSCg6jW4ufA8IuDeavw=s88-c-k-c0xffffffff-no-rj-mo")</f>
        <v>https://yt3.ggpht.com/a/AATXAJy7FutpEdgoQkFDxyhNSCg6jW4ufA8IuDeavw=s88-c-k-c0xffffffff-no-rj-mo</v>
      </c>
      <c r="AL126" s="79">
        <v>960471</v>
      </c>
      <c r="AM126" s="79">
        <v>0</v>
      </c>
      <c r="AN126" s="79">
        <v>2120</v>
      </c>
      <c r="AO126" s="79" t="b">
        <v>0</v>
      </c>
      <c r="AP126" s="79">
        <v>84</v>
      </c>
      <c r="AQ126" s="79"/>
      <c r="AR126" s="79"/>
      <c r="AS126" s="79" t="s">
        <v>1028</v>
      </c>
      <c r="AT126" s="81" t="str">
        <f>HYPERLINK("https://www.youtube.com/channel/UC1sbCcAvuhdjdTPlIAkZBvQ")</f>
        <v>https://www.youtube.com/channel/UC1sbCcAvuhdjdTPlIAkZBvQ</v>
      </c>
      <c r="AU126" s="79" t="str">
        <f>REPLACE(INDEX(GroupVertices[Group],MATCH(Vertices[[#This Row],[Vertex]],GroupVertices[Vertex],0)),1,1,"")</f>
        <v>1</v>
      </c>
      <c r="AV126" s="48"/>
      <c r="AW126" s="49"/>
      <c r="AX126" s="48"/>
      <c r="AY126" s="49"/>
      <c r="AZ126" s="48"/>
      <c r="BA126" s="49"/>
      <c r="BB126" s="48"/>
      <c r="BC126" s="49"/>
      <c r="BD126" s="48"/>
      <c r="BE126" s="48"/>
      <c r="BF126" s="48"/>
      <c r="BG126" s="48"/>
      <c r="BH126" s="48"/>
      <c r="BI126" s="48"/>
      <c r="BJ126" s="48"/>
      <c r="BK126" s="48"/>
      <c r="BL126" s="48"/>
      <c r="BM126" s="48"/>
      <c r="BN126" s="48"/>
      <c r="BO126" s="2"/>
      <c r="BP126" s="3"/>
      <c r="BQ126" s="3"/>
      <c r="BR126" s="3"/>
      <c r="BS126" s="3"/>
    </row>
    <row r="127" spans="1:71" ht="15">
      <c r="A127" s="65" t="s">
        <v>824</v>
      </c>
      <c r="B127" s="66"/>
      <c r="C127" s="66"/>
      <c r="D127" s="67">
        <v>200</v>
      </c>
      <c r="E127" s="69"/>
      <c r="F127" s="99" t="str">
        <f>HYPERLINK("https://yt3.ggpht.com/a/AATXAJwCGITvEHgmkuELw_mhDXxhhQDSGIYZEMB7kQ=s88-c-k-c0xffffffff-no-rj-mo")</f>
        <v>https://yt3.ggpht.com/a/AATXAJwCGITvEHgmkuELw_mhDXxhhQDSGIYZEMB7kQ=s88-c-k-c0xffffffff-no-rj-mo</v>
      </c>
      <c r="G127" s="66" t="s">
        <v>51</v>
      </c>
      <c r="H127" s="70" t="s">
        <v>883</v>
      </c>
      <c r="I127" s="71"/>
      <c r="J127" s="71"/>
      <c r="K127" s="70" t="s">
        <v>883</v>
      </c>
      <c r="L127" s="74">
        <v>1</v>
      </c>
      <c r="M127" s="75">
        <v>1751.417236328125</v>
      </c>
      <c r="N127" s="75">
        <v>6256.599609375</v>
      </c>
      <c r="O127" s="76"/>
      <c r="P127" s="77"/>
      <c r="Q127" s="77"/>
      <c r="R127" s="85"/>
      <c r="S127" s="48">
        <v>0</v>
      </c>
      <c r="T127" s="48">
        <v>0</v>
      </c>
      <c r="U127" s="49">
        <v>0</v>
      </c>
      <c r="V127" s="49">
        <v>0</v>
      </c>
      <c r="W127" s="49">
        <v>0</v>
      </c>
      <c r="X127" s="49">
        <v>0</v>
      </c>
      <c r="Y127" s="49">
        <v>0</v>
      </c>
      <c r="Z127" s="49">
        <v>0</v>
      </c>
      <c r="AA127" s="72">
        <v>127</v>
      </c>
      <c r="AB127" s="72"/>
      <c r="AC127" s="73"/>
      <c r="AD127" s="79" t="s">
        <v>883</v>
      </c>
      <c r="AE127" s="79" t="s">
        <v>956</v>
      </c>
      <c r="AF127" s="79"/>
      <c r="AG127" s="79"/>
      <c r="AH127" s="79"/>
      <c r="AI127" s="79" t="s">
        <v>1009</v>
      </c>
      <c r="AJ127" s="83">
        <v>42535.95951388889</v>
      </c>
      <c r="AK127" s="81" t="str">
        <f>HYPERLINK("https://yt3.ggpht.com/a/AATXAJwCGITvEHgmkuELw_mhDXxhhQDSGIYZEMB7kQ=s88-c-k-c0xffffffff-no-rj-mo")</f>
        <v>https://yt3.ggpht.com/a/AATXAJwCGITvEHgmkuELw_mhDXxhhQDSGIYZEMB7kQ=s88-c-k-c0xffffffff-no-rj-mo</v>
      </c>
      <c r="AL127" s="79">
        <v>428312</v>
      </c>
      <c r="AM127" s="79">
        <v>0</v>
      </c>
      <c r="AN127" s="79">
        <v>22900</v>
      </c>
      <c r="AO127" s="79" t="b">
        <v>0</v>
      </c>
      <c r="AP127" s="79">
        <v>96</v>
      </c>
      <c r="AQ127" s="79"/>
      <c r="AR127" s="79"/>
      <c r="AS127" s="79" t="s">
        <v>1028</v>
      </c>
      <c r="AT127" s="81" t="str">
        <f>HYPERLINK("https://www.youtube.com/channel/UCOcjS2ppQSqIsbMgWGCfLew")</f>
        <v>https://www.youtube.com/channel/UCOcjS2ppQSqIsbMgWGCfLew</v>
      </c>
      <c r="AU127" s="79" t="str">
        <f>REPLACE(INDEX(GroupVertices[Group],MATCH(Vertices[[#This Row],[Vertex]],GroupVertices[Vertex],0)),1,1,"")</f>
        <v>1</v>
      </c>
      <c r="AV127" s="48"/>
      <c r="AW127" s="49"/>
      <c r="AX127" s="48"/>
      <c r="AY127" s="49"/>
      <c r="AZ127" s="48"/>
      <c r="BA127" s="49"/>
      <c r="BB127" s="48"/>
      <c r="BC127" s="49"/>
      <c r="BD127" s="48"/>
      <c r="BE127" s="48"/>
      <c r="BF127" s="48"/>
      <c r="BG127" s="48"/>
      <c r="BH127" s="48"/>
      <c r="BI127" s="48"/>
      <c r="BJ127" s="48"/>
      <c r="BK127" s="48"/>
      <c r="BL127" s="48"/>
      <c r="BM127" s="48"/>
      <c r="BN127" s="48"/>
      <c r="BO127" s="2"/>
      <c r="BP127" s="3"/>
      <c r="BQ127" s="3"/>
      <c r="BR127" s="3"/>
      <c r="BS127" s="3"/>
    </row>
    <row r="128" spans="1:71" ht="15">
      <c r="A128" s="65" t="s">
        <v>825</v>
      </c>
      <c r="B128" s="66"/>
      <c r="C128" s="66"/>
      <c r="D128" s="67">
        <v>200</v>
      </c>
      <c r="E128" s="69"/>
      <c r="F128" s="99" t="str">
        <f>HYPERLINK("https://yt3.ggpht.com/a/AATXAJy0KKX6I50voXbwn2EWTv9nHNCpEfSKy1UeLPrb=s88-c-k-c0xffffffff-no-rj-mo")</f>
        <v>https://yt3.ggpht.com/a/AATXAJy0KKX6I50voXbwn2EWTv9nHNCpEfSKy1UeLPrb=s88-c-k-c0xffffffff-no-rj-mo</v>
      </c>
      <c r="G128" s="66" t="s">
        <v>51</v>
      </c>
      <c r="H128" s="70" t="s">
        <v>884</v>
      </c>
      <c r="I128" s="71"/>
      <c r="J128" s="71"/>
      <c r="K128" s="70" t="s">
        <v>884</v>
      </c>
      <c r="L128" s="74">
        <v>1</v>
      </c>
      <c r="M128" s="75">
        <v>1093.3089599609375</v>
      </c>
      <c r="N128" s="75">
        <v>6256.599609375</v>
      </c>
      <c r="O128" s="76"/>
      <c r="P128" s="77"/>
      <c r="Q128" s="77"/>
      <c r="R128" s="85"/>
      <c r="S128" s="48">
        <v>0</v>
      </c>
      <c r="T128" s="48">
        <v>0</v>
      </c>
      <c r="U128" s="49">
        <v>0</v>
      </c>
      <c r="V128" s="49">
        <v>0</v>
      </c>
      <c r="W128" s="49">
        <v>0</v>
      </c>
      <c r="X128" s="49">
        <v>0</v>
      </c>
      <c r="Y128" s="49">
        <v>0</v>
      </c>
      <c r="Z128" s="49">
        <v>0</v>
      </c>
      <c r="AA128" s="72">
        <v>128</v>
      </c>
      <c r="AB128" s="72"/>
      <c r="AC128" s="73"/>
      <c r="AD128" s="79" t="s">
        <v>884</v>
      </c>
      <c r="AE128" s="79" t="s">
        <v>957</v>
      </c>
      <c r="AF128" s="79"/>
      <c r="AG128" s="79"/>
      <c r="AH128" s="79"/>
      <c r="AI128" s="79"/>
      <c r="AJ128" s="83">
        <v>43995.7878125</v>
      </c>
      <c r="AK128" s="81" t="str">
        <f>HYPERLINK("https://yt3.ggpht.com/a/AATXAJy0KKX6I50voXbwn2EWTv9nHNCpEfSKy1UeLPrb=s88-c-k-c0xffffffff-no-rj-mo")</f>
        <v>https://yt3.ggpht.com/a/AATXAJy0KKX6I50voXbwn2EWTv9nHNCpEfSKy1UeLPrb=s88-c-k-c0xffffffff-no-rj-mo</v>
      </c>
      <c r="AL128" s="79">
        <v>63</v>
      </c>
      <c r="AM128" s="79">
        <v>0</v>
      </c>
      <c r="AN128" s="79">
        <v>13</v>
      </c>
      <c r="AO128" s="79" t="b">
        <v>0</v>
      </c>
      <c r="AP128" s="79">
        <v>4</v>
      </c>
      <c r="AQ128" s="79"/>
      <c r="AR128" s="79"/>
      <c r="AS128" s="79" t="s">
        <v>1028</v>
      </c>
      <c r="AT128" s="81" t="str">
        <f>HYPERLINK("https://www.youtube.com/channel/UCy0gSC9BFQBY5jdShxxKK8A")</f>
        <v>https://www.youtube.com/channel/UCy0gSC9BFQBY5jdShxxKK8A</v>
      </c>
      <c r="AU128" s="79" t="str">
        <f>REPLACE(INDEX(GroupVertices[Group],MATCH(Vertices[[#This Row],[Vertex]],GroupVertices[Vertex],0)),1,1,"")</f>
        <v>1</v>
      </c>
      <c r="AV128" s="48"/>
      <c r="AW128" s="49"/>
      <c r="AX128" s="48"/>
      <c r="AY128" s="49"/>
      <c r="AZ128" s="48"/>
      <c r="BA128" s="49"/>
      <c r="BB128" s="48"/>
      <c r="BC128" s="49"/>
      <c r="BD128" s="48"/>
      <c r="BE128" s="48"/>
      <c r="BF128" s="48"/>
      <c r="BG128" s="48"/>
      <c r="BH128" s="48"/>
      <c r="BI128" s="48"/>
      <c r="BJ128" s="48"/>
      <c r="BK128" s="48"/>
      <c r="BL128" s="48"/>
      <c r="BM128" s="48"/>
      <c r="BN128" s="48"/>
      <c r="BO128" s="2"/>
      <c r="BP128" s="3"/>
      <c r="BQ128" s="3"/>
      <c r="BR128" s="3"/>
      <c r="BS128" s="3"/>
    </row>
    <row r="129" spans="1:71" ht="15">
      <c r="A129" s="65" t="s">
        <v>826</v>
      </c>
      <c r="B129" s="66"/>
      <c r="C129" s="66"/>
      <c r="D129" s="67">
        <v>200</v>
      </c>
      <c r="E129" s="69"/>
      <c r="F129" s="99" t="str">
        <f>HYPERLINK("https://yt3.ggpht.com/a/AATXAJxptEHNtkmfw__8UIs0sNZiR2DAJ0ROhUnZDg=s88-c-k-c0xffffffff-no-rj-mo")</f>
        <v>https://yt3.ggpht.com/a/AATXAJxptEHNtkmfw__8UIs0sNZiR2DAJ0ROhUnZDg=s88-c-k-c0xffffffff-no-rj-mo</v>
      </c>
      <c r="G129" s="66" t="s">
        <v>51</v>
      </c>
      <c r="H129" s="70" t="s">
        <v>885</v>
      </c>
      <c r="I129" s="71"/>
      <c r="J129" s="71"/>
      <c r="K129" s="70" t="s">
        <v>885</v>
      </c>
      <c r="L129" s="74">
        <v>1</v>
      </c>
      <c r="M129" s="75">
        <v>2409.525390625</v>
      </c>
      <c r="N129" s="75">
        <v>6256.599609375</v>
      </c>
      <c r="O129" s="76"/>
      <c r="P129" s="77"/>
      <c r="Q129" s="77"/>
      <c r="R129" s="85"/>
      <c r="S129" s="48">
        <v>0</v>
      </c>
      <c r="T129" s="48">
        <v>0</v>
      </c>
      <c r="U129" s="49">
        <v>0</v>
      </c>
      <c r="V129" s="49">
        <v>0</v>
      </c>
      <c r="W129" s="49">
        <v>0</v>
      </c>
      <c r="X129" s="49">
        <v>0</v>
      </c>
      <c r="Y129" s="49">
        <v>0</v>
      </c>
      <c r="Z129" s="49">
        <v>0</v>
      </c>
      <c r="AA129" s="72">
        <v>129</v>
      </c>
      <c r="AB129" s="72"/>
      <c r="AC129" s="73"/>
      <c r="AD129" s="79" t="s">
        <v>885</v>
      </c>
      <c r="AE129" s="79" t="s">
        <v>958</v>
      </c>
      <c r="AF129" s="79"/>
      <c r="AG129" s="79"/>
      <c r="AH129" s="79"/>
      <c r="AI129" s="79" t="s">
        <v>1010</v>
      </c>
      <c r="AJ129" s="83">
        <v>41421.937743055554</v>
      </c>
      <c r="AK129" s="81" t="str">
        <f>HYPERLINK("https://yt3.ggpht.com/a/AATXAJxptEHNtkmfw__8UIs0sNZiR2DAJ0ROhUnZDg=s88-c-k-c0xffffffff-no-rj-mo")</f>
        <v>https://yt3.ggpht.com/a/AATXAJxptEHNtkmfw__8UIs0sNZiR2DAJ0ROhUnZDg=s88-c-k-c0xffffffff-no-rj-mo</v>
      </c>
      <c r="AL129" s="79">
        <v>4279</v>
      </c>
      <c r="AM129" s="79">
        <v>0</v>
      </c>
      <c r="AN129" s="79">
        <v>158</v>
      </c>
      <c r="AO129" s="79" t="b">
        <v>0</v>
      </c>
      <c r="AP129" s="79">
        <v>59</v>
      </c>
      <c r="AQ129" s="79"/>
      <c r="AR129" s="79"/>
      <c r="AS129" s="79" t="s">
        <v>1028</v>
      </c>
      <c r="AT129" s="81" t="str">
        <f>HYPERLINK("https://www.youtube.com/channel/UChp8RTzgLSkhWJ5B1czzXZw")</f>
        <v>https://www.youtube.com/channel/UChp8RTzgLSkhWJ5B1czzXZw</v>
      </c>
      <c r="AU129" s="79" t="str">
        <f>REPLACE(INDEX(GroupVertices[Group],MATCH(Vertices[[#This Row],[Vertex]],GroupVertices[Vertex],0)),1,1,"")</f>
        <v>1</v>
      </c>
      <c r="AV129" s="48"/>
      <c r="AW129" s="49"/>
      <c r="AX129" s="48"/>
      <c r="AY129" s="49"/>
      <c r="AZ129" s="48"/>
      <c r="BA129" s="49"/>
      <c r="BB129" s="48"/>
      <c r="BC129" s="49"/>
      <c r="BD129" s="48"/>
      <c r="BE129" s="48"/>
      <c r="BF129" s="48"/>
      <c r="BG129" s="48"/>
      <c r="BH129" s="48"/>
      <c r="BI129" s="48"/>
      <c r="BJ129" s="48"/>
      <c r="BK129" s="48"/>
      <c r="BL129" s="48"/>
      <c r="BM129" s="48"/>
      <c r="BN129" s="48"/>
      <c r="BO129" s="2"/>
      <c r="BP129" s="3"/>
      <c r="BQ129" s="3"/>
      <c r="BR129" s="3"/>
      <c r="BS129" s="3"/>
    </row>
    <row r="130" spans="1:71" ht="15">
      <c r="A130" s="65" t="s">
        <v>827</v>
      </c>
      <c r="B130" s="66"/>
      <c r="C130" s="66"/>
      <c r="D130" s="67">
        <v>200</v>
      </c>
      <c r="E130" s="69"/>
      <c r="F130" s="99" t="str">
        <f>HYPERLINK("https://yt3.ggpht.com/a/AATXAJxKmUXdC44hAqPWd2rVecAotJLgiqAupyLxfA=s88-c-k-c0xffffffff-no-rj-mo")</f>
        <v>https://yt3.ggpht.com/a/AATXAJxKmUXdC44hAqPWd2rVecAotJLgiqAupyLxfA=s88-c-k-c0xffffffff-no-rj-mo</v>
      </c>
      <c r="G130" s="66" t="s">
        <v>51</v>
      </c>
      <c r="H130" s="70" t="s">
        <v>886</v>
      </c>
      <c r="I130" s="71"/>
      <c r="J130" s="71"/>
      <c r="K130" s="70" t="s">
        <v>886</v>
      </c>
      <c r="L130" s="74">
        <v>1</v>
      </c>
      <c r="M130" s="75">
        <v>435.20062255859375</v>
      </c>
      <c r="N130" s="75">
        <v>5457.06494140625</v>
      </c>
      <c r="O130" s="76"/>
      <c r="P130" s="77"/>
      <c r="Q130" s="77"/>
      <c r="R130" s="85"/>
      <c r="S130" s="48">
        <v>0</v>
      </c>
      <c r="T130" s="48">
        <v>0</v>
      </c>
      <c r="U130" s="49">
        <v>0</v>
      </c>
      <c r="V130" s="49">
        <v>0</v>
      </c>
      <c r="W130" s="49">
        <v>0</v>
      </c>
      <c r="X130" s="49">
        <v>0</v>
      </c>
      <c r="Y130" s="49">
        <v>0</v>
      </c>
      <c r="Z130" s="49">
        <v>0</v>
      </c>
      <c r="AA130" s="72">
        <v>130</v>
      </c>
      <c r="AB130" s="72"/>
      <c r="AC130" s="73"/>
      <c r="AD130" s="79" t="s">
        <v>886</v>
      </c>
      <c r="AE130" s="79" t="s">
        <v>959</v>
      </c>
      <c r="AF130" s="79"/>
      <c r="AG130" s="79"/>
      <c r="AH130" s="79"/>
      <c r="AI130" s="79" t="s">
        <v>1011</v>
      </c>
      <c r="AJ130" s="83">
        <v>40818.206354166665</v>
      </c>
      <c r="AK130" s="81" t="str">
        <f>HYPERLINK("https://yt3.ggpht.com/a/AATXAJxKmUXdC44hAqPWd2rVecAotJLgiqAupyLxfA=s88-c-k-c0xffffffff-no-rj-mo")</f>
        <v>https://yt3.ggpht.com/a/AATXAJxKmUXdC44hAqPWd2rVecAotJLgiqAupyLxfA=s88-c-k-c0xffffffff-no-rj-mo</v>
      </c>
      <c r="AL130" s="79">
        <v>581429</v>
      </c>
      <c r="AM130" s="79">
        <v>0</v>
      </c>
      <c r="AN130" s="79">
        <v>940</v>
      </c>
      <c r="AO130" s="79" t="b">
        <v>0</v>
      </c>
      <c r="AP130" s="79">
        <v>1616</v>
      </c>
      <c r="AQ130" s="79"/>
      <c r="AR130" s="79"/>
      <c r="AS130" s="79" t="s">
        <v>1028</v>
      </c>
      <c r="AT130" s="81" t="str">
        <f>HYPERLINK("https://www.youtube.com/channel/UCgUdsjOxUNqi--7ZLzOoPuw")</f>
        <v>https://www.youtube.com/channel/UCgUdsjOxUNqi--7ZLzOoPuw</v>
      </c>
      <c r="AU130" s="79" t="str">
        <f>REPLACE(INDEX(GroupVertices[Group],MATCH(Vertices[[#This Row],[Vertex]],GroupVertices[Vertex],0)),1,1,"")</f>
        <v>1</v>
      </c>
      <c r="AV130" s="48"/>
      <c r="AW130" s="49"/>
      <c r="AX130" s="48"/>
      <c r="AY130" s="49"/>
      <c r="AZ130" s="48"/>
      <c r="BA130" s="49"/>
      <c r="BB130" s="48"/>
      <c r="BC130" s="49"/>
      <c r="BD130" s="48"/>
      <c r="BE130" s="48"/>
      <c r="BF130" s="48"/>
      <c r="BG130" s="48"/>
      <c r="BH130" s="48"/>
      <c r="BI130" s="48"/>
      <c r="BJ130" s="48"/>
      <c r="BK130" s="48"/>
      <c r="BL130" s="48"/>
      <c r="BM130" s="48"/>
      <c r="BN130" s="48"/>
      <c r="BO130" s="2"/>
      <c r="BP130" s="3"/>
      <c r="BQ130" s="3"/>
      <c r="BR130" s="3"/>
      <c r="BS130" s="3"/>
    </row>
    <row r="131" spans="1:71" ht="15">
      <c r="A131" s="65" t="s">
        <v>828</v>
      </c>
      <c r="B131" s="66"/>
      <c r="C131" s="66"/>
      <c r="D131" s="67">
        <v>200</v>
      </c>
      <c r="E131" s="69"/>
      <c r="F131" s="99" t="str">
        <f>HYPERLINK("https://yt3.ggpht.com/a/AATXAJx1CqMtS1A0DPQoqP5EPY-QGIdNwO3Gn2S1GCsqTA=s88-c-k-c0xffffffff-no-rj-mo")</f>
        <v>https://yt3.ggpht.com/a/AATXAJx1CqMtS1A0DPQoqP5EPY-QGIdNwO3Gn2S1GCsqTA=s88-c-k-c0xffffffff-no-rj-mo</v>
      </c>
      <c r="G131" s="66" t="s">
        <v>51</v>
      </c>
      <c r="H131" s="70" t="s">
        <v>887</v>
      </c>
      <c r="I131" s="71"/>
      <c r="J131" s="71"/>
      <c r="K131" s="70" t="s">
        <v>887</v>
      </c>
      <c r="L131" s="74">
        <v>1</v>
      </c>
      <c r="M131" s="75">
        <v>3067.6337890625</v>
      </c>
      <c r="N131" s="75">
        <v>6256.599609375</v>
      </c>
      <c r="O131" s="76"/>
      <c r="P131" s="77"/>
      <c r="Q131" s="77"/>
      <c r="R131" s="85"/>
      <c r="S131" s="48">
        <v>0</v>
      </c>
      <c r="T131" s="48">
        <v>0</v>
      </c>
      <c r="U131" s="49">
        <v>0</v>
      </c>
      <c r="V131" s="49">
        <v>0</v>
      </c>
      <c r="W131" s="49">
        <v>0</v>
      </c>
      <c r="X131" s="49">
        <v>0</v>
      </c>
      <c r="Y131" s="49">
        <v>0</v>
      </c>
      <c r="Z131" s="49">
        <v>0</v>
      </c>
      <c r="AA131" s="72">
        <v>131</v>
      </c>
      <c r="AB131" s="72"/>
      <c r="AC131" s="73"/>
      <c r="AD131" s="79" t="s">
        <v>887</v>
      </c>
      <c r="AE131" s="79" t="s">
        <v>960</v>
      </c>
      <c r="AF131" s="79"/>
      <c r="AG131" s="79"/>
      <c r="AH131" s="79"/>
      <c r="AI131" s="79" t="s">
        <v>1012</v>
      </c>
      <c r="AJ131" s="83">
        <v>42257.13469907407</v>
      </c>
      <c r="AK131" s="81" t="str">
        <f>HYPERLINK("https://yt3.ggpht.com/a/AATXAJx1CqMtS1A0DPQoqP5EPY-QGIdNwO3Gn2S1GCsqTA=s88-c-k-c0xffffffff-no-rj-mo")</f>
        <v>https://yt3.ggpht.com/a/AATXAJx1CqMtS1A0DPQoqP5EPY-QGIdNwO3Gn2S1GCsqTA=s88-c-k-c0xffffffff-no-rj-mo</v>
      </c>
      <c r="AL131" s="79">
        <v>1020863</v>
      </c>
      <c r="AM131" s="79">
        <v>0</v>
      </c>
      <c r="AN131" s="79">
        <v>2770</v>
      </c>
      <c r="AO131" s="79" t="b">
        <v>0</v>
      </c>
      <c r="AP131" s="79">
        <v>448</v>
      </c>
      <c r="AQ131" s="79"/>
      <c r="AR131" s="79"/>
      <c r="AS131" s="79" t="s">
        <v>1028</v>
      </c>
      <c r="AT131" s="81" t="str">
        <f>HYPERLINK("https://www.youtube.com/channel/UCYYHFZpm5GbaOmQKDNSTGLw")</f>
        <v>https://www.youtube.com/channel/UCYYHFZpm5GbaOmQKDNSTGLw</v>
      </c>
      <c r="AU131" s="79" t="str">
        <f>REPLACE(INDEX(GroupVertices[Group],MATCH(Vertices[[#This Row],[Vertex]],GroupVertices[Vertex],0)),1,1,"")</f>
        <v>1</v>
      </c>
      <c r="AV131" s="48"/>
      <c r="AW131" s="49"/>
      <c r="AX131" s="48"/>
      <c r="AY131" s="49"/>
      <c r="AZ131" s="48"/>
      <c r="BA131" s="49"/>
      <c r="BB131" s="48"/>
      <c r="BC131" s="49"/>
      <c r="BD131" s="48"/>
      <c r="BE131" s="48"/>
      <c r="BF131" s="48"/>
      <c r="BG131" s="48"/>
      <c r="BH131" s="48"/>
      <c r="BI131" s="48"/>
      <c r="BJ131" s="48"/>
      <c r="BK131" s="48"/>
      <c r="BL131" s="48"/>
      <c r="BM131" s="48"/>
      <c r="BN131" s="48"/>
      <c r="BO131" s="2"/>
      <c r="BP131" s="3"/>
      <c r="BQ131" s="3"/>
      <c r="BR131" s="3"/>
      <c r="BS131" s="3"/>
    </row>
    <row r="132" spans="1:71" ht="15">
      <c r="A132" s="65" t="s">
        <v>829</v>
      </c>
      <c r="B132" s="66"/>
      <c r="C132" s="66"/>
      <c r="D132" s="67">
        <v>200</v>
      </c>
      <c r="E132" s="69"/>
      <c r="F132" s="99" t="str">
        <f>HYPERLINK("https://yt3.ggpht.com/a/AATXAJxVDb1lzem6z4-2pX0t6R6J_SJbtyUbxtiI9g=s88-c-k-c0xffffffff-no-rj-mo")</f>
        <v>https://yt3.ggpht.com/a/AATXAJxVDb1lzem6z4-2pX0t6R6J_SJbtyUbxtiI9g=s88-c-k-c0xffffffff-no-rj-mo</v>
      </c>
      <c r="G132" s="66" t="s">
        <v>51</v>
      </c>
      <c r="H132" s="70" t="s">
        <v>888</v>
      </c>
      <c r="I132" s="71"/>
      <c r="J132" s="71"/>
      <c r="K132" s="70" t="s">
        <v>888</v>
      </c>
      <c r="L132" s="74">
        <v>1</v>
      </c>
      <c r="M132" s="75">
        <v>1751.417236328125</v>
      </c>
      <c r="N132" s="75">
        <v>3857.99560546875</v>
      </c>
      <c r="O132" s="76"/>
      <c r="P132" s="77"/>
      <c r="Q132" s="77"/>
      <c r="R132" s="85"/>
      <c r="S132" s="48">
        <v>0</v>
      </c>
      <c r="T132" s="48">
        <v>0</v>
      </c>
      <c r="U132" s="49">
        <v>0</v>
      </c>
      <c r="V132" s="49">
        <v>0</v>
      </c>
      <c r="W132" s="49">
        <v>0</v>
      </c>
      <c r="X132" s="49">
        <v>0</v>
      </c>
      <c r="Y132" s="49">
        <v>0</v>
      </c>
      <c r="Z132" s="49">
        <v>0</v>
      </c>
      <c r="AA132" s="72">
        <v>132</v>
      </c>
      <c r="AB132" s="72"/>
      <c r="AC132" s="73"/>
      <c r="AD132" s="79" t="s">
        <v>888</v>
      </c>
      <c r="AE132" s="79" t="s">
        <v>961</v>
      </c>
      <c r="AF132" s="79"/>
      <c r="AG132" s="79"/>
      <c r="AH132" s="79"/>
      <c r="AI132" s="79"/>
      <c r="AJ132" s="83">
        <v>42253.02135416667</v>
      </c>
      <c r="AK132" s="81" t="str">
        <f>HYPERLINK("https://yt3.ggpht.com/a/AATXAJxVDb1lzem6z4-2pX0t6R6J_SJbtyUbxtiI9g=s88-c-k-c0xffffffff-no-rj-mo")</f>
        <v>https://yt3.ggpht.com/a/AATXAJxVDb1lzem6z4-2pX0t6R6J_SJbtyUbxtiI9g=s88-c-k-c0xffffffff-no-rj-mo</v>
      </c>
      <c r="AL132" s="79">
        <v>114</v>
      </c>
      <c r="AM132" s="79">
        <v>0</v>
      </c>
      <c r="AN132" s="79">
        <v>11</v>
      </c>
      <c r="AO132" s="79" t="b">
        <v>0</v>
      </c>
      <c r="AP132" s="79">
        <v>7</v>
      </c>
      <c r="AQ132" s="79"/>
      <c r="AR132" s="79"/>
      <c r="AS132" s="79" t="s">
        <v>1028</v>
      </c>
      <c r="AT132" s="81" t="str">
        <f>HYPERLINK("https://www.youtube.com/channel/UCow5uJyfiqlAGcMWgRBTjrg")</f>
        <v>https://www.youtube.com/channel/UCow5uJyfiqlAGcMWgRBTjrg</v>
      </c>
      <c r="AU132" s="79" t="str">
        <f>REPLACE(INDEX(GroupVertices[Group],MATCH(Vertices[[#This Row],[Vertex]],GroupVertices[Vertex],0)),1,1,"")</f>
        <v>1</v>
      </c>
      <c r="AV132" s="48"/>
      <c r="AW132" s="49"/>
      <c r="AX132" s="48"/>
      <c r="AY132" s="49"/>
      <c r="AZ132" s="48"/>
      <c r="BA132" s="49"/>
      <c r="BB132" s="48"/>
      <c r="BC132" s="49"/>
      <c r="BD132" s="48"/>
      <c r="BE132" s="48"/>
      <c r="BF132" s="48"/>
      <c r="BG132" s="48"/>
      <c r="BH132" s="48"/>
      <c r="BI132" s="48"/>
      <c r="BJ132" s="48"/>
      <c r="BK132" s="48"/>
      <c r="BL132" s="48"/>
      <c r="BM132" s="48"/>
      <c r="BN132" s="48"/>
      <c r="BO132" s="2"/>
      <c r="BP132" s="3"/>
      <c r="BQ132" s="3"/>
      <c r="BR132" s="3"/>
      <c r="BS132" s="3"/>
    </row>
    <row r="133" spans="1:71" ht="15">
      <c r="A133" s="65" t="s">
        <v>830</v>
      </c>
      <c r="B133" s="66"/>
      <c r="C133" s="66"/>
      <c r="D133" s="67">
        <v>200</v>
      </c>
      <c r="E133" s="69"/>
      <c r="F133" s="99" t="str">
        <f>HYPERLINK("https://yt3.ggpht.com/a/AATXAJyX9v_KSUJIL35RHyRjQkvNzhe7sXVhuaI8Bg=s88-c-k-c0xffffffff-no-rj-mo")</f>
        <v>https://yt3.ggpht.com/a/AATXAJyX9v_KSUJIL35RHyRjQkvNzhe7sXVhuaI8Bg=s88-c-k-c0xffffffff-no-rj-mo</v>
      </c>
      <c r="G133" s="66" t="s">
        <v>51</v>
      </c>
      <c r="H133" s="70" t="s">
        <v>889</v>
      </c>
      <c r="I133" s="71"/>
      <c r="J133" s="71"/>
      <c r="K133" s="70" t="s">
        <v>889</v>
      </c>
      <c r="L133" s="74">
        <v>1</v>
      </c>
      <c r="M133" s="75">
        <v>1093.3089599609375</v>
      </c>
      <c r="N133" s="75">
        <v>3857.99560546875</v>
      </c>
      <c r="O133" s="76"/>
      <c r="P133" s="77"/>
      <c r="Q133" s="77"/>
      <c r="R133" s="85"/>
      <c r="S133" s="48">
        <v>0</v>
      </c>
      <c r="T133" s="48">
        <v>0</v>
      </c>
      <c r="U133" s="49">
        <v>0</v>
      </c>
      <c r="V133" s="49">
        <v>0</v>
      </c>
      <c r="W133" s="49">
        <v>0</v>
      </c>
      <c r="X133" s="49">
        <v>0</v>
      </c>
      <c r="Y133" s="49">
        <v>0</v>
      </c>
      <c r="Z133" s="49">
        <v>0</v>
      </c>
      <c r="AA133" s="72">
        <v>133</v>
      </c>
      <c r="AB133" s="72"/>
      <c r="AC133" s="73"/>
      <c r="AD133" s="79" t="s">
        <v>889</v>
      </c>
      <c r="AE133" s="79"/>
      <c r="AF133" s="79"/>
      <c r="AG133" s="79"/>
      <c r="AH133" s="79"/>
      <c r="AI133" s="79" t="s">
        <v>1013</v>
      </c>
      <c r="AJ133" s="83">
        <v>43111.80268518518</v>
      </c>
      <c r="AK133" s="81" t="str">
        <f>HYPERLINK("https://yt3.ggpht.com/a/AATXAJyX9v_KSUJIL35RHyRjQkvNzhe7sXVhuaI8Bg=s88-c-k-c0xffffffff-no-rj-mo")</f>
        <v>https://yt3.ggpht.com/a/AATXAJyX9v_KSUJIL35RHyRjQkvNzhe7sXVhuaI8Bg=s88-c-k-c0xffffffff-no-rj-mo</v>
      </c>
      <c r="AL133" s="79">
        <v>320092</v>
      </c>
      <c r="AM133" s="79">
        <v>0</v>
      </c>
      <c r="AN133" s="79">
        <v>11300</v>
      </c>
      <c r="AO133" s="79" t="b">
        <v>0</v>
      </c>
      <c r="AP133" s="79">
        <v>80</v>
      </c>
      <c r="AQ133" s="79"/>
      <c r="AR133" s="79"/>
      <c r="AS133" s="79" t="s">
        <v>1028</v>
      </c>
      <c r="AT133" s="81" t="str">
        <f>HYPERLINK("https://www.youtube.com/channel/UCn4Y0Ej7Vu3rO84e_aD28lg")</f>
        <v>https://www.youtube.com/channel/UCn4Y0Ej7Vu3rO84e_aD28lg</v>
      </c>
      <c r="AU133" s="79" t="str">
        <f>REPLACE(INDEX(GroupVertices[Group],MATCH(Vertices[[#This Row],[Vertex]],GroupVertices[Vertex],0)),1,1,"")</f>
        <v>1</v>
      </c>
      <c r="AV133" s="48"/>
      <c r="AW133" s="49"/>
      <c r="AX133" s="48"/>
      <c r="AY133" s="49"/>
      <c r="AZ133" s="48"/>
      <c r="BA133" s="49"/>
      <c r="BB133" s="48"/>
      <c r="BC133" s="49"/>
      <c r="BD133" s="48"/>
      <c r="BE133" s="48"/>
      <c r="BF133" s="48"/>
      <c r="BG133" s="48"/>
      <c r="BH133" s="48"/>
      <c r="BI133" s="48"/>
      <c r="BJ133" s="48"/>
      <c r="BK133" s="48"/>
      <c r="BL133" s="48"/>
      <c r="BM133" s="48"/>
      <c r="BN133" s="48"/>
      <c r="BO133" s="2"/>
      <c r="BP133" s="3"/>
      <c r="BQ133" s="3"/>
      <c r="BR133" s="3"/>
      <c r="BS133" s="3"/>
    </row>
    <row r="134" spans="1:71" ht="15">
      <c r="A134" s="65" t="s">
        <v>831</v>
      </c>
      <c r="B134" s="66"/>
      <c r="C134" s="66"/>
      <c r="D134" s="67">
        <v>200</v>
      </c>
      <c r="E134" s="69"/>
      <c r="F134" s="99" t="str">
        <f>HYPERLINK("https://yt3.ggpht.com/a/AATXAJxtAeSViDEIKyC6sswWyPe7bV5p7D-gVjMGmVNqEy4=s88-c-k-c0xffffffff-no-rj-mo")</f>
        <v>https://yt3.ggpht.com/a/AATXAJxtAeSViDEIKyC6sswWyPe7bV5p7D-gVjMGmVNqEy4=s88-c-k-c0xffffffff-no-rj-mo</v>
      </c>
      <c r="G134" s="66" t="s">
        <v>51</v>
      </c>
      <c r="H134" s="70" t="s">
        <v>890</v>
      </c>
      <c r="I134" s="71"/>
      <c r="J134" s="71"/>
      <c r="K134" s="70" t="s">
        <v>890</v>
      </c>
      <c r="L134" s="74">
        <v>1</v>
      </c>
      <c r="M134" s="75">
        <v>2409.525390625</v>
      </c>
      <c r="N134" s="75">
        <v>3857.99560546875</v>
      </c>
      <c r="O134" s="76"/>
      <c r="P134" s="77"/>
      <c r="Q134" s="77"/>
      <c r="R134" s="85"/>
      <c r="S134" s="48">
        <v>0</v>
      </c>
      <c r="T134" s="48">
        <v>0</v>
      </c>
      <c r="U134" s="49">
        <v>0</v>
      </c>
      <c r="V134" s="49">
        <v>0</v>
      </c>
      <c r="W134" s="49">
        <v>0</v>
      </c>
      <c r="X134" s="49">
        <v>0</v>
      </c>
      <c r="Y134" s="49">
        <v>0</v>
      </c>
      <c r="Z134" s="49">
        <v>0</v>
      </c>
      <c r="AA134" s="72">
        <v>134</v>
      </c>
      <c r="AB134" s="72"/>
      <c r="AC134" s="73"/>
      <c r="AD134" s="79" t="s">
        <v>890</v>
      </c>
      <c r="AE134" s="79" t="s">
        <v>962</v>
      </c>
      <c r="AF134" s="79"/>
      <c r="AG134" s="79"/>
      <c r="AH134" s="79"/>
      <c r="AI134" s="79"/>
      <c r="AJ134" s="83">
        <v>41758.081354166665</v>
      </c>
      <c r="AK134" s="81" t="str">
        <f>HYPERLINK("https://yt3.ggpht.com/a/AATXAJxtAeSViDEIKyC6sswWyPe7bV5p7D-gVjMGmVNqEy4=s88-c-k-c0xffffffff-no-rj-mo")</f>
        <v>https://yt3.ggpht.com/a/AATXAJxtAeSViDEIKyC6sswWyPe7bV5p7D-gVjMGmVNqEy4=s88-c-k-c0xffffffff-no-rj-mo</v>
      </c>
      <c r="AL134" s="79">
        <v>90</v>
      </c>
      <c r="AM134" s="79">
        <v>0</v>
      </c>
      <c r="AN134" s="79">
        <v>55</v>
      </c>
      <c r="AO134" s="79" t="b">
        <v>0</v>
      </c>
      <c r="AP134" s="79">
        <v>2</v>
      </c>
      <c r="AQ134" s="79"/>
      <c r="AR134" s="79"/>
      <c r="AS134" s="79" t="s">
        <v>1028</v>
      </c>
      <c r="AT134" s="81" t="str">
        <f>HYPERLINK("https://www.youtube.com/channel/UCxiEjwieq8evDuHr19roBeg")</f>
        <v>https://www.youtube.com/channel/UCxiEjwieq8evDuHr19roBeg</v>
      </c>
      <c r="AU134" s="79" t="str">
        <f>REPLACE(INDEX(GroupVertices[Group],MATCH(Vertices[[#This Row],[Vertex]],GroupVertices[Vertex],0)),1,1,"")</f>
        <v>1</v>
      </c>
      <c r="AV134" s="48"/>
      <c r="AW134" s="49"/>
      <c r="AX134" s="48"/>
      <c r="AY134" s="49"/>
      <c r="AZ134" s="48"/>
      <c r="BA134" s="49"/>
      <c r="BB134" s="48"/>
      <c r="BC134" s="49"/>
      <c r="BD134" s="48"/>
      <c r="BE134" s="48"/>
      <c r="BF134" s="48"/>
      <c r="BG134" s="48"/>
      <c r="BH134" s="48"/>
      <c r="BI134" s="48"/>
      <c r="BJ134" s="48"/>
      <c r="BK134" s="48"/>
      <c r="BL134" s="48"/>
      <c r="BM134" s="48"/>
      <c r="BN134" s="48"/>
      <c r="BO134" s="2"/>
      <c r="BP134" s="3"/>
      <c r="BQ134" s="3"/>
      <c r="BR134" s="3"/>
      <c r="BS134" s="3"/>
    </row>
    <row r="135" spans="1:71" ht="15">
      <c r="A135" s="65" t="s">
        <v>832</v>
      </c>
      <c r="B135" s="66"/>
      <c r="C135" s="66"/>
      <c r="D135" s="67">
        <v>200</v>
      </c>
      <c r="E135" s="69"/>
      <c r="F135" s="99" t="str">
        <f>HYPERLINK("https://yt3.ggpht.com/a/AATXAJyiNI223VHXKEWAP0whznQpG__Cq7r5JGVGoA=s88-c-k-c0xffffffff-no-rj-mo")</f>
        <v>https://yt3.ggpht.com/a/AATXAJyiNI223VHXKEWAP0whznQpG__Cq7r5JGVGoA=s88-c-k-c0xffffffff-no-rj-mo</v>
      </c>
      <c r="G135" s="66" t="s">
        <v>51</v>
      </c>
      <c r="H135" s="70" t="s">
        <v>891</v>
      </c>
      <c r="I135" s="71"/>
      <c r="J135" s="71"/>
      <c r="K135" s="70" t="s">
        <v>891</v>
      </c>
      <c r="L135" s="74">
        <v>1</v>
      </c>
      <c r="M135" s="75">
        <v>435.20062255859375</v>
      </c>
      <c r="N135" s="75">
        <v>3058.4609375</v>
      </c>
      <c r="O135" s="76"/>
      <c r="P135" s="77"/>
      <c r="Q135" s="77"/>
      <c r="R135" s="85"/>
      <c r="S135" s="48">
        <v>0</v>
      </c>
      <c r="T135" s="48">
        <v>0</v>
      </c>
      <c r="U135" s="49">
        <v>0</v>
      </c>
      <c r="V135" s="49">
        <v>0</v>
      </c>
      <c r="W135" s="49">
        <v>0</v>
      </c>
      <c r="X135" s="49">
        <v>0</v>
      </c>
      <c r="Y135" s="49">
        <v>0</v>
      </c>
      <c r="Z135" s="49">
        <v>0</v>
      </c>
      <c r="AA135" s="72">
        <v>135</v>
      </c>
      <c r="AB135" s="72"/>
      <c r="AC135" s="73"/>
      <c r="AD135" s="79" t="s">
        <v>891</v>
      </c>
      <c r="AE135" s="79"/>
      <c r="AF135" s="79"/>
      <c r="AG135" s="79"/>
      <c r="AH135" s="79"/>
      <c r="AI135" s="79"/>
      <c r="AJ135" s="83">
        <v>43879.68466435185</v>
      </c>
      <c r="AK135" s="81" t="str">
        <f>HYPERLINK("https://yt3.ggpht.com/a/AATXAJyiNI223VHXKEWAP0whznQpG__Cq7r5JGVGoA=s88-c-k-c0xffffffff-no-rj-mo")</f>
        <v>https://yt3.ggpht.com/a/AATXAJyiNI223VHXKEWAP0whznQpG__Cq7r5JGVGoA=s88-c-k-c0xffffffff-no-rj-mo</v>
      </c>
      <c r="AL135" s="79">
        <v>8678</v>
      </c>
      <c r="AM135" s="79">
        <v>0</v>
      </c>
      <c r="AN135" s="79">
        <v>530</v>
      </c>
      <c r="AO135" s="79" t="b">
        <v>0</v>
      </c>
      <c r="AP135" s="79">
        <v>10</v>
      </c>
      <c r="AQ135" s="79"/>
      <c r="AR135" s="79"/>
      <c r="AS135" s="79" t="s">
        <v>1028</v>
      </c>
      <c r="AT135" s="81" t="str">
        <f>HYPERLINK("https://www.youtube.com/channel/UCFLj5-vapeb2L5XhseTEItA")</f>
        <v>https://www.youtube.com/channel/UCFLj5-vapeb2L5XhseTEItA</v>
      </c>
      <c r="AU135" s="79" t="str">
        <f>REPLACE(INDEX(GroupVertices[Group],MATCH(Vertices[[#This Row],[Vertex]],GroupVertices[Vertex],0)),1,1,"")</f>
        <v>1</v>
      </c>
      <c r="AV135" s="48"/>
      <c r="AW135" s="49"/>
      <c r="AX135" s="48"/>
      <c r="AY135" s="49"/>
      <c r="AZ135" s="48"/>
      <c r="BA135" s="49"/>
      <c r="BB135" s="48"/>
      <c r="BC135" s="49"/>
      <c r="BD135" s="48"/>
      <c r="BE135" s="48"/>
      <c r="BF135" s="48"/>
      <c r="BG135" s="48"/>
      <c r="BH135" s="48"/>
      <c r="BI135" s="48"/>
      <c r="BJ135" s="48"/>
      <c r="BK135" s="48"/>
      <c r="BL135" s="48"/>
      <c r="BM135" s="48"/>
      <c r="BN135" s="48"/>
      <c r="BO135" s="2"/>
      <c r="BP135" s="3"/>
      <c r="BQ135" s="3"/>
      <c r="BR135" s="3"/>
      <c r="BS135" s="3"/>
    </row>
    <row r="136" spans="1:71" ht="15">
      <c r="A136" s="65" t="s">
        <v>833</v>
      </c>
      <c r="B136" s="66"/>
      <c r="C136" s="66"/>
      <c r="D136" s="67">
        <v>200</v>
      </c>
      <c r="E136" s="69"/>
      <c r="F136" s="99" t="str">
        <f>HYPERLINK("https://yt3.ggpht.com/a/AATXAJwKF3JMg_Q8ZovFMGWUEso82ltufdkONFLo_IEd=s88-c-k-c0xffffffff-no-rj-mo")</f>
        <v>https://yt3.ggpht.com/a/AATXAJwKF3JMg_Q8ZovFMGWUEso82ltufdkONFLo_IEd=s88-c-k-c0xffffffff-no-rj-mo</v>
      </c>
      <c r="G136" s="66" t="s">
        <v>51</v>
      </c>
      <c r="H136" s="70" t="s">
        <v>892</v>
      </c>
      <c r="I136" s="71"/>
      <c r="J136" s="71"/>
      <c r="K136" s="70" t="s">
        <v>892</v>
      </c>
      <c r="L136" s="74">
        <v>1</v>
      </c>
      <c r="M136" s="75">
        <v>3067.6337890625</v>
      </c>
      <c r="N136" s="75">
        <v>3857.99560546875</v>
      </c>
      <c r="O136" s="76"/>
      <c r="P136" s="77"/>
      <c r="Q136" s="77"/>
      <c r="R136" s="85"/>
      <c r="S136" s="48">
        <v>0</v>
      </c>
      <c r="T136" s="48">
        <v>0</v>
      </c>
      <c r="U136" s="49">
        <v>0</v>
      </c>
      <c r="V136" s="49">
        <v>0</v>
      </c>
      <c r="W136" s="49">
        <v>0</v>
      </c>
      <c r="X136" s="49">
        <v>0</v>
      </c>
      <c r="Y136" s="49">
        <v>0</v>
      </c>
      <c r="Z136" s="49">
        <v>0</v>
      </c>
      <c r="AA136" s="72">
        <v>136</v>
      </c>
      <c r="AB136" s="72"/>
      <c r="AC136" s="73"/>
      <c r="AD136" s="79" t="s">
        <v>892</v>
      </c>
      <c r="AE136" s="79"/>
      <c r="AF136" s="79"/>
      <c r="AG136" s="79"/>
      <c r="AH136" s="79"/>
      <c r="AI136" s="79"/>
      <c r="AJ136" s="83">
        <v>43954.42085648148</v>
      </c>
      <c r="AK136" s="81" t="str">
        <f>HYPERLINK("https://yt3.ggpht.com/a/AATXAJwKF3JMg_Q8ZovFMGWUEso82ltufdkONFLo_IEd=s88-c-k-c0xffffffff-no-rj-mo")</f>
        <v>https://yt3.ggpht.com/a/AATXAJwKF3JMg_Q8ZovFMGWUEso82ltufdkONFLo_IEd=s88-c-k-c0xffffffff-no-rj-mo</v>
      </c>
      <c r="AL136" s="79">
        <v>1235</v>
      </c>
      <c r="AM136" s="79">
        <v>0</v>
      </c>
      <c r="AN136" s="79">
        <v>230</v>
      </c>
      <c r="AO136" s="79" t="b">
        <v>0</v>
      </c>
      <c r="AP136" s="79">
        <v>7</v>
      </c>
      <c r="AQ136" s="79"/>
      <c r="AR136" s="79"/>
      <c r="AS136" s="79" t="s">
        <v>1028</v>
      </c>
      <c r="AT136" s="81" t="str">
        <f>HYPERLINK("https://www.youtube.com/channel/UCcfngi7_ASuo5jdWX0bNauQ")</f>
        <v>https://www.youtube.com/channel/UCcfngi7_ASuo5jdWX0bNauQ</v>
      </c>
      <c r="AU136" s="79" t="str">
        <f>REPLACE(INDEX(GroupVertices[Group],MATCH(Vertices[[#This Row],[Vertex]],GroupVertices[Vertex],0)),1,1,"")</f>
        <v>1</v>
      </c>
      <c r="AV136" s="48"/>
      <c r="AW136" s="49"/>
      <c r="AX136" s="48"/>
      <c r="AY136" s="49"/>
      <c r="AZ136" s="48"/>
      <c r="BA136" s="49"/>
      <c r="BB136" s="48"/>
      <c r="BC136" s="49"/>
      <c r="BD136" s="48"/>
      <c r="BE136" s="48"/>
      <c r="BF136" s="48"/>
      <c r="BG136" s="48"/>
      <c r="BH136" s="48"/>
      <c r="BI136" s="48"/>
      <c r="BJ136" s="48"/>
      <c r="BK136" s="48"/>
      <c r="BL136" s="48"/>
      <c r="BM136" s="48"/>
      <c r="BN136" s="48"/>
      <c r="BO136" s="2"/>
      <c r="BP136" s="3"/>
      <c r="BQ136" s="3"/>
      <c r="BR136" s="3"/>
      <c r="BS136" s="3"/>
    </row>
    <row r="137" spans="1:71" ht="15">
      <c r="A137" s="65" t="s">
        <v>834</v>
      </c>
      <c r="B137" s="66"/>
      <c r="C137" s="66"/>
      <c r="D137" s="67">
        <v>200</v>
      </c>
      <c r="E137" s="69"/>
      <c r="F137" s="99" t="str">
        <f>HYPERLINK("https://yt3.ggpht.com/a/AATXAJwISanTKc7G_9rxzBYnG8UopdGUz0RbNQ5MXg=s88-c-k-c0xffffffff-no-rj-mo")</f>
        <v>https://yt3.ggpht.com/a/AATXAJwISanTKc7G_9rxzBYnG8UopdGUz0RbNQ5MXg=s88-c-k-c0xffffffff-no-rj-mo</v>
      </c>
      <c r="G137" s="66" t="s">
        <v>51</v>
      </c>
      <c r="H137" s="70" t="s">
        <v>893</v>
      </c>
      <c r="I137" s="71"/>
      <c r="J137" s="71"/>
      <c r="K137" s="70" t="s">
        <v>893</v>
      </c>
      <c r="L137" s="74">
        <v>1</v>
      </c>
      <c r="M137" s="75">
        <v>1751.417236328125</v>
      </c>
      <c r="N137" s="75">
        <v>4657.5302734375</v>
      </c>
      <c r="O137" s="76"/>
      <c r="P137" s="77"/>
      <c r="Q137" s="77"/>
      <c r="R137" s="85"/>
      <c r="S137" s="48">
        <v>0</v>
      </c>
      <c r="T137" s="48">
        <v>0</v>
      </c>
      <c r="U137" s="49">
        <v>0</v>
      </c>
      <c r="V137" s="49">
        <v>0</v>
      </c>
      <c r="W137" s="49">
        <v>0</v>
      </c>
      <c r="X137" s="49">
        <v>0</v>
      </c>
      <c r="Y137" s="49">
        <v>0</v>
      </c>
      <c r="Z137" s="49">
        <v>0</v>
      </c>
      <c r="AA137" s="72">
        <v>137</v>
      </c>
      <c r="AB137" s="72"/>
      <c r="AC137" s="73"/>
      <c r="AD137" s="79" t="s">
        <v>893</v>
      </c>
      <c r="AE137" s="79" t="s">
        <v>963</v>
      </c>
      <c r="AF137" s="79"/>
      <c r="AG137" s="79"/>
      <c r="AH137" s="79"/>
      <c r="AI137" s="79"/>
      <c r="AJ137" s="83">
        <v>43321.74178240741</v>
      </c>
      <c r="AK137" s="81" t="str">
        <f>HYPERLINK("https://yt3.ggpht.com/a/AATXAJwISanTKc7G_9rxzBYnG8UopdGUz0RbNQ5MXg=s88-c-k-c0xffffffff-no-rj-mo")</f>
        <v>https://yt3.ggpht.com/a/AATXAJwISanTKc7G_9rxzBYnG8UopdGUz0RbNQ5MXg=s88-c-k-c0xffffffff-no-rj-mo</v>
      </c>
      <c r="AL137" s="79">
        <v>971</v>
      </c>
      <c r="AM137" s="79">
        <v>0</v>
      </c>
      <c r="AN137" s="79">
        <v>21</v>
      </c>
      <c r="AO137" s="79" t="b">
        <v>0</v>
      </c>
      <c r="AP137" s="79">
        <v>8</v>
      </c>
      <c r="AQ137" s="79"/>
      <c r="AR137" s="79"/>
      <c r="AS137" s="79" t="s">
        <v>1028</v>
      </c>
      <c r="AT137" s="81" t="str">
        <f>HYPERLINK("https://www.youtube.com/channel/UCSos6I0VeBifriA-9gCWrxA")</f>
        <v>https://www.youtube.com/channel/UCSos6I0VeBifriA-9gCWrxA</v>
      </c>
      <c r="AU137" s="79" t="str">
        <f>REPLACE(INDEX(GroupVertices[Group],MATCH(Vertices[[#This Row],[Vertex]],GroupVertices[Vertex],0)),1,1,"")</f>
        <v>1</v>
      </c>
      <c r="AV137" s="48"/>
      <c r="AW137" s="49"/>
      <c r="AX137" s="48"/>
      <c r="AY137" s="49"/>
      <c r="AZ137" s="48"/>
      <c r="BA137" s="49"/>
      <c r="BB137" s="48"/>
      <c r="BC137" s="49"/>
      <c r="BD137" s="48"/>
      <c r="BE137" s="48"/>
      <c r="BF137" s="48"/>
      <c r="BG137" s="48"/>
      <c r="BH137" s="48"/>
      <c r="BI137" s="48"/>
      <c r="BJ137" s="48"/>
      <c r="BK137" s="48"/>
      <c r="BL137" s="48"/>
      <c r="BM137" s="48"/>
      <c r="BN137" s="48"/>
      <c r="BO137" s="2"/>
      <c r="BP137" s="3"/>
      <c r="BQ137" s="3"/>
      <c r="BR137" s="3"/>
      <c r="BS137" s="3"/>
    </row>
    <row r="138" spans="1:71" ht="15">
      <c r="A138" s="65" t="s">
        <v>835</v>
      </c>
      <c r="B138" s="66"/>
      <c r="C138" s="66"/>
      <c r="D138" s="67">
        <v>200</v>
      </c>
      <c r="E138" s="69"/>
      <c r="F138" s="99" t="str">
        <f>HYPERLINK("https://yt3.ggpht.com/a/AATXAJxHAGTpRLgGXeryYhCmGTFJeEgwGQnKCAcPkGBPoA=s88-c-k-c0xffffffff-no-rj-mo")</f>
        <v>https://yt3.ggpht.com/a/AATXAJxHAGTpRLgGXeryYhCmGTFJeEgwGQnKCAcPkGBPoA=s88-c-k-c0xffffffff-no-rj-mo</v>
      </c>
      <c r="G138" s="66" t="s">
        <v>51</v>
      </c>
      <c r="H138" s="70" t="s">
        <v>894</v>
      </c>
      <c r="I138" s="71"/>
      <c r="J138" s="71"/>
      <c r="K138" s="70" t="s">
        <v>894</v>
      </c>
      <c r="L138" s="74">
        <v>1</v>
      </c>
      <c r="M138" s="75">
        <v>1093.3089599609375</v>
      </c>
      <c r="N138" s="75">
        <v>4657.5302734375</v>
      </c>
      <c r="O138" s="76"/>
      <c r="P138" s="77"/>
      <c r="Q138" s="77"/>
      <c r="R138" s="85"/>
      <c r="S138" s="48">
        <v>0</v>
      </c>
      <c r="T138" s="48">
        <v>0</v>
      </c>
      <c r="U138" s="49">
        <v>0</v>
      </c>
      <c r="V138" s="49">
        <v>0</v>
      </c>
      <c r="W138" s="49">
        <v>0</v>
      </c>
      <c r="X138" s="49">
        <v>0</v>
      </c>
      <c r="Y138" s="49">
        <v>0</v>
      </c>
      <c r="Z138" s="49">
        <v>0</v>
      </c>
      <c r="AA138" s="72">
        <v>138</v>
      </c>
      <c r="AB138" s="72"/>
      <c r="AC138" s="73"/>
      <c r="AD138" s="79" t="s">
        <v>894</v>
      </c>
      <c r="AE138" s="79"/>
      <c r="AF138" s="79"/>
      <c r="AG138" s="79"/>
      <c r="AH138" s="79"/>
      <c r="AI138" s="79"/>
      <c r="AJ138" s="83">
        <v>42155.27693287037</v>
      </c>
      <c r="AK138" s="81" t="str">
        <f>HYPERLINK("https://yt3.ggpht.com/a/AATXAJxHAGTpRLgGXeryYhCmGTFJeEgwGQnKCAcPkGBPoA=s88-c-k-c0xffffffff-no-rj-mo")</f>
        <v>https://yt3.ggpht.com/a/AATXAJxHAGTpRLgGXeryYhCmGTFJeEgwGQnKCAcPkGBPoA=s88-c-k-c0xffffffff-no-rj-mo</v>
      </c>
      <c r="AL138" s="79">
        <v>93</v>
      </c>
      <c r="AM138" s="79">
        <v>0</v>
      </c>
      <c r="AN138" s="79">
        <v>6</v>
      </c>
      <c r="AO138" s="79" t="b">
        <v>0</v>
      </c>
      <c r="AP138" s="79">
        <v>6</v>
      </c>
      <c r="AQ138" s="79"/>
      <c r="AR138" s="79"/>
      <c r="AS138" s="79" t="s">
        <v>1028</v>
      </c>
      <c r="AT138" s="81" t="str">
        <f>HYPERLINK("https://www.youtube.com/channel/UCbIRfvt4yt5e0W-TW72mZzg")</f>
        <v>https://www.youtube.com/channel/UCbIRfvt4yt5e0W-TW72mZzg</v>
      </c>
      <c r="AU138" s="79" t="str">
        <f>REPLACE(INDEX(GroupVertices[Group],MATCH(Vertices[[#This Row],[Vertex]],GroupVertices[Vertex],0)),1,1,"")</f>
        <v>1</v>
      </c>
      <c r="AV138" s="48"/>
      <c r="AW138" s="49"/>
      <c r="AX138" s="48"/>
      <c r="AY138" s="49"/>
      <c r="AZ138" s="48"/>
      <c r="BA138" s="49"/>
      <c r="BB138" s="48"/>
      <c r="BC138" s="49"/>
      <c r="BD138" s="48"/>
      <c r="BE138" s="48"/>
      <c r="BF138" s="48"/>
      <c r="BG138" s="48"/>
      <c r="BH138" s="48"/>
      <c r="BI138" s="48"/>
      <c r="BJ138" s="48"/>
      <c r="BK138" s="48"/>
      <c r="BL138" s="48"/>
      <c r="BM138" s="48"/>
      <c r="BN138" s="48"/>
      <c r="BO138" s="2"/>
      <c r="BP138" s="3"/>
      <c r="BQ138" s="3"/>
      <c r="BR138" s="3"/>
      <c r="BS138" s="3"/>
    </row>
    <row r="139" spans="1:71" ht="15">
      <c r="A139" s="65" t="s">
        <v>836</v>
      </c>
      <c r="B139" s="66"/>
      <c r="C139" s="66"/>
      <c r="D139" s="67">
        <v>200</v>
      </c>
      <c r="E139" s="69"/>
      <c r="F139" s="99" t="str">
        <f>HYPERLINK("https://yt3.ggpht.com/a/AATXAJx9OmrMl0hksUFncgzsEujRzd5jJmzCPVSISQ=s88-c-k-c0xffffffff-no-rj-mo")</f>
        <v>https://yt3.ggpht.com/a/AATXAJx9OmrMl0hksUFncgzsEujRzd5jJmzCPVSISQ=s88-c-k-c0xffffffff-no-rj-mo</v>
      </c>
      <c r="G139" s="66" t="s">
        <v>51</v>
      </c>
      <c r="H139" s="70" t="s">
        <v>895</v>
      </c>
      <c r="I139" s="71"/>
      <c r="J139" s="71"/>
      <c r="K139" s="70" t="s">
        <v>895</v>
      </c>
      <c r="L139" s="74">
        <v>1</v>
      </c>
      <c r="M139" s="75">
        <v>2409.525390625</v>
      </c>
      <c r="N139" s="75">
        <v>4657.5302734375</v>
      </c>
      <c r="O139" s="76"/>
      <c r="P139" s="77"/>
      <c r="Q139" s="77"/>
      <c r="R139" s="85"/>
      <c r="S139" s="48">
        <v>0</v>
      </c>
      <c r="T139" s="48">
        <v>0</v>
      </c>
      <c r="U139" s="49">
        <v>0</v>
      </c>
      <c r="V139" s="49">
        <v>0</v>
      </c>
      <c r="W139" s="49">
        <v>0</v>
      </c>
      <c r="X139" s="49">
        <v>0</v>
      </c>
      <c r="Y139" s="49">
        <v>0</v>
      </c>
      <c r="Z139" s="49">
        <v>0</v>
      </c>
      <c r="AA139" s="72">
        <v>139</v>
      </c>
      <c r="AB139" s="72"/>
      <c r="AC139" s="73"/>
      <c r="AD139" s="79" t="s">
        <v>895</v>
      </c>
      <c r="AE139" s="79" t="s">
        <v>964</v>
      </c>
      <c r="AF139" s="79"/>
      <c r="AG139" s="79"/>
      <c r="AH139" s="79"/>
      <c r="AI139" s="79" t="s">
        <v>1014</v>
      </c>
      <c r="AJ139" s="83">
        <v>41669.65452546296</v>
      </c>
      <c r="AK139" s="81" t="str">
        <f>HYPERLINK("https://yt3.ggpht.com/a/AATXAJx9OmrMl0hksUFncgzsEujRzd5jJmzCPVSISQ=s88-c-k-c0xffffffff-no-rj-mo")</f>
        <v>https://yt3.ggpht.com/a/AATXAJx9OmrMl0hksUFncgzsEujRzd5jJmzCPVSISQ=s88-c-k-c0xffffffff-no-rj-mo</v>
      </c>
      <c r="AL139" s="79">
        <v>4879500</v>
      </c>
      <c r="AM139" s="79">
        <v>0</v>
      </c>
      <c r="AN139" s="79">
        <v>53300</v>
      </c>
      <c r="AO139" s="79" t="b">
        <v>0</v>
      </c>
      <c r="AP139" s="79">
        <v>3433</v>
      </c>
      <c r="AQ139" s="79"/>
      <c r="AR139" s="79"/>
      <c r="AS139" s="79" t="s">
        <v>1028</v>
      </c>
      <c r="AT139" s="81" t="str">
        <f>HYPERLINK("https://www.youtube.com/channel/UC508bYZ5lCyAybwG0fo4uew")</f>
        <v>https://www.youtube.com/channel/UC508bYZ5lCyAybwG0fo4uew</v>
      </c>
      <c r="AU139" s="79" t="str">
        <f>REPLACE(INDEX(GroupVertices[Group],MATCH(Vertices[[#This Row],[Vertex]],GroupVertices[Vertex],0)),1,1,"")</f>
        <v>1</v>
      </c>
      <c r="AV139" s="48"/>
      <c r="AW139" s="49"/>
      <c r="AX139" s="48"/>
      <c r="AY139" s="49"/>
      <c r="AZ139" s="48"/>
      <c r="BA139" s="49"/>
      <c r="BB139" s="48"/>
      <c r="BC139" s="49"/>
      <c r="BD139" s="48"/>
      <c r="BE139" s="48"/>
      <c r="BF139" s="48"/>
      <c r="BG139" s="48"/>
      <c r="BH139" s="48"/>
      <c r="BI139" s="48"/>
      <c r="BJ139" s="48"/>
      <c r="BK139" s="48"/>
      <c r="BL139" s="48"/>
      <c r="BM139" s="48"/>
      <c r="BN139" s="48"/>
      <c r="BO139" s="2"/>
      <c r="BP139" s="3"/>
      <c r="BQ139" s="3"/>
      <c r="BR139" s="3"/>
      <c r="BS139" s="3"/>
    </row>
    <row r="140" spans="1:71" ht="15">
      <c r="A140" s="65" t="s">
        <v>837</v>
      </c>
      <c r="B140" s="66"/>
      <c r="C140" s="66"/>
      <c r="D140" s="67">
        <v>200</v>
      </c>
      <c r="E140" s="69"/>
      <c r="F140" s="99" t="str">
        <f>HYPERLINK("https://yt3.ggpht.com/a/AATXAJwXft7ChYQ4w3rCSzb_sfXSLncoFcatm9IA8KdW4A=s88-c-k-c0xffffffff-no-rj-mo")</f>
        <v>https://yt3.ggpht.com/a/AATXAJwXft7ChYQ4w3rCSzb_sfXSLncoFcatm9IA8KdW4A=s88-c-k-c0xffffffff-no-rj-mo</v>
      </c>
      <c r="G140" s="66" t="s">
        <v>51</v>
      </c>
      <c r="H140" s="70" t="s">
        <v>896</v>
      </c>
      <c r="I140" s="71"/>
      <c r="J140" s="71"/>
      <c r="K140" s="70" t="s">
        <v>896</v>
      </c>
      <c r="L140" s="74">
        <v>1</v>
      </c>
      <c r="M140" s="75">
        <v>435.20062255859375</v>
      </c>
      <c r="N140" s="75">
        <v>3857.99560546875</v>
      </c>
      <c r="O140" s="76"/>
      <c r="P140" s="77"/>
      <c r="Q140" s="77"/>
      <c r="R140" s="85"/>
      <c r="S140" s="48">
        <v>0</v>
      </c>
      <c r="T140" s="48">
        <v>0</v>
      </c>
      <c r="U140" s="49">
        <v>0</v>
      </c>
      <c r="V140" s="49">
        <v>0</v>
      </c>
      <c r="W140" s="49">
        <v>0</v>
      </c>
      <c r="X140" s="49">
        <v>0</v>
      </c>
      <c r="Y140" s="49">
        <v>0</v>
      </c>
      <c r="Z140" s="49">
        <v>0</v>
      </c>
      <c r="AA140" s="72">
        <v>140</v>
      </c>
      <c r="AB140" s="72"/>
      <c r="AC140" s="73"/>
      <c r="AD140" s="79" t="s">
        <v>896</v>
      </c>
      <c r="AE140" s="79"/>
      <c r="AF140" s="79"/>
      <c r="AG140" s="79"/>
      <c r="AH140" s="79"/>
      <c r="AI140" s="79" t="s">
        <v>1015</v>
      </c>
      <c r="AJ140" s="83">
        <v>42796.73315972222</v>
      </c>
      <c r="AK140" s="81" t="str">
        <f>HYPERLINK("https://yt3.ggpht.com/a/AATXAJwXft7ChYQ4w3rCSzb_sfXSLncoFcatm9IA8KdW4A=s88-c-k-c0xffffffff-no-rj-mo")</f>
        <v>https://yt3.ggpht.com/a/AATXAJwXft7ChYQ4w3rCSzb_sfXSLncoFcatm9IA8KdW4A=s88-c-k-c0xffffffff-no-rj-mo</v>
      </c>
      <c r="AL140" s="79">
        <v>90124</v>
      </c>
      <c r="AM140" s="79">
        <v>0</v>
      </c>
      <c r="AN140" s="79">
        <v>1790</v>
      </c>
      <c r="AO140" s="79" t="b">
        <v>0</v>
      </c>
      <c r="AP140" s="79">
        <v>27</v>
      </c>
      <c r="AQ140" s="79"/>
      <c r="AR140" s="79"/>
      <c r="AS140" s="79" t="s">
        <v>1028</v>
      </c>
      <c r="AT140" s="81" t="str">
        <f>HYPERLINK("https://www.youtube.com/channel/UCQ3Qo1AOifWURYfXaKTUNpQ")</f>
        <v>https://www.youtube.com/channel/UCQ3Qo1AOifWURYfXaKTUNpQ</v>
      </c>
      <c r="AU140" s="79" t="str">
        <f>REPLACE(INDEX(GroupVertices[Group],MATCH(Vertices[[#This Row],[Vertex]],GroupVertices[Vertex],0)),1,1,"")</f>
        <v>1</v>
      </c>
      <c r="AV140" s="48"/>
      <c r="AW140" s="49"/>
      <c r="AX140" s="48"/>
      <c r="AY140" s="49"/>
      <c r="AZ140" s="48"/>
      <c r="BA140" s="49"/>
      <c r="BB140" s="48"/>
      <c r="BC140" s="49"/>
      <c r="BD140" s="48"/>
      <c r="BE140" s="48"/>
      <c r="BF140" s="48"/>
      <c r="BG140" s="48"/>
      <c r="BH140" s="48"/>
      <c r="BI140" s="48"/>
      <c r="BJ140" s="48"/>
      <c r="BK140" s="48"/>
      <c r="BL140" s="48"/>
      <c r="BM140" s="48"/>
      <c r="BN140" s="48"/>
      <c r="BO140" s="2"/>
      <c r="BP140" s="3"/>
      <c r="BQ140" s="3"/>
      <c r="BR140" s="3"/>
      <c r="BS140" s="3"/>
    </row>
    <row r="141" spans="1:71" ht="15">
      <c r="A141" s="65" t="s">
        <v>838</v>
      </c>
      <c r="B141" s="66"/>
      <c r="C141" s="66"/>
      <c r="D141" s="67">
        <v>200</v>
      </c>
      <c r="E141" s="69"/>
      <c r="F141" s="99" t="str">
        <f>HYPERLINK("https://yt3.ggpht.com/a/AATXAJwBnatSyjUrl5NY1fFnmHjlQujz93APaXAkXw=s88-c-k-c0xffffffff-no-rj-mo")</f>
        <v>https://yt3.ggpht.com/a/AATXAJwBnatSyjUrl5NY1fFnmHjlQujz93APaXAkXw=s88-c-k-c0xffffffff-no-rj-mo</v>
      </c>
      <c r="G141" s="66" t="s">
        <v>51</v>
      </c>
      <c r="H141" s="70" t="s">
        <v>897</v>
      </c>
      <c r="I141" s="71"/>
      <c r="J141" s="71"/>
      <c r="K141" s="70" t="s">
        <v>897</v>
      </c>
      <c r="L141" s="74">
        <v>1</v>
      </c>
      <c r="M141" s="75">
        <v>3067.6337890625</v>
      </c>
      <c r="N141" s="75">
        <v>4657.5302734375</v>
      </c>
      <c r="O141" s="76"/>
      <c r="P141" s="77"/>
      <c r="Q141" s="77"/>
      <c r="R141" s="85"/>
      <c r="S141" s="48">
        <v>0</v>
      </c>
      <c r="T141" s="48">
        <v>0</v>
      </c>
      <c r="U141" s="49">
        <v>0</v>
      </c>
      <c r="V141" s="49">
        <v>0</v>
      </c>
      <c r="W141" s="49">
        <v>0</v>
      </c>
      <c r="X141" s="49">
        <v>0</v>
      </c>
      <c r="Y141" s="49">
        <v>0</v>
      </c>
      <c r="Z141" s="49">
        <v>0</v>
      </c>
      <c r="AA141" s="72">
        <v>141</v>
      </c>
      <c r="AB141" s="72"/>
      <c r="AC141" s="73"/>
      <c r="AD141" s="79" t="s">
        <v>897</v>
      </c>
      <c r="AE141" s="79"/>
      <c r="AF141" s="79"/>
      <c r="AG141" s="79"/>
      <c r="AH141" s="79"/>
      <c r="AI141" s="79"/>
      <c r="AJ141" s="83">
        <v>44006.15078703704</v>
      </c>
      <c r="AK141" s="81" t="str">
        <f>HYPERLINK("https://yt3.ggpht.com/a/AATXAJwBnatSyjUrl5NY1fFnmHjlQujz93APaXAkXw=s88-c-k-c0xffffffff-no-rj-mo")</f>
        <v>https://yt3.ggpht.com/a/AATXAJwBnatSyjUrl5NY1fFnmHjlQujz93APaXAkXw=s88-c-k-c0xffffffff-no-rj-mo</v>
      </c>
      <c r="AL141" s="79">
        <v>13</v>
      </c>
      <c r="AM141" s="79">
        <v>0</v>
      </c>
      <c r="AN141" s="79">
        <v>2</v>
      </c>
      <c r="AO141" s="79" t="b">
        <v>0</v>
      </c>
      <c r="AP141" s="79">
        <v>1</v>
      </c>
      <c r="AQ141" s="79"/>
      <c r="AR141" s="79"/>
      <c r="AS141" s="79" t="s">
        <v>1028</v>
      </c>
      <c r="AT141" s="81" t="str">
        <f>HYPERLINK("https://www.youtube.com/channel/UCJf_On2lOVfH4gAZZG6TXWg")</f>
        <v>https://www.youtube.com/channel/UCJf_On2lOVfH4gAZZG6TXWg</v>
      </c>
      <c r="AU141" s="79" t="str">
        <f>REPLACE(INDEX(GroupVertices[Group],MATCH(Vertices[[#This Row],[Vertex]],GroupVertices[Vertex],0)),1,1,"")</f>
        <v>1</v>
      </c>
      <c r="AV141" s="48"/>
      <c r="AW141" s="49"/>
      <c r="AX141" s="48"/>
      <c r="AY141" s="49"/>
      <c r="AZ141" s="48"/>
      <c r="BA141" s="49"/>
      <c r="BB141" s="48"/>
      <c r="BC141" s="49"/>
      <c r="BD141" s="48"/>
      <c r="BE141" s="48"/>
      <c r="BF141" s="48"/>
      <c r="BG141" s="48"/>
      <c r="BH141" s="48"/>
      <c r="BI141" s="48"/>
      <c r="BJ141" s="48"/>
      <c r="BK141" s="48"/>
      <c r="BL141" s="48"/>
      <c r="BM141" s="48"/>
      <c r="BN141" s="48"/>
      <c r="BO141" s="2"/>
      <c r="BP141" s="3"/>
      <c r="BQ141" s="3"/>
      <c r="BR141" s="3"/>
      <c r="BS141" s="3"/>
    </row>
    <row r="142" spans="1:71" ht="15">
      <c r="A142" s="65" t="s">
        <v>839</v>
      </c>
      <c r="B142" s="66"/>
      <c r="C142" s="66"/>
      <c r="D142" s="67">
        <v>200</v>
      </c>
      <c r="E142" s="69"/>
      <c r="F142" s="99" t="str">
        <f>HYPERLINK("https://yt3.ggpht.com/a/AATXAJxABsDeEgRik2uk0IPht657Jm9zB3VA2FaiA87l=s88-c-k-c0xffffffff-no-rj-mo")</f>
        <v>https://yt3.ggpht.com/a/AATXAJxABsDeEgRik2uk0IPht657Jm9zB3VA2FaiA87l=s88-c-k-c0xffffffff-no-rj-mo</v>
      </c>
      <c r="G142" s="66" t="s">
        <v>51</v>
      </c>
      <c r="H142" s="70" t="s">
        <v>898</v>
      </c>
      <c r="I142" s="71"/>
      <c r="J142" s="71"/>
      <c r="K142" s="70" t="s">
        <v>898</v>
      </c>
      <c r="L142" s="74">
        <v>1</v>
      </c>
      <c r="M142" s="75">
        <v>435.20062255859375</v>
      </c>
      <c r="N142" s="75">
        <v>6256.599609375</v>
      </c>
      <c r="O142" s="76"/>
      <c r="P142" s="77"/>
      <c r="Q142" s="77"/>
      <c r="R142" s="85"/>
      <c r="S142" s="48">
        <v>0</v>
      </c>
      <c r="T142" s="48">
        <v>0</v>
      </c>
      <c r="U142" s="49">
        <v>0</v>
      </c>
      <c r="V142" s="49">
        <v>0</v>
      </c>
      <c r="W142" s="49">
        <v>0</v>
      </c>
      <c r="X142" s="49">
        <v>0</v>
      </c>
      <c r="Y142" s="49">
        <v>0</v>
      </c>
      <c r="Z142" s="49">
        <v>0</v>
      </c>
      <c r="AA142" s="72">
        <v>142</v>
      </c>
      <c r="AB142" s="72"/>
      <c r="AC142" s="73"/>
      <c r="AD142" s="79" t="s">
        <v>898</v>
      </c>
      <c r="AE142" s="79"/>
      <c r="AF142" s="79"/>
      <c r="AG142" s="79"/>
      <c r="AH142" s="79"/>
      <c r="AI142" s="79" t="s">
        <v>1016</v>
      </c>
      <c r="AJ142" s="83">
        <v>43056.07048611111</v>
      </c>
      <c r="AK142" s="81" t="str">
        <f>HYPERLINK("https://yt3.ggpht.com/a/AATXAJxABsDeEgRik2uk0IPht657Jm9zB3VA2FaiA87l=s88-c-k-c0xffffffff-no-rj-mo")</f>
        <v>https://yt3.ggpht.com/a/AATXAJxABsDeEgRik2uk0IPht657Jm9zB3VA2FaiA87l=s88-c-k-c0xffffffff-no-rj-mo</v>
      </c>
      <c r="AL142" s="79">
        <v>36793</v>
      </c>
      <c r="AM142" s="79">
        <v>0</v>
      </c>
      <c r="AN142" s="79">
        <v>1200</v>
      </c>
      <c r="AO142" s="79" t="b">
        <v>0</v>
      </c>
      <c r="AP142" s="79">
        <v>351</v>
      </c>
      <c r="AQ142" s="79"/>
      <c r="AR142" s="79"/>
      <c r="AS142" s="79" t="s">
        <v>1028</v>
      </c>
      <c r="AT142" s="81" t="str">
        <f>HYPERLINK("https://www.youtube.com/channel/UCENbpaPgVhO2GtlNcwAJ8mA")</f>
        <v>https://www.youtube.com/channel/UCENbpaPgVhO2GtlNcwAJ8mA</v>
      </c>
      <c r="AU142" s="79" t="str">
        <f>REPLACE(INDEX(GroupVertices[Group],MATCH(Vertices[[#This Row],[Vertex]],GroupVertices[Vertex],0)),1,1,"")</f>
        <v>1</v>
      </c>
      <c r="AV142" s="48"/>
      <c r="AW142" s="49"/>
      <c r="AX142" s="48"/>
      <c r="AY142" s="49"/>
      <c r="AZ142" s="48"/>
      <c r="BA142" s="49"/>
      <c r="BB142" s="48"/>
      <c r="BC142" s="49"/>
      <c r="BD142" s="48"/>
      <c r="BE142" s="48"/>
      <c r="BF142" s="48"/>
      <c r="BG142" s="48"/>
      <c r="BH142" s="48"/>
      <c r="BI142" s="48"/>
      <c r="BJ142" s="48"/>
      <c r="BK142" s="48"/>
      <c r="BL142" s="48"/>
      <c r="BM142" s="48"/>
      <c r="BN142" s="48"/>
      <c r="BO142" s="2"/>
      <c r="BP142" s="3"/>
      <c r="BQ142" s="3"/>
      <c r="BR142" s="3"/>
      <c r="BS142" s="3"/>
    </row>
    <row r="143" spans="1:71" ht="15">
      <c r="A143" s="65" t="s">
        <v>840</v>
      </c>
      <c r="B143" s="66"/>
      <c r="C143" s="66"/>
      <c r="D143" s="67">
        <v>200</v>
      </c>
      <c r="E143" s="69"/>
      <c r="F143" s="99" t="str">
        <f>HYPERLINK("https://yt3.ggpht.com/a/AATXAJzrk_aajiFCye31wM2Ozz5_hMqnAer95u9JVNiLHQ=s88-c-k-c0xffffffff-no-rj-mo")</f>
        <v>https://yt3.ggpht.com/a/AATXAJzrk_aajiFCye31wM2Ozz5_hMqnAer95u9JVNiLHQ=s88-c-k-c0xffffffff-no-rj-mo</v>
      </c>
      <c r="G143" s="66" t="s">
        <v>51</v>
      </c>
      <c r="H143" s="70" t="s">
        <v>899</v>
      </c>
      <c r="I143" s="71"/>
      <c r="J143" s="71"/>
      <c r="K143" s="70" t="s">
        <v>899</v>
      </c>
      <c r="L143" s="74">
        <v>1</v>
      </c>
      <c r="M143" s="75">
        <v>1093.3089599609375</v>
      </c>
      <c r="N143" s="75">
        <v>8655.2041015625</v>
      </c>
      <c r="O143" s="76"/>
      <c r="P143" s="77"/>
      <c r="Q143" s="77"/>
      <c r="R143" s="85"/>
      <c r="S143" s="48">
        <v>0</v>
      </c>
      <c r="T143" s="48">
        <v>0</v>
      </c>
      <c r="U143" s="49">
        <v>0</v>
      </c>
      <c r="V143" s="49">
        <v>0</v>
      </c>
      <c r="W143" s="49">
        <v>0</v>
      </c>
      <c r="X143" s="49">
        <v>0</v>
      </c>
      <c r="Y143" s="49">
        <v>0</v>
      </c>
      <c r="Z143" s="49">
        <v>0</v>
      </c>
      <c r="AA143" s="72">
        <v>143</v>
      </c>
      <c r="AB143" s="72"/>
      <c r="AC143" s="73"/>
      <c r="AD143" s="79" t="s">
        <v>899</v>
      </c>
      <c r="AE143" s="79" t="s">
        <v>965</v>
      </c>
      <c r="AF143" s="79"/>
      <c r="AG143" s="79"/>
      <c r="AH143" s="79"/>
      <c r="AI143" s="79"/>
      <c r="AJ143" s="83">
        <v>40346.725277777776</v>
      </c>
      <c r="AK143" s="81" t="str">
        <f>HYPERLINK("https://yt3.ggpht.com/a/AATXAJzrk_aajiFCye31wM2Ozz5_hMqnAer95u9JVNiLHQ=s88-c-k-c0xffffffff-no-rj-mo")</f>
        <v>https://yt3.ggpht.com/a/AATXAJzrk_aajiFCye31wM2Ozz5_hMqnAer95u9JVNiLHQ=s88-c-k-c0xffffffff-no-rj-mo</v>
      </c>
      <c r="AL143" s="79">
        <v>646</v>
      </c>
      <c r="AM143" s="79">
        <v>0</v>
      </c>
      <c r="AN143" s="79">
        <v>38</v>
      </c>
      <c r="AO143" s="79" t="b">
        <v>0</v>
      </c>
      <c r="AP143" s="79">
        <v>16</v>
      </c>
      <c r="AQ143" s="79"/>
      <c r="AR143" s="79"/>
      <c r="AS143" s="79" t="s">
        <v>1028</v>
      </c>
      <c r="AT143" s="81" t="str">
        <f>HYPERLINK("https://www.youtube.com/channel/UCVdK-fsgJt_JeaGbR99n0bA")</f>
        <v>https://www.youtube.com/channel/UCVdK-fsgJt_JeaGbR99n0bA</v>
      </c>
      <c r="AU143" s="79" t="str">
        <f>REPLACE(INDEX(GroupVertices[Group],MATCH(Vertices[[#This Row],[Vertex]],GroupVertices[Vertex],0)),1,1,"")</f>
        <v>1</v>
      </c>
      <c r="AV143" s="48"/>
      <c r="AW143" s="49"/>
      <c r="AX143" s="48"/>
      <c r="AY143" s="49"/>
      <c r="AZ143" s="48"/>
      <c r="BA143" s="49"/>
      <c r="BB143" s="48"/>
      <c r="BC143" s="49"/>
      <c r="BD143" s="48"/>
      <c r="BE143" s="48"/>
      <c r="BF143" s="48"/>
      <c r="BG143" s="48"/>
      <c r="BH143" s="48"/>
      <c r="BI143" s="48"/>
      <c r="BJ143" s="48"/>
      <c r="BK143" s="48"/>
      <c r="BL143" s="48"/>
      <c r="BM143" s="48"/>
      <c r="BN143" s="48"/>
      <c r="BO143" s="2"/>
      <c r="BP143" s="3"/>
      <c r="BQ143" s="3"/>
      <c r="BR143" s="3"/>
      <c r="BS143" s="3"/>
    </row>
    <row r="144" spans="1:71" ht="15">
      <c r="A144" s="65" t="s">
        <v>841</v>
      </c>
      <c r="B144" s="66"/>
      <c r="C144" s="66"/>
      <c r="D144" s="67">
        <v>200</v>
      </c>
      <c r="E144" s="69"/>
      <c r="F144" s="99" t="str">
        <f>HYPERLINK("https://yt3.ggpht.com/a/AATXAJxySQDB1T6LBR-j0PGAFo3JKFA4XA6Wlk6eFgrbNp4=s88-c-k-c0xffffffff-no-rj-mo")</f>
        <v>https://yt3.ggpht.com/a/AATXAJxySQDB1T6LBR-j0PGAFo3JKFA4XA6Wlk6eFgrbNp4=s88-c-k-c0xffffffff-no-rj-mo</v>
      </c>
      <c r="G144" s="66" t="s">
        <v>51</v>
      </c>
      <c r="H144" s="70" t="s">
        <v>900</v>
      </c>
      <c r="I144" s="71"/>
      <c r="J144" s="71"/>
      <c r="K144" s="70" t="s">
        <v>900</v>
      </c>
      <c r="L144" s="74">
        <v>1</v>
      </c>
      <c r="M144" s="75">
        <v>435.20062255859375</v>
      </c>
      <c r="N144" s="75">
        <v>8655.2041015625</v>
      </c>
      <c r="O144" s="76"/>
      <c r="P144" s="77"/>
      <c r="Q144" s="77"/>
      <c r="R144" s="85"/>
      <c r="S144" s="48">
        <v>0</v>
      </c>
      <c r="T144" s="48">
        <v>0</v>
      </c>
      <c r="U144" s="49">
        <v>0</v>
      </c>
      <c r="V144" s="49">
        <v>0</v>
      </c>
      <c r="W144" s="49">
        <v>0</v>
      </c>
      <c r="X144" s="49">
        <v>0</v>
      </c>
      <c r="Y144" s="49">
        <v>0</v>
      </c>
      <c r="Z144" s="49">
        <v>0</v>
      </c>
      <c r="AA144" s="72">
        <v>144</v>
      </c>
      <c r="AB144" s="72"/>
      <c r="AC144" s="73"/>
      <c r="AD144" s="79" t="s">
        <v>900</v>
      </c>
      <c r="AE144" s="79" t="s">
        <v>966</v>
      </c>
      <c r="AF144" s="79"/>
      <c r="AG144" s="79"/>
      <c r="AH144" s="79"/>
      <c r="AI144" s="79" t="s">
        <v>1017</v>
      </c>
      <c r="AJ144" s="83">
        <v>39587.61230324074</v>
      </c>
      <c r="AK144" s="81" t="str">
        <f>HYPERLINK("https://yt3.ggpht.com/a/AATXAJxySQDB1T6LBR-j0PGAFo3JKFA4XA6Wlk6eFgrbNp4=s88-c-k-c0xffffffff-no-rj-mo")</f>
        <v>https://yt3.ggpht.com/a/AATXAJxySQDB1T6LBR-j0PGAFo3JKFA4XA6Wlk6eFgrbNp4=s88-c-k-c0xffffffff-no-rj-mo</v>
      </c>
      <c r="AL144" s="79">
        <v>229009</v>
      </c>
      <c r="AM144" s="79">
        <v>0</v>
      </c>
      <c r="AN144" s="79">
        <v>3290</v>
      </c>
      <c r="AO144" s="79" t="b">
        <v>0</v>
      </c>
      <c r="AP144" s="79">
        <v>332</v>
      </c>
      <c r="AQ144" s="79"/>
      <c r="AR144" s="79"/>
      <c r="AS144" s="79" t="s">
        <v>1028</v>
      </c>
      <c r="AT144" s="81" t="str">
        <f>HYPERLINK("https://www.youtube.com/channel/UC9nQMyNYaPAc8b0kLbIRrRA")</f>
        <v>https://www.youtube.com/channel/UC9nQMyNYaPAc8b0kLbIRrRA</v>
      </c>
      <c r="AU144" s="79" t="str">
        <f>REPLACE(INDEX(GroupVertices[Group],MATCH(Vertices[[#This Row],[Vertex]],GroupVertices[Vertex],0)),1,1,"")</f>
        <v>1</v>
      </c>
      <c r="AV144" s="48"/>
      <c r="AW144" s="49"/>
      <c r="AX144" s="48"/>
      <c r="AY144" s="49"/>
      <c r="AZ144" s="48"/>
      <c r="BA144" s="49"/>
      <c r="BB144" s="48"/>
      <c r="BC144" s="49"/>
      <c r="BD144" s="48"/>
      <c r="BE144" s="48"/>
      <c r="BF144" s="48"/>
      <c r="BG144" s="48"/>
      <c r="BH144" s="48"/>
      <c r="BI144" s="48"/>
      <c r="BJ144" s="48"/>
      <c r="BK144" s="48"/>
      <c r="BL144" s="48"/>
      <c r="BM144" s="48"/>
      <c r="BN144" s="48"/>
      <c r="BO144" s="2"/>
      <c r="BP144" s="3"/>
      <c r="BQ144" s="3"/>
      <c r="BR144" s="3"/>
      <c r="BS144" s="3"/>
    </row>
    <row r="145" spans="1:71" ht="15">
      <c r="A145" s="65" t="s">
        <v>842</v>
      </c>
      <c r="B145" s="66"/>
      <c r="C145" s="66"/>
      <c r="D145" s="67">
        <v>200</v>
      </c>
      <c r="E145" s="69"/>
      <c r="F145" s="99" t="str">
        <f>HYPERLINK("https://yt3.ggpht.com/a/AATXAJz6TTJ_2SEPy-U1tjj_6KCIVv5dAr9-vR0kvllBmQ=s88-c-k-c0xffffffff-no-rj-mo")</f>
        <v>https://yt3.ggpht.com/a/AATXAJz6TTJ_2SEPy-U1tjj_6KCIVv5dAr9-vR0kvllBmQ=s88-c-k-c0xffffffff-no-rj-mo</v>
      </c>
      <c r="G145" s="66" t="s">
        <v>51</v>
      </c>
      <c r="H145" s="70" t="s">
        <v>901</v>
      </c>
      <c r="I145" s="71"/>
      <c r="J145" s="71"/>
      <c r="K145" s="70" t="s">
        <v>901</v>
      </c>
      <c r="L145" s="74">
        <v>1</v>
      </c>
      <c r="M145" s="75">
        <v>1751.417236328125</v>
      </c>
      <c r="N145" s="75">
        <v>8655.2041015625</v>
      </c>
      <c r="O145" s="76"/>
      <c r="P145" s="77"/>
      <c r="Q145" s="77"/>
      <c r="R145" s="85"/>
      <c r="S145" s="48">
        <v>0</v>
      </c>
      <c r="T145" s="48">
        <v>0</v>
      </c>
      <c r="U145" s="49">
        <v>0</v>
      </c>
      <c r="V145" s="49">
        <v>0</v>
      </c>
      <c r="W145" s="49">
        <v>0</v>
      </c>
      <c r="X145" s="49">
        <v>0</v>
      </c>
      <c r="Y145" s="49">
        <v>0</v>
      </c>
      <c r="Z145" s="49">
        <v>0</v>
      </c>
      <c r="AA145" s="72">
        <v>145</v>
      </c>
      <c r="AB145" s="72"/>
      <c r="AC145" s="73"/>
      <c r="AD145" s="79" t="s">
        <v>901</v>
      </c>
      <c r="AE145" s="79" t="s">
        <v>967</v>
      </c>
      <c r="AF145" s="79"/>
      <c r="AG145" s="79"/>
      <c r="AH145" s="79"/>
      <c r="AI145" s="79"/>
      <c r="AJ145" s="83">
        <v>40816.753958333335</v>
      </c>
      <c r="AK145" s="81" t="str">
        <f>HYPERLINK("https://yt3.ggpht.com/a/AATXAJz6TTJ_2SEPy-U1tjj_6KCIVv5dAr9-vR0kvllBmQ=s88-c-k-c0xffffffff-no-rj-mo")</f>
        <v>https://yt3.ggpht.com/a/AATXAJz6TTJ_2SEPy-U1tjj_6KCIVv5dAr9-vR0kvllBmQ=s88-c-k-c0xffffffff-no-rj-mo</v>
      </c>
      <c r="AL145" s="79">
        <v>1090845</v>
      </c>
      <c r="AM145" s="79">
        <v>0</v>
      </c>
      <c r="AN145" s="79">
        <v>3850</v>
      </c>
      <c r="AO145" s="79" t="b">
        <v>0</v>
      </c>
      <c r="AP145" s="79">
        <v>334</v>
      </c>
      <c r="AQ145" s="79"/>
      <c r="AR145" s="79"/>
      <c r="AS145" s="79" t="s">
        <v>1028</v>
      </c>
      <c r="AT145" s="81" t="str">
        <f>HYPERLINK("https://www.youtube.com/channel/UCV_fdCIEX3O_YnAPvg8CYmA")</f>
        <v>https://www.youtube.com/channel/UCV_fdCIEX3O_YnAPvg8CYmA</v>
      </c>
      <c r="AU145" s="79" t="str">
        <f>REPLACE(INDEX(GroupVertices[Group],MATCH(Vertices[[#This Row],[Vertex]],GroupVertices[Vertex],0)),1,1,"")</f>
        <v>1</v>
      </c>
      <c r="AV145" s="48"/>
      <c r="AW145" s="49"/>
      <c r="AX145" s="48"/>
      <c r="AY145" s="49"/>
      <c r="AZ145" s="48"/>
      <c r="BA145" s="49"/>
      <c r="BB145" s="48"/>
      <c r="BC145" s="49"/>
      <c r="BD145" s="48"/>
      <c r="BE145" s="48"/>
      <c r="BF145" s="48"/>
      <c r="BG145" s="48"/>
      <c r="BH145" s="48"/>
      <c r="BI145" s="48"/>
      <c r="BJ145" s="48"/>
      <c r="BK145" s="48"/>
      <c r="BL145" s="48"/>
      <c r="BM145" s="48"/>
      <c r="BN145" s="48"/>
      <c r="BO145" s="2"/>
      <c r="BP145" s="3"/>
      <c r="BQ145" s="3"/>
      <c r="BR145" s="3"/>
      <c r="BS145" s="3"/>
    </row>
    <row r="146" spans="1:71" ht="15">
      <c r="A146" s="65" t="s">
        <v>843</v>
      </c>
      <c r="B146" s="66"/>
      <c r="C146" s="66"/>
      <c r="D146" s="67">
        <v>200</v>
      </c>
      <c r="E146" s="69"/>
      <c r="F146" s="99" t="str">
        <f>HYPERLINK("https://yt3.ggpht.com/a/AATXAJzHFlescew-pEsdbELG37yMpJfy17sd7QmVj1aRxYA=s88-c-k-c0xffffffff-no-rj-mo")</f>
        <v>https://yt3.ggpht.com/a/AATXAJzHFlescew-pEsdbELG37yMpJfy17sd7QmVj1aRxYA=s88-c-k-c0xffffffff-no-rj-mo</v>
      </c>
      <c r="G146" s="66" t="s">
        <v>51</v>
      </c>
      <c r="H146" s="70" t="s">
        <v>902</v>
      </c>
      <c r="I146" s="71"/>
      <c r="J146" s="71"/>
      <c r="K146" s="70" t="s">
        <v>902</v>
      </c>
      <c r="L146" s="74">
        <v>1</v>
      </c>
      <c r="M146" s="75">
        <v>3067.6337890625</v>
      </c>
      <c r="N146" s="75">
        <v>8655.2041015625</v>
      </c>
      <c r="O146" s="76"/>
      <c r="P146" s="77"/>
      <c r="Q146" s="77"/>
      <c r="R146" s="85"/>
      <c r="S146" s="48">
        <v>0</v>
      </c>
      <c r="T146" s="48">
        <v>0</v>
      </c>
      <c r="U146" s="49">
        <v>0</v>
      </c>
      <c r="V146" s="49">
        <v>0</v>
      </c>
      <c r="W146" s="49">
        <v>0</v>
      </c>
      <c r="X146" s="49">
        <v>0</v>
      </c>
      <c r="Y146" s="49">
        <v>0</v>
      </c>
      <c r="Z146" s="49">
        <v>0</v>
      </c>
      <c r="AA146" s="72">
        <v>146</v>
      </c>
      <c r="AB146" s="72"/>
      <c r="AC146" s="73"/>
      <c r="AD146" s="79" t="s">
        <v>902</v>
      </c>
      <c r="AE146" s="79"/>
      <c r="AF146" s="79"/>
      <c r="AG146" s="79"/>
      <c r="AH146" s="79"/>
      <c r="AI146" s="79"/>
      <c r="AJ146" s="83">
        <v>41218.07063657408</v>
      </c>
      <c r="AK146" s="81" t="str">
        <f>HYPERLINK("https://yt3.ggpht.com/a/AATXAJzHFlescew-pEsdbELG37yMpJfy17sd7QmVj1aRxYA=s88-c-k-c0xffffffff-no-rj-mo")</f>
        <v>https://yt3.ggpht.com/a/AATXAJzHFlescew-pEsdbELG37yMpJfy17sd7QmVj1aRxYA=s88-c-k-c0xffffffff-no-rj-mo</v>
      </c>
      <c r="AL146" s="79">
        <v>47039</v>
      </c>
      <c r="AM146" s="79">
        <v>0</v>
      </c>
      <c r="AN146" s="79">
        <v>732</v>
      </c>
      <c r="AO146" s="79" t="b">
        <v>0</v>
      </c>
      <c r="AP146" s="79">
        <v>26</v>
      </c>
      <c r="AQ146" s="79"/>
      <c r="AR146" s="79"/>
      <c r="AS146" s="79" t="s">
        <v>1028</v>
      </c>
      <c r="AT146" s="81" t="str">
        <f>HYPERLINK("https://www.youtube.com/channel/UCamYOVD8GwI-G530IBIw5og")</f>
        <v>https://www.youtube.com/channel/UCamYOVD8GwI-G530IBIw5og</v>
      </c>
      <c r="AU146" s="79" t="str">
        <f>REPLACE(INDEX(GroupVertices[Group],MATCH(Vertices[[#This Row],[Vertex]],GroupVertices[Vertex],0)),1,1,"")</f>
        <v>1</v>
      </c>
      <c r="AV146" s="48"/>
      <c r="AW146" s="49"/>
      <c r="AX146" s="48"/>
      <c r="AY146" s="49"/>
      <c r="AZ146" s="48"/>
      <c r="BA146" s="49"/>
      <c r="BB146" s="48"/>
      <c r="BC146" s="49"/>
      <c r="BD146" s="48"/>
      <c r="BE146" s="48"/>
      <c r="BF146" s="48"/>
      <c r="BG146" s="48"/>
      <c r="BH146" s="48"/>
      <c r="BI146" s="48"/>
      <c r="BJ146" s="48"/>
      <c r="BK146" s="48"/>
      <c r="BL146" s="48"/>
      <c r="BM146" s="48"/>
      <c r="BN146" s="48"/>
      <c r="BO146" s="2"/>
      <c r="BP146" s="3"/>
      <c r="BQ146" s="3"/>
      <c r="BR146" s="3"/>
      <c r="BS146" s="3"/>
    </row>
    <row r="147" spans="1:71" ht="15">
      <c r="A147" s="65" t="s">
        <v>844</v>
      </c>
      <c r="B147" s="66"/>
      <c r="C147" s="66"/>
      <c r="D147" s="67">
        <v>200</v>
      </c>
      <c r="E147" s="69"/>
      <c r="F147" s="99" t="str">
        <f>HYPERLINK("https://yt3.ggpht.com/a/AATXAJzsW9Qd259l0--H7sIbOGQWyF6IuqW7HMUERQ=s88-c-k-c0xffffffff-no-rj-mo")</f>
        <v>https://yt3.ggpht.com/a/AATXAJzsW9Qd259l0--H7sIbOGQWyF6IuqW7HMUERQ=s88-c-k-c0xffffffff-no-rj-mo</v>
      </c>
      <c r="G147" s="66" t="s">
        <v>51</v>
      </c>
      <c r="H147" s="70" t="s">
        <v>903</v>
      </c>
      <c r="I147" s="71"/>
      <c r="J147" s="71"/>
      <c r="K147" s="70" t="s">
        <v>903</v>
      </c>
      <c r="L147" s="74">
        <v>1</v>
      </c>
      <c r="M147" s="75">
        <v>2409.525390625</v>
      </c>
      <c r="N147" s="75">
        <v>8655.2041015625</v>
      </c>
      <c r="O147" s="76"/>
      <c r="P147" s="77"/>
      <c r="Q147" s="77"/>
      <c r="R147" s="85"/>
      <c r="S147" s="48">
        <v>0</v>
      </c>
      <c r="T147" s="48">
        <v>0</v>
      </c>
      <c r="U147" s="49">
        <v>0</v>
      </c>
      <c r="V147" s="49">
        <v>0</v>
      </c>
      <c r="W147" s="49">
        <v>0</v>
      </c>
      <c r="X147" s="49">
        <v>0</v>
      </c>
      <c r="Y147" s="49">
        <v>0</v>
      </c>
      <c r="Z147" s="49">
        <v>0</v>
      </c>
      <c r="AA147" s="72">
        <v>147</v>
      </c>
      <c r="AB147" s="72"/>
      <c r="AC147" s="73"/>
      <c r="AD147" s="79" t="s">
        <v>903</v>
      </c>
      <c r="AE147" s="79" t="s">
        <v>968</v>
      </c>
      <c r="AF147" s="79"/>
      <c r="AG147" s="79"/>
      <c r="AH147" s="79"/>
      <c r="AI147" s="79"/>
      <c r="AJ147" s="83">
        <v>43395.2028587963</v>
      </c>
      <c r="AK147" s="81" t="str">
        <f>HYPERLINK("https://yt3.ggpht.com/a/AATXAJzsW9Qd259l0--H7sIbOGQWyF6IuqW7HMUERQ=s88-c-k-c0xffffffff-no-rj-mo")</f>
        <v>https://yt3.ggpht.com/a/AATXAJzsW9Qd259l0--H7sIbOGQWyF6IuqW7HMUERQ=s88-c-k-c0xffffffff-no-rj-mo</v>
      </c>
      <c r="AL147" s="79">
        <v>13307</v>
      </c>
      <c r="AM147" s="79">
        <v>0</v>
      </c>
      <c r="AN147" s="79">
        <v>648</v>
      </c>
      <c r="AO147" s="79" t="b">
        <v>0</v>
      </c>
      <c r="AP147" s="79">
        <v>78</v>
      </c>
      <c r="AQ147" s="79"/>
      <c r="AR147" s="79"/>
      <c r="AS147" s="79" t="s">
        <v>1028</v>
      </c>
      <c r="AT147" s="81" t="str">
        <f>HYPERLINK("https://www.youtube.com/channel/UCbTlRXI0HmWogrA1YCzbiLQ")</f>
        <v>https://www.youtube.com/channel/UCbTlRXI0HmWogrA1YCzbiLQ</v>
      </c>
      <c r="AU147" s="79" t="str">
        <f>REPLACE(INDEX(GroupVertices[Group],MATCH(Vertices[[#This Row],[Vertex]],GroupVertices[Vertex],0)),1,1,"")</f>
        <v>1</v>
      </c>
      <c r="AV147" s="48"/>
      <c r="AW147" s="49"/>
      <c r="AX147" s="48"/>
      <c r="AY147" s="49"/>
      <c r="AZ147" s="48"/>
      <c r="BA147" s="49"/>
      <c r="BB147" s="48"/>
      <c r="BC147" s="49"/>
      <c r="BD147" s="48"/>
      <c r="BE147" s="48"/>
      <c r="BF147" s="48"/>
      <c r="BG147" s="48"/>
      <c r="BH147" s="48"/>
      <c r="BI147" s="48"/>
      <c r="BJ147" s="48"/>
      <c r="BK147" s="48"/>
      <c r="BL147" s="48"/>
      <c r="BM147" s="48"/>
      <c r="BN147" s="48"/>
      <c r="BO147" s="2"/>
      <c r="BP147" s="3"/>
      <c r="BQ147" s="3"/>
      <c r="BR147" s="3"/>
      <c r="BS147" s="3"/>
    </row>
    <row r="148" spans="1:71" ht="15">
      <c r="A148" s="65" t="s">
        <v>845</v>
      </c>
      <c r="B148" s="66"/>
      <c r="C148" s="66"/>
      <c r="D148" s="67">
        <v>200</v>
      </c>
      <c r="E148" s="69"/>
      <c r="F148" s="99" t="str">
        <f>HYPERLINK("https://yt3.ggpht.com/a/AATXAJx-Far4JiF0-JaeK3TenOId26a1eVWtp5uivg=s88-c-k-c0xffffffff-no-rj-mo")</f>
        <v>https://yt3.ggpht.com/a/AATXAJx-Far4JiF0-JaeK3TenOId26a1eVWtp5uivg=s88-c-k-c0xffffffff-no-rj-mo</v>
      </c>
      <c r="G148" s="66" t="s">
        <v>51</v>
      </c>
      <c r="H148" s="70" t="s">
        <v>904</v>
      </c>
      <c r="I148" s="71"/>
      <c r="J148" s="71"/>
      <c r="K148" s="70" t="s">
        <v>904</v>
      </c>
      <c r="L148" s="74">
        <v>1</v>
      </c>
      <c r="M148" s="75">
        <v>1093.3089599609375</v>
      </c>
      <c r="N148" s="75">
        <v>9454.73828125</v>
      </c>
      <c r="O148" s="76"/>
      <c r="P148" s="77"/>
      <c r="Q148" s="77"/>
      <c r="R148" s="85"/>
      <c r="S148" s="48">
        <v>0</v>
      </c>
      <c r="T148" s="48">
        <v>0</v>
      </c>
      <c r="U148" s="49">
        <v>0</v>
      </c>
      <c r="V148" s="49">
        <v>0</v>
      </c>
      <c r="W148" s="49">
        <v>0</v>
      </c>
      <c r="X148" s="49">
        <v>0</v>
      </c>
      <c r="Y148" s="49">
        <v>0</v>
      </c>
      <c r="Z148" s="49">
        <v>0</v>
      </c>
      <c r="AA148" s="72">
        <v>148</v>
      </c>
      <c r="AB148" s="72"/>
      <c r="AC148" s="73"/>
      <c r="AD148" s="79" t="s">
        <v>904</v>
      </c>
      <c r="AE148" s="79" t="s">
        <v>969</v>
      </c>
      <c r="AF148" s="79"/>
      <c r="AG148" s="79"/>
      <c r="AH148" s="79"/>
      <c r="AI148" s="79" t="s">
        <v>1018</v>
      </c>
      <c r="AJ148" s="83">
        <v>42982.71958333333</v>
      </c>
      <c r="AK148" s="81" t="str">
        <f>HYPERLINK("https://yt3.ggpht.com/a/AATXAJx-Far4JiF0-JaeK3TenOId26a1eVWtp5uivg=s88-c-k-c0xffffffff-no-rj-mo")</f>
        <v>https://yt3.ggpht.com/a/AATXAJx-Far4JiF0-JaeK3TenOId26a1eVWtp5uivg=s88-c-k-c0xffffffff-no-rj-mo</v>
      </c>
      <c r="AL148" s="79">
        <v>211031</v>
      </c>
      <c r="AM148" s="79">
        <v>0</v>
      </c>
      <c r="AN148" s="79">
        <v>3330</v>
      </c>
      <c r="AO148" s="79" t="b">
        <v>0</v>
      </c>
      <c r="AP148" s="79">
        <v>142</v>
      </c>
      <c r="AQ148" s="79"/>
      <c r="AR148" s="79"/>
      <c r="AS148" s="79" t="s">
        <v>1028</v>
      </c>
      <c r="AT148" s="81" t="str">
        <f>HYPERLINK("https://www.youtube.com/channel/UCP3_3ULVVMplRheOIopD7dA")</f>
        <v>https://www.youtube.com/channel/UCP3_3ULVVMplRheOIopD7dA</v>
      </c>
      <c r="AU148" s="79" t="str">
        <f>REPLACE(INDEX(GroupVertices[Group],MATCH(Vertices[[#This Row],[Vertex]],GroupVertices[Vertex],0)),1,1,"")</f>
        <v>1</v>
      </c>
      <c r="AV148" s="48"/>
      <c r="AW148" s="49"/>
      <c r="AX148" s="48"/>
      <c r="AY148" s="49"/>
      <c r="AZ148" s="48"/>
      <c r="BA148" s="49"/>
      <c r="BB148" s="48"/>
      <c r="BC148" s="49"/>
      <c r="BD148" s="48"/>
      <c r="BE148" s="48"/>
      <c r="BF148" s="48"/>
      <c r="BG148" s="48"/>
      <c r="BH148" s="48"/>
      <c r="BI148" s="48"/>
      <c r="BJ148" s="48"/>
      <c r="BK148" s="48"/>
      <c r="BL148" s="48"/>
      <c r="BM148" s="48"/>
      <c r="BN148" s="48"/>
      <c r="BO148" s="2"/>
      <c r="BP148" s="3"/>
      <c r="BQ148" s="3"/>
      <c r="BR148" s="3"/>
      <c r="BS148" s="3"/>
    </row>
    <row r="149" spans="1:71" ht="15">
      <c r="A149" s="65" t="s">
        <v>846</v>
      </c>
      <c r="B149" s="66"/>
      <c r="C149" s="66"/>
      <c r="D149" s="67">
        <v>200</v>
      </c>
      <c r="E149" s="69"/>
      <c r="F149" s="99" t="str">
        <f>HYPERLINK("https://yt3.ggpht.com/a/AATXAJwFxBO1aBGEa1WBXRac96INoy7U2jXYNyZfIA=s88-c-k-c0xffffffff-no-rj-mo")</f>
        <v>https://yt3.ggpht.com/a/AATXAJwFxBO1aBGEa1WBXRac96INoy7U2jXYNyZfIA=s88-c-k-c0xffffffff-no-rj-mo</v>
      </c>
      <c r="G149" s="66" t="s">
        <v>51</v>
      </c>
      <c r="H149" s="70" t="s">
        <v>905</v>
      </c>
      <c r="I149" s="71"/>
      <c r="J149" s="71"/>
      <c r="K149" s="70" t="s">
        <v>905</v>
      </c>
      <c r="L149" s="74">
        <v>1</v>
      </c>
      <c r="M149" s="75">
        <v>435.20062255859375</v>
      </c>
      <c r="N149" s="75">
        <v>9454.73828125</v>
      </c>
      <c r="O149" s="76"/>
      <c r="P149" s="77"/>
      <c r="Q149" s="77"/>
      <c r="R149" s="85"/>
      <c r="S149" s="48">
        <v>0</v>
      </c>
      <c r="T149" s="48">
        <v>0</v>
      </c>
      <c r="U149" s="49">
        <v>0</v>
      </c>
      <c r="V149" s="49">
        <v>0</v>
      </c>
      <c r="W149" s="49">
        <v>0</v>
      </c>
      <c r="X149" s="49">
        <v>0</v>
      </c>
      <c r="Y149" s="49">
        <v>0</v>
      </c>
      <c r="Z149" s="49">
        <v>0</v>
      </c>
      <c r="AA149" s="72">
        <v>149</v>
      </c>
      <c r="AB149" s="72"/>
      <c r="AC149" s="73"/>
      <c r="AD149" s="79" t="s">
        <v>905</v>
      </c>
      <c r="AE149" s="79"/>
      <c r="AF149" s="79"/>
      <c r="AG149" s="79"/>
      <c r="AH149" s="79"/>
      <c r="AI149" s="79"/>
      <c r="AJ149" s="83">
        <v>43961.29693287037</v>
      </c>
      <c r="AK149" s="81" t="str">
        <f>HYPERLINK("https://yt3.ggpht.com/a/AATXAJwFxBO1aBGEa1WBXRac96INoy7U2jXYNyZfIA=s88-c-k-c0xffffffff-no-rj-mo")</f>
        <v>https://yt3.ggpht.com/a/AATXAJwFxBO1aBGEa1WBXRac96INoy7U2jXYNyZfIA=s88-c-k-c0xffffffff-no-rj-mo</v>
      </c>
      <c r="AL149" s="79">
        <v>17</v>
      </c>
      <c r="AM149" s="79">
        <v>0</v>
      </c>
      <c r="AN149" s="79">
        <v>2</v>
      </c>
      <c r="AO149" s="79" t="b">
        <v>0</v>
      </c>
      <c r="AP149" s="79">
        <v>3</v>
      </c>
      <c r="AQ149" s="79"/>
      <c r="AR149" s="79"/>
      <c r="AS149" s="79" t="s">
        <v>1028</v>
      </c>
      <c r="AT149" s="81" t="str">
        <f>HYPERLINK("https://www.youtube.com/channel/UCi3faV4I51CtDqCFj3gxEfw")</f>
        <v>https://www.youtube.com/channel/UCi3faV4I51CtDqCFj3gxEfw</v>
      </c>
      <c r="AU149" s="79" t="str">
        <f>REPLACE(INDEX(GroupVertices[Group],MATCH(Vertices[[#This Row],[Vertex]],GroupVertices[Vertex],0)),1,1,"")</f>
        <v>1</v>
      </c>
      <c r="AV149" s="48"/>
      <c r="AW149" s="49"/>
      <c r="AX149" s="48"/>
      <c r="AY149" s="49"/>
      <c r="AZ149" s="48"/>
      <c r="BA149" s="49"/>
      <c r="BB149" s="48"/>
      <c r="BC149" s="49"/>
      <c r="BD149" s="48"/>
      <c r="BE149" s="48"/>
      <c r="BF149" s="48"/>
      <c r="BG149" s="48"/>
      <c r="BH149" s="48"/>
      <c r="BI149" s="48"/>
      <c r="BJ149" s="48"/>
      <c r="BK149" s="48"/>
      <c r="BL149" s="48"/>
      <c r="BM149" s="48"/>
      <c r="BN149" s="48"/>
      <c r="BO149" s="2"/>
      <c r="BP149" s="3"/>
      <c r="BQ149" s="3"/>
      <c r="BR149" s="3"/>
      <c r="BS149" s="3"/>
    </row>
    <row r="150" spans="1:71" ht="15">
      <c r="A150" s="65" t="s">
        <v>847</v>
      </c>
      <c r="B150" s="66"/>
      <c r="C150" s="66"/>
      <c r="D150" s="67">
        <v>200</v>
      </c>
      <c r="E150" s="69"/>
      <c r="F150" s="99" t="str">
        <f>HYPERLINK("https://yt3.ggpht.com/a/AATXAJxT9ammpYGbcr323pUeexRnB4MAdZiXMg2IbR4cKA=s88-c-k-c0xffffffff-no-rj-mo")</f>
        <v>https://yt3.ggpht.com/a/AATXAJxT9ammpYGbcr323pUeexRnB4MAdZiXMg2IbR4cKA=s88-c-k-c0xffffffff-no-rj-mo</v>
      </c>
      <c r="G150" s="66" t="s">
        <v>51</v>
      </c>
      <c r="H150" s="70" t="s">
        <v>906</v>
      </c>
      <c r="I150" s="71"/>
      <c r="J150" s="71"/>
      <c r="K150" s="70" t="s">
        <v>906</v>
      </c>
      <c r="L150" s="74">
        <v>1</v>
      </c>
      <c r="M150" s="75">
        <v>1751.417236328125</v>
      </c>
      <c r="N150" s="75">
        <v>9454.73828125</v>
      </c>
      <c r="O150" s="76"/>
      <c r="P150" s="77"/>
      <c r="Q150" s="77"/>
      <c r="R150" s="85"/>
      <c r="S150" s="48">
        <v>0</v>
      </c>
      <c r="T150" s="48">
        <v>0</v>
      </c>
      <c r="U150" s="49">
        <v>0</v>
      </c>
      <c r="V150" s="49">
        <v>0</v>
      </c>
      <c r="W150" s="49">
        <v>0</v>
      </c>
      <c r="X150" s="49">
        <v>0</v>
      </c>
      <c r="Y150" s="49">
        <v>0</v>
      </c>
      <c r="Z150" s="49">
        <v>0</v>
      </c>
      <c r="AA150" s="72">
        <v>150</v>
      </c>
      <c r="AB150" s="72"/>
      <c r="AC150" s="73"/>
      <c r="AD150" s="79" t="s">
        <v>906</v>
      </c>
      <c r="AE150" s="79" t="s">
        <v>970</v>
      </c>
      <c r="AF150" s="79"/>
      <c r="AG150" s="79"/>
      <c r="AH150" s="79"/>
      <c r="AI150" s="79"/>
      <c r="AJ150" s="83">
        <v>41859.5008912037</v>
      </c>
      <c r="AK150" s="81" t="str">
        <f>HYPERLINK("https://yt3.ggpht.com/a/AATXAJxT9ammpYGbcr323pUeexRnB4MAdZiXMg2IbR4cKA=s88-c-k-c0xffffffff-no-rj-mo")</f>
        <v>https://yt3.ggpht.com/a/AATXAJxT9ammpYGbcr323pUeexRnB4MAdZiXMg2IbR4cKA=s88-c-k-c0xffffffff-no-rj-mo</v>
      </c>
      <c r="AL150" s="79">
        <v>972</v>
      </c>
      <c r="AM150" s="79">
        <v>0</v>
      </c>
      <c r="AN150" s="79">
        <v>38</v>
      </c>
      <c r="AO150" s="79" t="b">
        <v>0</v>
      </c>
      <c r="AP150" s="79">
        <v>13</v>
      </c>
      <c r="AQ150" s="79"/>
      <c r="AR150" s="79"/>
      <c r="AS150" s="79" t="s">
        <v>1028</v>
      </c>
      <c r="AT150" s="81" t="str">
        <f>HYPERLINK("https://www.youtube.com/channel/UCUHChymM567gZrevmZA2eGQ")</f>
        <v>https://www.youtube.com/channel/UCUHChymM567gZrevmZA2eGQ</v>
      </c>
      <c r="AU150" s="79" t="str">
        <f>REPLACE(INDEX(GroupVertices[Group],MATCH(Vertices[[#This Row],[Vertex]],GroupVertices[Vertex],0)),1,1,"")</f>
        <v>1</v>
      </c>
      <c r="AV150" s="48"/>
      <c r="AW150" s="49"/>
      <c r="AX150" s="48"/>
      <c r="AY150" s="49"/>
      <c r="AZ150" s="48"/>
      <c r="BA150" s="49"/>
      <c r="BB150" s="48"/>
      <c r="BC150" s="49"/>
      <c r="BD150" s="48"/>
      <c r="BE150" s="48"/>
      <c r="BF150" s="48"/>
      <c r="BG150" s="48"/>
      <c r="BH150" s="48"/>
      <c r="BI150" s="48"/>
      <c r="BJ150" s="48"/>
      <c r="BK150" s="48"/>
      <c r="BL150" s="48"/>
      <c r="BM150" s="48"/>
      <c r="BN150" s="48"/>
      <c r="BO150" s="2"/>
      <c r="BP150" s="3"/>
      <c r="BQ150" s="3"/>
      <c r="BR150" s="3"/>
      <c r="BS150" s="3"/>
    </row>
    <row r="151" spans="1:71" ht="15">
      <c r="A151" s="65" t="s">
        <v>848</v>
      </c>
      <c r="B151" s="66"/>
      <c r="C151" s="66"/>
      <c r="D151" s="67">
        <v>200</v>
      </c>
      <c r="E151" s="69"/>
      <c r="F151" s="99" t="str">
        <f>HYPERLINK("https://yt3.ggpht.com/a/AATXAJwCbJfUF9Rzxb0lS4ugYTyUArq9eotyyaSdgsi2JQ=s88-c-k-c0xffffffff-no-rj-mo")</f>
        <v>https://yt3.ggpht.com/a/AATXAJwCbJfUF9Rzxb0lS4ugYTyUArq9eotyyaSdgsi2JQ=s88-c-k-c0xffffffff-no-rj-mo</v>
      </c>
      <c r="G151" s="66" t="s">
        <v>51</v>
      </c>
      <c r="H151" s="70" t="s">
        <v>907</v>
      </c>
      <c r="I151" s="71"/>
      <c r="J151" s="71"/>
      <c r="K151" s="70" t="s">
        <v>907</v>
      </c>
      <c r="L151" s="74">
        <v>1</v>
      </c>
      <c r="M151" s="75">
        <v>3067.6337890625</v>
      </c>
      <c r="N151" s="75">
        <v>9454.73828125</v>
      </c>
      <c r="O151" s="76"/>
      <c r="P151" s="77"/>
      <c r="Q151" s="77"/>
      <c r="R151" s="85"/>
      <c r="S151" s="48">
        <v>0</v>
      </c>
      <c r="T151" s="48">
        <v>0</v>
      </c>
      <c r="U151" s="49">
        <v>0</v>
      </c>
      <c r="V151" s="49">
        <v>0</v>
      </c>
      <c r="W151" s="49">
        <v>0</v>
      </c>
      <c r="X151" s="49">
        <v>0</v>
      </c>
      <c r="Y151" s="49">
        <v>0</v>
      </c>
      <c r="Z151" s="49">
        <v>0</v>
      </c>
      <c r="AA151" s="72">
        <v>151</v>
      </c>
      <c r="AB151" s="72"/>
      <c r="AC151" s="73"/>
      <c r="AD151" s="79" t="s">
        <v>907</v>
      </c>
      <c r="AE151" s="79" t="s">
        <v>971</v>
      </c>
      <c r="AF151" s="79"/>
      <c r="AG151" s="79"/>
      <c r="AH151" s="79"/>
      <c r="AI151" s="79" t="s">
        <v>1019</v>
      </c>
      <c r="AJ151" s="83">
        <v>41547.58982638889</v>
      </c>
      <c r="AK151" s="81" t="str">
        <f>HYPERLINK("https://yt3.ggpht.com/a/AATXAJwCbJfUF9Rzxb0lS4ugYTyUArq9eotyyaSdgsi2JQ=s88-c-k-c0xffffffff-no-rj-mo")</f>
        <v>https://yt3.ggpht.com/a/AATXAJwCbJfUF9Rzxb0lS4ugYTyUArq9eotyyaSdgsi2JQ=s88-c-k-c0xffffffff-no-rj-mo</v>
      </c>
      <c r="AL151" s="79">
        <v>745532</v>
      </c>
      <c r="AM151" s="79">
        <v>0</v>
      </c>
      <c r="AN151" s="79">
        <v>9450</v>
      </c>
      <c r="AO151" s="79" t="b">
        <v>0</v>
      </c>
      <c r="AP151" s="79">
        <v>247</v>
      </c>
      <c r="AQ151" s="79"/>
      <c r="AR151" s="79"/>
      <c r="AS151" s="79" t="s">
        <v>1028</v>
      </c>
      <c r="AT151" s="81" t="str">
        <f>HYPERLINK("https://www.youtube.com/channel/UCsOfIwAXj1fT6LDqEDEAb4g")</f>
        <v>https://www.youtube.com/channel/UCsOfIwAXj1fT6LDqEDEAb4g</v>
      </c>
      <c r="AU151" s="79" t="str">
        <f>REPLACE(INDEX(GroupVertices[Group],MATCH(Vertices[[#This Row],[Vertex]],GroupVertices[Vertex],0)),1,1,"")</f>
        <v>1</v>
      </c>
      <c r="AV151" s="48"/>
      <c r="AW151" s="49"/>
      <c r="AX151" s="48"/>
      <c r="AY151" s="49"/>
      <c r="AZ151" s="48"/>
      <c r="BA151" s="49"/>
      <c r="BB151" s="48"/>
      <c r="BC151" s="49"/>
      <c r="BD151" s="48"/>
      <c r="BE151" s="48"/>
      <c r="BF151" s="48"/>
      <c r="BG151" s="48"/>
      <c r="BH151" s="48"/>
      <c r="BI151" s="48"/>
      <c r="BJ151" s="48"/>
      <c r="BK151" s="48"/>
      <c r="BL151" s="48"/>
      <c r="BM151" s="48"/>
      <c r="BN151" s="48"/>
      <c r="BO151" s="2"/>
      <c r="BP151" s="3"/>
      <c r="BQ151" s="3"/>
      <c r="BR151" s="3"/>
      <c r="BS151" s="3"/>
    </row>
    <row r="152" spans="1:71" ht="15">
      <c r="A152" s="65" t="s">
        <v>849</v>
      </c>
      <c r="B152" s="66"/>
      <c r="C152" s="66"/>
      <c r="D152" s="67">
        <v>200</v>
      </c>
      <c r="E152" s="69"/>
      <c r="F152" s="99" t="str">
        <f>HYPERLINK("https://yt3.ggpht.com/a/AATXAJyVaE8FVmbFmGcy84_9lYXLEi-FqaohwOaYrYMZ=s88-c-k-c0xffffffff-no-rj-mo")</f>
        <v>https://yt3.ggpht.com/a/AATXAJyVaE8FVmbFmGcy84_9lYXLEi-FqaohwOaYrYMZ=s88-c-k-c0xffffffff-no-rj-mo</v>
      </c>
      <c r="G152" s="66" t="s">
        <v>51</v>
      </c>
      <c r="H152" s="70" t="s">
        <v>908</v>
      </c>
      <c r="I152" s="71"/>
      <c r="J152" s="71"/>
      <c r="K152" s="70" t="s">
        <v>908</v>
      </c>
      <c r="L152" s="74">
        <v>1</v>
      </c>
      <c r="M152" s="75">
        <v>2409.525390625</v>
      </c>
      <c r="N152" s="75">
        <v>9454.73828125</v>
      </c>
      <c r="O152" s="76"/>
      <c r="P152" s="77"/>
      <c r="Q152" s="77"/>
      <c r="R152" s="85"/>
      <c r="S152" s="48">
        <v>0</v>
      </c>
      <c r="T152" s="48">
        <v>0</v>
      </c>
      <c r="U152" s="49">
        <v>0</v>
      </c>
      <c r="V152" s="49">
        <v>0</v>
      </c>
      <c r="W152" s="49">
        <v>0</v>
      </c>
      <c r="X152" s="49">
        <v>0</v>
      </c>
      <c r="Y152" s="49">
        <v>0</v>
      </c>
      <c r="Z152" s="49">
        <v>0</v>
      </c>
      <c r="AA152" s="72">
        <v>152</v>
      </c>
      <c r="AB152" s="72"/>
      <c r="AC152" s="73"/>
      <c r="AD152" s="79" t="s">
        <v>908</v>
      </c>
      <c r="AE152" s="79" t="s">
        <v>972</v>
      </c>
      <c r="AF152" s="79"/>
      <c r="AG152" s="79"/>
      <c r="AH152" s="79"/>
      <c r="AI152" s="79"/>
      <c r="AJ152" s="83">
        <v>43921.64540509259</v>
      </c>
      <c r="AK152" s="81" t="str">
        <f>HYPERLINK("https://yt3.ggpht.com/a/AATXAJyVaE8FVmbFmGcy84_9lYXLEi-FqaohwOaYrYMZ=s88-c-k-c0xffffffff-no-rj-mo")</f>
        <v>https://yt3.ggpht.com/a/AATXAJyVaE8FVmbFmGcy84_9lYXLEi-FqaohwOaYrYMZ=s88-c-k-c0xffffffff-no-rj-mo</v>
      </c>
      <c r="AL152" s="79">
        <v>210</v>
      </c>
      <c r="AM152" s="79">
        <v>0</v>
      </c>
      <c r="AN152" s="79">
        <v>18</v>
      </c>
      <c r="AO152" s="79" t="b">
        <v>0</v>
      </c>
      <c r="AP152" s="79">
        <v>10</v>
      </c>
      <c r="AQ152" s="79"/>
      <c r="AR152" s="79"/>
      <c r="AS152" s="79" t="s">
        <v>1028</v>
      </c>
      <c r="AT152" s="81" t="str">
        <f>HYPERLINK("https://www.youtube.com/channel/UCTI6Xm4hLjJ8_QNDXXjaGhA")</f>
        <v>https://www.youtube.com/channel/UCTI6Xm4hLjJ8_QNDXXjaGhA</v>
      </c>
      <c r="AU152" s="79" t="str">
        <f>REPLACE(INDEX(GroupVertices[Group],MATCH(Vertices[[#This Row],[Vertex]],GroupVertices[Vertex],0)),1,1,"")</f>
        <v>1</v>
      </c>
      <c r="AV152" s="48"/>
      <c r="AW152" s="49"/>
      <c r="AX152" s="48"/>
      <c r="AY152" s="49"/>
      <c r="AZ152" s="48"/>
      <c r="BA152" s="49"/>
      <c r="BB152" s="48"/>
      <c r="BC152" s="49"/>
      <c r="BD152" s="48"/>
      <c r="BE152" s="48"/>
      <c r="BF152" s="48"/>
      <c r="BG152" s="48"/>
      <c r="BH152" s="48"/>
      <c r="BI152" s="48"/>
      <c r="BJ152" s="48"/>
      <c r="BK152" s="48"/>
      <c r="BL152" s="48"/>
      <c r="BM152" s="48"/>
      <c r="BN152" s="48"/>
      <c r="BO152" s="2"/>
      <c r="BP152" s="3"/>
      <c r="BQ152" s="3"/>
      <c r="BR152" s="3"/>
      <c r="BS152" s="3"/>
    </row>
    <row r="153" spans="1:71" ht="15">
      <c r="A153" s="65" t="s">
        <v>850</v>
      </c>
      <c r="B153" s="66"/>
      <c r="C153" s="66"/>
      <c r="D153" s="67">
        <v>200</v>
      </c>
      <c r="E153" s="69"/>
      <c r="F153" s="99" t="str">
        <f>HYPERLINK("https://yt3.ggpht.com/a/AATXAJzgQD0gd9CALudFWYv10MZSy6zQFvnjapAQyA=s88-c-k-c0xffffffff-no-rj-mo")</f>
        <v>https://yt3.ggpht.com/a/AATXAJzgQD0gd9CALudFWYv10MZSy6zQFvnjapAQyA=s88-c-k-c0xffffffff-no-rj-mo</v>
      </c>
      <c r="G153" s="66" t="s">
        <v>51</v>
      </c>
      <c r="H153" s="70" t="s">
        <v>909</v>
      </c>
      <c r="I153" s="71"/>
      <c r="J153" s="71"/>
      <c r="K153" s="70" t="s">
        <v>909</v>
      </c>
      <c r="L153" s="74">
        <v>1</v>
      </c>
      <c r="M153" s="75">
        <v>1093.3089599609375</v>
      </c>
      <c r="N153" s="75">
        <v>7056.13427734375</v>
      </c>
      <c r="O153" s="76"/>
      <c r="P153" s="77"/>
      <c r="Q153" s="77"/>
      <c r="R153" s="85"/>
      <c r="S153" s="48">
        <v>0</v>
      </c>
      <c r="T153" s="48">
        <v>0</v>
      </c>
      <c r="U153" s="49">
        <v>0</v>
      </c>
      <c r="V153" s="49">
        <v>0</v>
      </c>
      <c r="W153" s="49">
        <v>0</v>
      </c>
      <c r="X153" s="49">
        <v>0</v>
      </c>
      <c r="Y153" s="49">
        <v>0</v>
      </c>
      <c r="Z153" s="49">
        <v>0</v>
      </c>
      <c r="AA153" s="72">
        <v>153</v>
      </c>
      <c r="AB153" s="72"/>
      <c r="AC153" s="73"/>
      <c r="AD153" s="79" t="s">
        <v>909</v>
      </c>
      <c r="AE153" s="79" t="s">
        <v>973</v>
      </c>
      <c r="AF153" s="79"/>
      <c r="AG153" s="79"/>
      <c r="AH153" s="79"/>
      <c r="AI153" s="79"/>
      <c r="AJ153" s="83">
        <v>43976.61456018518</v>
      </c>
      <c r="AK153" s="81" t="str">
        <f>HYPERLINK("https://yt3.ggpht.com/a/AATXAJzgQD0gd9CALudFWYv10MZSy6zQFvnjapAQyA=s88-c-k-c0xffffffff-no-rj-mo")</f>
        <v>https://yt3.ggpht.com/a/AATXAJzgQD0gd9CALudFWYv10MZSy6zQFvnjapAQyA=s88-c-k-c0xffffffff-no-rj-mo</v>
      </c>
      <c r="AL153" s="79">
        <v>975</v>
      </c>
      <c r="AM153" s="79">
        <v>0</v>
      </c>
      <c r="AN153" s="79">
        <v>183</v>
      </c>
      <c r="AO153" s="79" t="b">
        <v>0</v>
      </c>
      <c r="AP153" s="79">
        <v>21</v>
      </c>
      <c r="AQ153" s="79"/>
      <c r="AR153" s="79"/>
      <c r="AS153" s="79" t="s">
        <v>1028</v>
      </c>
      <c r="AT153" s="81" t="str">
        <f>HYPERLINK("https://www.youtube.com/channel/UCFQioVV7rMQwR_MMhnZFbIw")</f>
        <v>https://www.youtube.com/channel/UCFQioVV7rMQwR_MMhnZFbIw</v>
      </c>
      <c r="AU153" s="79" t="str">
        <f>REPLACE(INDEX(GroupVertices[Group],MATCH(Vertices[[#This Row],[Vertex]],GroupVertices[Vertex],0)),1,1,"")</f>
        <v>1</v>
      </c>
      <c r="AV153" s="48"/>
      <c r="AW153" s="49"/>
      <c r="AX153" s="48"/>
      <c r="AY153" s="49"/>
      <c r="AZ153" s="48"/>
      <c r="BA153" s="49"/>
      <c r="BB153" s="48"/>
      <c r="BC153" s="49"/>
      <c r="BD153" s="48"/>
      <c r="BE153" s="48"/>
      <c r="BF153" s="48"/>
      <c r="BG153" s="48"/>
      <c r="BH153" s="48"/>
      <c r="BI153" s="48"/>
      <c r="BJ153" s="48"/>
      <c r="BK153" s="48"/>
      <c r="BL153" s="48"/>
      <c r="BM153" s="48"/>
      <c r="BN153" s="48"/>
      <c r="BO153" s="2"/>
      <c r="BP153" s="3"/>
      <c r="BQ153" s="3"/>
      <c r="BR153" s="3"/>
      <c r="BS153" s="3"/>
    </row>
    <row r="154" spans="1:71" ht="15">
      <c r="A154" s="65" t="s">
        <v>851</v>
      </c>
      <c r="B154" s="66"/>
      <c r="C154" s="66"/>
      <c r="D154" s="67">
        <v>200</v>
      </c>
      <c r="E154" s="69"/>
      <c r="F154" s="99" t="str">
        <f>HYPERLINK("https://yt3.ggpht.com/a/AATXAJxMDrBznQ_XPKi3fZh2ryOVy6ak61IyuhYbU7fctA=s88-c-k-c0xffffffff-no-rj-mo")</f>
        <v>https://yt3.ggpht.com/a/AATXAJxMDrBznQ_XPKi3fZh2ryOVy6ak61IyuhYbU7fctA=s88-c-k-c0xffffffff-no-rj-mo</v>
      </c>
      <c r="G154" s="66" t="s">
        <v>51</v>
      </c>
      <c r="H154" s="70" t="s">
        <v>910</v>
      </c>
      <c r="I154" s="71"/>
      <c r="J154" s="71"/>
      <c r="K154" s="70" t="s">
        <v>910</v>
      </c>
      <c r="L154" s="74">
        <v>1</v>
      </c>
      <c r="M154" s="75">
        <v>435.20062255859375</v>
      </c>
      <c r="N154" s="75">
        <v>7056.13427734375</v>
      </c>
      <c r="O154" s="76"/>
      <c r="P154" s="77"/>
      <c r="Q154" s="77"/>
      <c r="R154" s="85"/>
      <c r="S154" s="48">
        <v>0</v>
      </c>
      <c r="T154" s="48">
        <v>0</v>
      </c>
      <c r="U154" s="49">
        <v>0</v>
      </c>
      <c r="V154" s="49">
        <v>0</v>
      </c>
      <c r="W154" s="49">
        <v>0</v>
      </c>
      <c r="X154" s="49">
        <v>0</v>
      </c>
      <c r="Y154" s="49">
        <v>0</v>
      </c>
      <c r="Z154" s="49">
        <v>0</v>
      </c>
      <c r="AA154" s="72">
        <v>154</v>
      </c>
      <c r="AB154" s="72"/>
      <c r="AC154" s="73"/>
      <c r="AD154" s="79" t="s">
        <v>910</v>
      </c>
      <c r="AE154" s="79" t="s">
        <v>974</v>
      </c>
      <c r="AF154" s="79"/>
      <c r="AG154" s="79"/>
      <c r="AH154" s="79"/>
      <c r="AI154" s="79" t="s">
        <v>1020</v>
      </c>
      <c r="AJ154" s="83">
        <v>42209.06350694445</v>
      </c>
      <c r="AK154" s="81" t="str">
        <f>HYPERLINK("https://yt3.ggpht.com/a/AATXAJxMDrBznQ_XPKi3fZh2ryOVy6ak61IyuhYbU7fctA=s88-c-k-c0xffffffff-no-rj-mo")</f>
        <v>https://yt3.ggpht.com/a/AATXAJxMDrBznQ_XPKi3fZh2ryOVy6ak61IyuhYbU7fctA=s88-c-k-c0xffffffff-no-rj-mo</v>
      </c>
      <c r="AL154" s="79">
        <v>6892402</v>
      </c>
      <c r="AM154" s="79">
        <v>0</v>
      </c>
      <c r="AN154" s="79">
        <v>120000</v>
      </c>
      <c r="AO154" s="79" t="b">
        <v>0</v>
      </c>
      <c r="AP154" s="79">
        <v>401</v>
      </c>
      <c r="AQ154" s="79"/>
      <c r="AR154" s="79"/>
      <c r="AS154" s="79" t="s">
        <v>1028</v>
      </c>
      <c r="AT154" s="81" t="str">
        <f>HYPERLINK("https://www.youtube.com/channel/UCusu-y_cy_0fXxOwCTmELqw")</f>
        <v>https://www.youtube.com/channel/UCusu-y_cy_0fXxOwCTmELqw</v>
      </c>
      <c r="AU154" s="79" t="str">
        <f>REPLACE(INDEX(GroupVertices[Group],MATCH(Vertices[[#This Row],[Vertex]],GroupVertices[Vertex],0)),1,1,"")</f>
        <v>1</v>
      </c>
      <c r="AV154" s="48"/>
      <c r="AW154" s="49"/>
      <c r="AX154" s="48"/>
      <c r="AY154" s="49"/>
      <c r="AZ154" s="48"/>
      <c r="BA154" s="49"/>
      <c r="BB154" s="48"/>
      <c r="BC154" s="49"/>
      <c r="BD154" s="48"/>
      <c r="BE154" s="48"/>
      <c r="BF154" s="48"/>
      <c r="BG154" s="48"/>
      <c r="BH154" s="48"/>
      <c r="BI154" s="48"/>
      <c r="BJ154" s="48"/>
      <c r="BK154" s="48"/>
      <c r="BL154" s="48"/>
      <c r="BM154" s="48"/>
      <c r="BN154" s="48"/>
      <c r="BO154" s="2"/>
      <c r="BP154" s="3"/>
      <c r="BQ154" s="3"/>
      <c r="BR154" s="3"/>
      <c r="BS154" s="3"/>
    </row>
    <row r="155" spans="1:71" ht="15">
      <c r="A155" s="65" t="s">
        <v>852</v>
      </c>
      <c r="B155" s="66"/>
      <c r="C155" s="66"/>
      <c r="D155" s="67">
        <v>200</v>
      </c>
      <c r="E155" s="69"/>
      <c r="F155" s="99" t="str">
        <f>HYPERLINK("https://yt3.ggpht.com/a/AATXAJydX1YDkk45NbKV1969yOquxa1mIB3uQYsIlA=s88-c-k-c0xffffffff-no-rj-mo")</f>
        <v>https://yt3.ggpht.com/a/AATXAJydX1YDkk45NbKV1969yOquxa1mIB3uQYsIlA=s88-c-k-c0xffffffff-no-rj-mo</v>
      </c>
      <c r="G155" s="66" t="s">
        <v>51</v>
      </c>
      <c r="H155" s="70" t="s">
        <v>911</v>
      </c>
      <c r="I155" s="71"/>
      <c r="J155" s="71"/>
      <c r="K155" s="70" t="s">
        <v>911</v>
      </c>
      <c r="L155" s="74">
        <v>1</v>
      </c>
      <c r="M155" s="75">
        <v>1751.417236328125</v>
      </c>
      <c r="N155" s="75">
        <v>7056.13427734375</v>
      </c>
      <c r="O155" s="76"/>
      <c r="P155" s="77"/>
      <c r="Q155" s="77"/>
      <c r="R155" s="85"/>
      <c r="S155" s="48">
        <v>0</v>
      </c>
      <c r="T155" s="48">
        <v>0</v>
      </c>
      <c r="U155" s="49">
        <v>0</v>
      </c>
      <c r="V155" s="49">
        <v>0</v>
      </c>
      <c r="W155" s="49">
        <v>0</v>
      </c>
      <c r="X155" s="49">
        <v>0</v>
      </c>
      <c r="Y155" s="49">
        <v>0</v>
      </c>
      <c r="Z155" s="49">
        <v>0</v>
      </c>
      <c r="AA155" s="72">
        <v>155</v>
      </c>
      <c r="AB155" s="72"/>
      <c r="AC155" s="73"/>
      <c r="AD155" s="79" t="s">
        <v>911</v>
      </c>
      <c r="AE155" s="79" t="s">
        <v>975</v>
      </c>
      <c r="AF155" s="79"/>
      <c r="AG155" s="79"/>
      <c r="AH155" s="79"/>
      <c r="AI155" s="79" t="s">
        <v>1021</v>
      </c>
      <c r="AJ155" s="83">
        <v>43108.862662037034</v>
      </c>
      <c r="AK155" s="81" t="str">
        <f>HYPERLINK("https://yt3.ggpht.com/a/AATXAJydX1YDkk45NbKV1969yOquxa1mIB3uQYsIlA=s88-c-k-c0xffffffff-no-rj-mo")</f>
        <v>https://yt3.ggpht.com/a/AATXAJydX1YDkk45NbKV1969yOquxa1mIB3uQYsIlA=s88-c-k-c0xffffffff-no-rj-mo</v>
      </c>
      <c r="AL155" s="79">
        <v>22774</v>
      </c>
      <c r="AM155" s="79">
        <v>0</v>
      </c>
      <c r="AN155" s="79">
        <v>721</v>
      </c>
      <c r="AO155" s="79" t="b">
        <v>0</v>
      </c>
      <c r="AP155" s="79">
        <v>55</v>
      </c>
      <c r="AQ155" s="79"/>
      <c r="AR155" s="79"/>
      <c r="AS155" s="79" t="s">
        <v>1028</v>
      </c>
      <c r="AT155" s="81" t="str">
        <f>HYPERLINK("https://www.youtube.com/channel/UCvefNINA2rbaE2lXA9ZILnA")</f>
        <v>https://www.youtube.com/channel/UCvefNINA2rbaE2lXA9ZILnA</v>
      </c>
      <c r="AU155" s="79" t="str">
        <f>REPLACE(INDEX(GroupVertices[Group],MATCH(Vertices[[#This Row],[Vertex]],GroupVertices[Vertex],0)),1,1,"")</f>
        <v>1</v>
      </c>
      <c r="AV155" s="48"/>
      <c r="AW155" s="49"/>
      <c r="AX155" s="48"/>
      <c r="AY155" s="49"/>
      <c r="AZ155" s="48"/>
      <c r="BA155" s="49"/>
      <c r="BB155" s="48"/>
      <c r="BC155" s="49"/>
      <c r="BD155" s="48"/>
      <c r="BE155" s="48"/>
      <c r="BF155" s="48"/>
      <c r="BG155" s="48"/>
      <c r="BH155" s="48"/>
      <c r="BI155" s="48"/>
      <c r="BJ155" s="48"/>
      <c r="BK155" s="48"/>
      <c r="BL155" s="48"/>
      <c r="BM155" s="48"/>
      <c r="BN155" s="48"/>
      <c r="BO155" s="2"/>
      <c r="BP155" s="3"/>
      <c r="BQ155" s="3"/>
      <c r="BR155" s="3"/>
      <c r="BS155" s="3"/>
    </row>
    <row r="156" spans="1:71" ht="15">
      <c r="A156" s="65" t="s">
        <v>853</v>
      </c>
      <c r="B156" s="66"/>
      <c r="C156" s="66"/>
      <c r="D156" s="67">
        <v>200</v>
      </c>
      <c r="E156" s="69"/>
      <c r="F156" s="99" t="str">
        <f>HYPERLINK("https://yt3.ggpht.com/a/AATXAJxVADyiHNzExStWvlAOZEHTm64FEEIONOunRA=s88-c-k-c0xffffffff-no-rj-mo")</f>
        <v>https://yt3.ggpht.com/a/AATXAJxVADyiHNzExStWvlAOZEHTm64FEEIONOunRA=s88-c-k-c0xffffffff-no-rj-mo</v>
      </c>
      <c r="G156" s="66" t="s">
        <v>51</v>
      </c>
      <c r="H156" s="70" t="s">
        <v>912</v>
      </c>
      <c r="I156" s="71"/>
      <c r="J156" s="71"/>
      <c r="K156" s="70" t="s">
        <v>912</v>
      </c>
      <c r="L156" s="74">
        <v>1</v>
      </c>
      <c r="M156" s="75">
        <v>3067.6337890625</v>
      </c>
      <c r="N156" s="75">
        <v>7056.13427734375</v>
      </c>
      <c r="O156" s="76"/>
      <c r="P156" s="77"/>
      <c r="Q156" s="77"/>
      <c r="R156" s="85"/>
      <c r="S156" s="48">
        <v>0</v>
      </c>
      <c r="T156" s="48">
        <v>0</v>
      </c>
      <c r="U156" s="49">
        <v>0</v>
      </c>
      <c r="V156" s="49">
        <v>0</v>
      </c>
      <c r="W156" s="49">
        <v>0</v>
      </c>
      <c r="X156" s="49">
        <v>0</v>
      </c>
      <c r="Y156" s="49">
        <v>0</v>
      </c>
      <c r="Z156" s="49">
        <v>0</v>
      </c>
      <c r="AA156" s="72">
        <v>156</v>
      </c>
      <c r="AB156" s="72"/>
      <c r="AC156" s="73"/>
      <c r="AD156" s="79" t="s">
        <v>912</v>
      </c>
      <c r="AE156" s="79" t="s">
        <v>976</v>
      </c>
      <c r="AF156" s="79"/>
      <c r="AG156" s="79"/>
      <c r="AH156" s="79"/>
      <c r="AI156" s="79" t="s">
        <v>1022</v>
      </c>
      <c r="AJ156" s="83">
        <v>43897.559212962966</v>
      </c>
      <c r="AK156" s="81" t="str">
        <f>HYPERLINK("https://yt3.ggpht.com/a/AATXAJxVADyiHNzExStWvlAOZEHTm64FEEIONOunRA=s88-c-k-c0xffffffff-no-rj-mo")</f>
        <v>https://yt3.ggpht.com/a/AATXAJxVADyiHNzExStWvlAOZEHTm64FEEIONOunRA=s88-c-k-c0xffffffff-no-rj-mo</v>
      </c>
      <c r="AL156" s="79">
        <v>7115</v>
      </c>
      <c r="AM156" s="79">
        <v>0</v>
      </c>
      <c r="AN156" s="79">
        <v>496</v>
      </c>
      <c r="AO156" s="79" t="b">
        <v>0</v>
      </c>
      <c r="AP156" s="79">
        <v>60</v>
      </c>
      <c r="AQ156" s="79"/>
      <c r="AR156" s="79"/>
      <c r="AS156" s="79" t="s">
        <v>1028</v>
      </c>
      <c r="AT156" s="81" t="str">
        <f>HYPERLINK("https://www.youtube.com/channel/UCLMzXVHnHNXjwWqNDLPW6cg")</f>
        <v>https://www.youtube.com/channel/UCLMzXVHnHNXjwWqNDLPW6cg</v>
      </c>
      <c r="AU156" s="79" t="str">
        <f>REPLACE(INDEX(GroupVertices[Group],MATCH(Vertices[[#This Row],[Vertex]],GroupVertices[Vertex],0)),1,1,"")</f>
        <v>1</v>
      </c>
      <c r="AV156" s="48"/>
      <c r="AW156" s="49"/>
      <c r="AX156" s="48"/>
      <c r="AY156" s="49"/>
      <c r="AZ156" s="48"/>
      <c r="BA156" s="49"/>
      <c r="BB156" s="48"/>
      <c r="BC156" s="49"/>
      <c r="BD156" s="48"/>
      <c r="BE156" s="48"/>
      <c r="BF156" s="48"/>
      <c r="BG156" s="48"/>
      <c r="BH156" s="48"/>
      <c r="BI156" s="48"/>
      <c r="BJ156" s="48"/>
      <c r="BK156" s="48"/>
      <c r="BL156" s="48"/>
      <c r="BM156" s="48"/>
      <c r="BN156" s="48"/>
      <c r="BO156" s="2"/>
      <c r="BP156" s="3"/>
      <c r="BQ156" s="3"/>
      <c r="BR156" s="3"/>
      <c r="BS156" s="3"/>
    </row>
    <row r="157" spans="1:71" ht="15">
      <c r="A157" s="65" t="s">
        <v>854</v>
      </c>
      <c r="B157" s="66"/>
      <c r="C157" s="66"/>
      <c r="D157" s="67">
        <v>200</v>
      </c>
      <c r="E157" s="69"/>
      <c r="F157" s="99" t="str">
        <f>HYPERLINK("https://yt3.ggpht.com/a/AATXAJywC7L_lZ6kr0fvPIuPuI5hL-f2E2lK2Mk_9g=s88-c-k-c0xffffffff-no-rj-mo")</f>
        <v>https://yt3.ggpht.com/a/AATXAJywC7L_lZ6kr0fvPIuPuI5hL-f2E2lK2Mk_9g=s88-c-k-c0xffffffff-no-rj-mo</v>
      </c>
      <c r="G157" s="66" t="s">
        <v>51</v>
      </c>
      <c r="H157" s="70" t="s">
        <v>913</v>
      </c>
      <c r="I157" s="71"/>
      <c r="J157" s="71"/>
      <c r="K157" s="70" t="s">
        <v>913</v>
      </c>
      <c r="L157" s="74">
        <v>1</v>
      </c>
      <c r="M157" s="75">
        <v>2409.525390625</v>
      </c>
      <c r="N157" s="75">
        <v>7056.13427734375</v>
      </c>
      <c r="O157" s="76"/>
      <c r="P157" s="77"/>
      <c r="Q157" s="77"/>
      <c r="R157" s="85"/>
      <c r="S157" s="48">
        <v>0</v>
      </c>
      <c r="T157" s="48">
        <v>0</v>
      </c>
      <c r="U157" s="49">
        <v>0</v>
      </c>
      <c r="V157" s="49">
        <v>0</v>
      </c>
      <c r="W157" s="49">
        <v>0</v>
      </c>
      <c r="X157" s="49">
        <v>0</v>
      </c>
      <c r="Y157" s="49">
        <v>0</v>
      </c>
      <c r="Z157" s="49">
        <v>0</v>
      </c>
      <c r="AA157" s="72">
        <v>157</v>
      </c>
      <c r="AB157" s="72"/>
      <c r="AC157" s="73"/>
      <c r="AD157" s="79" t="s">
        <v>913</v>
      </c>
      <c r="AE157" s="79" t="s">
        <v>977</v>
      </c>
      <c r="AF157" s="79"/>
      <c r="AG157" s="79"/>
      <c r="AH157" s="79"/>
      <c r="AI157" s="79" t="s">
        <v>1023</v>
      </c>
      <c r="AJ157" s="83">
        <v>40835.70358796296</v>
      </c>
      <c r="AK157" s="81" t="str">
        <f>HYPERLINK("https://yt3.ggpht.com/a/AATXAJywC7L_lZ6kr0fvPIuPuI5hL-f2E2lK2Mk_9g=s88-c-k-c0xffffffff-no-rj-mo")</f>
        <v>https://yt3.ggpht.com/a/AATXAJywC7L_lZ6kr0fvPIuPuI5hL-f2E2lK2Mk_9g=s88-c-k-c0xffffffff-no-rj-mo</v>
      </c>
      <c r="AL157" s="79">
        <v>77953</v>
      </c>
      <c r="AM157" s="79">
        <v>0</v>
      </c>
      <c r="AN157" s="79">
        <v>4840</v>
      </c>
      <c r="AO157" s="79" t="b">
        <v>0</v>
      </c>
      <c r="AP157" s="79">
        <v>35</v>
      </c>
      <c r="AQ157" s="79"/>
      <c r="AR157" s="79"/>
      <c r="AS157" s="79" t="s">
        <v>1028</v>
      </c>
      <c r="AT157" s="81" t="str">
        <f>HYPERLINK("https://www.youtube.com/channel/UCcc21gBGNJwZM_eDEByeN-Q")</f>
        <v>https://www.youtube.com/channel/UCcc21gBGNJwZM_eDEByeN-Q</v>
      </c>
      <c r="AU157" s="79" t="str">
        <f>REPLACE(INDEX(GroupVertices[Group],MATCH(Vertices[[#This Row],[Vertex]],GroupVertices[Vertex],0)),1,1,"")</f>
        <v>1</v>
      </c>
      <c r="AV157" s="48"/>
      <c r="AW157" s="49"/>
      <c r="AX157" s="48"/>
      <c r="AY157" s="49"/>
      <c r="AZ157" s="48"/>
      <c r="BA157" s="49"/>
      <c r="BB157" s="48"/>
      <c r="BC157" s="49"/>
      <c r="BD157" s="48"/>
      <c r="BE157" s="48"/>
      <c r="BF157" s="48"/>
      <c r="BG157" s="48"/>
      <c r="BH157" s="48"/>
      <c r="BI157" s="48"/>
      <c r="BJ157" s="48"/>
      <c r="BK157" s="48"/>
      <c r="BL157" s="48"/>
      <c r="BM157" s="48"/>
      <c r="BN157" s="48"/>
      <c r="BO157" s="2"/>
      <c r="BP157" s="3"/>
      <c r="BQ157" s="3"/>
      <c r="BR157" s="3"/>
      <c r="BS157" s="3"/>
    </row>
    <row r="158" spans="1:71" ht="15">
      <c r="A158" s="65" t="s">
        <v>855</v>
      </c>
      <c r="B158" s="66"/>
      <c r="C158" s="66"/>
      <c r="D158" s="67">
        <v>200</v>
      </c>
      <c r="E158" s="69"/>
      <c r="F158" s="99" t="str">
        <f>HYPERLINK("https://yt3.ggpht.com/a/AATXAJxjo4GDoEV5OoX9Cs1tF0Zh5_8nEmbNzIL3zWFZ=s88-c-k-c0xffffffff-no-rj-mo")</f>
        <v>https://yt3.ggpht.com/a/AATXAJxjo4GDoEV5OoX9Cs1tF0Zh5_8nEmbNzIL3zWFZ=s88-c-k-c0xffffffff-no-rj-mo</v>
      </c>
      <c r="G158" s="66" t="s">
        <v>51</v>
      </c>
      <c r="H158" s="70" t="s">
        <v>914</v>
      </c>
      <c r="I158" s="71"/>
      <c r="J158" s="71"/>
      <c r="K158" s="70" t="s">
        <v>914</v>
      </c>
      <c r="L158" s="74">
        <v>1</v>
      </c>
      <c r="M158" s="75">
        <v>1093.3089599609375</v>
      </c>
      <c r="N158" s="75">
        <v>7855.6689453125</v>
      </c>
      <c r="O158" s="76"/>
      <c r="P158" s="77"/>
      <c r="Q158" s="77"/>
      <c r="R158" s="85"/>
      <c r="S158" s="48">
        <v>0</v>
      </c>
      <c r="T158" s="48">
        <v>0</v>
      </c>
      <c r="U158" s="49">
        <v>0</v>
      </c>
      <c r="V158" s="49">
        <v>0</v>
      </c>
      <c r="W158" s="49">
        <v>0</v>
      </c>
      <c r="X158" s="49">
        <v>0</v>
      </c>
      <c r="Y158" s="49">
        <v>0</v>
      </c>
      <c r="Z158" s="49">
        <v>0</v>
      </c>
      <c r="AA158" s="72">
        <v>158</v>
      </c>
      <c r="AB158" s="72"/>
      <c r="AC158" s="73"/>
      <c r="AD158" s="79" t="s">
        <v>914</v>
      </c>
      <c r="AE158" s="79" t="s">
        <v>978</v>
      </c>
      <c r="AF158" s="79"/>
      <c r="AG158" s="79"/>
      <c r="AH158" s="79"/>
      <c r="AI158" s="79" t="s">
        <v>1024</v>
      </c>
      <c r="AJ158" s="83">
        <v>41543.239282407405</v>
      </c>
      <c r="AK158" s="81" t="str">
        <f>HYPERLINK("https://yt3.ggpht.com/a/AATXAJxjo4GDoEV5OoX9Cs1tF0Zh5_8nEmbNzIL3zWFZ=s88-c-k-c0xffffffff-no-rj-mo")</f>
        <v>https://yt3.ggpht.com/a/AATXAJxjo4GDoEV5OoX9Cs1tF0Zh5_8nEmbNzIL3zWFZ=s88-c-k-c0xffffffff-no-rj-mo</v>
      </c>
      <c r="AL158" s="79">
        <v>3873676</v>
      </c>
      <c r="AM158" s="79">
        <v>0</v>
      </c>
      <c r="AN158" s="79">
        <v>71200</v>
      </c>
      <c r="AO158" s="79" t="b">
        <v>0</v>
      </c>
      <c r="AP158" s="79">
        <v>284</v>
      </c>
      <c r="AQ158" s="79"/>
      <c r="AR158" s="79"/>
      <c r="AS158" s="79" t="s">
        <v>1028</v>
      </c>
      <c r="AT158" s="81" t="str">
        <f>HYPERLINK("https://www.youtube.com/channel/UCRNmSv7mAPYiC0Y40TJijAw")</f>
        <v>https://www.youtube.com/channel/UCRNmSv7mAPYiC0Y40TJijAw</v>
      </c>
      <c r="AU158" s="79" t="str">
        <f>REPLACE(INDEX(GroupVertices[Group],MATCH(Vertices[[#This Row],[Vertex]],GroupVertices[Vertex],0)),1,1,"")</f>
        <v>1</v>
      </c>
      <c r="AV158" s="48"/>
      <c r="AW158" s="49"/>
      <c r="AX158" s="48"/>
      <c r="AY158" s="49"/>
      <c r="AZ158" s="48"/>
      <c r="BA158" s="49"/>
      <c r="BB158" s="48"/>
      <c r="BC158" s="49"/>
      <c r="BD158" s="48"/>
      <c r="BE158" s="48"/>
      <c r="BF158" s="48"/>
      <c r="BG158" s="48"/>
      <c r="BH158" s="48"/>
      <c r="BI158" s="48"/>
      <c r="BJ158" s="48"/>
      <c r="BK158" s="48"/>
      <c r="BL158" s="48"/>
      <c r="BM158" s="48"/>
      <c r="BN158" s="48"/>
      <c r="BO158" s="2"/>
      <c r="BP158" s="3"/>
      <c r="BQ158" s="3"/>
      <c r="BR158" s="3"/>
      <c r="BS158" s="3"/>
    </row>
    <row r="159" spans="1:71" ht="15">
      <c r="A159" s="65" t="s">
        <v>856</v>
      </c>
      <c r="B159" s="66"/>
      <c r="C159" s="66"/>
      <c r="D159" s="67">
        <v>200</v>
      </c>
      <c r="E159" s="69"/>
      <c r="F159" s="99" t="str">
        <f>HYPERLINK("https://yt3.ggpht.com/a/AATXAJwBFqV60oQ3nD8-salhCaRMbyyqxBrkBCGhN6ju=s88-c-k-c0xffffffff-no-rj-mo")</f>
        <v>https://yt3.ggpht.com/a/AATXAJwBFqV60oQ3nD8-salhCaRMbyyqxBrkBCGhN6ju=s88-c-k-c0xffffffff-no-rj-mo</v>
      </c>
      <c r="G159" s="66" t="s">
        <v>51</v>
      </c>
      <c r="H159" s="70" t="s">
        <v>915</v>
      </c>
      <c r="I159" s="71"/>
      <c r="J159" s="71"/>
      <c r="K159" s="70" t="s">
        <v>915</v>
      </c>
      <c r="L159" s="74">
        <v>1</v>
      </c>
      <c r="M159" s="75">
        <v>435.20062255859375</v>
      </c>
      <c r="N159" s="75">
        <v>7855.6689453125</v>
      </c>
      <c r="O159" s="76"/>
      <c r="P159" s="77"/>
      <c r="Q159" s="77"/>
      <c r="R159" s="85"/>
      <c r="S159" s="48">
        <v>0</v>
      </c>
      <c r="T159" s="48">
        <v>0</v>
      </c>
      <c r="U159" s="49">
        <v>0</v>
      </c>
      <c r="V159" s="49">
        <v>0</v>
      </c>
      <c r="W159" s="49">
        <v>0</v>
      </c>
      <c r="X159" s="49">
        <v>0</v>
      </c>
      <c r="Y159" s="49">
        <v>0</v>
      </c>
      <c r="Z159" s="49">
        <v>0</v>
      </c>
      <c r="AA159" s="72">
        <v>159</v>
      </c>
      <c r="AB159" s="72"/>
      <c r="AC159" s="73"/>
      <c r="AD159" s="79" t="s">
        <v>915</v>
      </c>
      <c r="AE159" s="79" t="s">
        <v>979</v>
      </c>
      <c r="AF159" s="79"/>
      <c r="AG159" s="79"/>
      <c r="AH159" s="79"/>
      <c r="AI159" s="79" t="s">
        <v>1025</v>
      </c>
      <c r="AJ159" s="83">
        <v>43921.74949074074</v>
      </c>
      <c r="AK159" s="81" t="str">
        <f>HYPERLINK("https://yt3.ggpht.com/a/AATXAJwBFqV60oQ3nD8-salhCaRMbyyqxBrkBCGhN6ju=s88-c-k-c0xffffffff-no-rj-mo")</f>
        <v>https://yt3.ggpht.com/a/AATXAJwBFqV60oQ3nD8-salhCaRMbyyqxBrkBCGhN6ju=s88-c-k-c0xffffffff-no-rj-mo</v>
      </c>
      <c r="AL159" s="79">
        <v>2981</v>
      </c>
      <c r="AM159" s="79">
        <v>0</v>
      </c>
      <c r="AN159" s="79">
        <v>191</v>
      </c>
      <c r="AO159" s="79" t="b">
        <v>0</v>
      </c>
      <c r="AP159" s="79">
        <v>40</v>
      </c>
      <c r="AQ159" s="79"/>
      <c r="AR159" s="79"/>
      <c r="AS159" s="79" t="s">
        <v>1028</v>
      </c>
      <c r="AT159" s="81" t="str">
        <f>HYPERLINK("https://www.youtube.com/channel/UCn4VeDiC0EajANVgnd72wHg")</f>
        <v>https://www.youtube.com/channel/UCn4VeDiC0EajANVgnd72wHg</v>
      </c>
      <c r="AU159" s="79" t="str">
        <f>REPLACE(INDEX(GroupVertices[Group],MATCH(Vertices[[#This Row],[Vertex]],GroupVertices[Vertex],0)),1,1,"")</f>
        <v>1</v>
      </c>
      <c r="AV159" s="48"/>
      <c r="AW159" s="49"/>
      <c r="AX159" s="48"/>
      <c r="AY159" s="49"/>
      <c r="AZ159" s="48"/>
      <c r="BA159" s="49"/>
      <c r="BB159" s="48"/>
      <c r="BC159" s="49"/>
      <c r="BD159" s="48"/>
      <c r="BE159" s="48"/>
      <c r="BF159" s="48"/>
      <c r="BG159" s="48"/>
      <c r="BH159" s="48"/>
      <c r="BI159" s="48"/>
      <c r="BJ159" s="48"/>
      <c r="BK159" s="48"/>
      <c r="BL159" s="48"/>
      <c r="BM159" s="48"/>
      <c r="BN159" s="48"/>
      <c r="BO159" s="2"/>
      <c r="BP159" s="3"/>
      <c r="BQ159" s="3"/>
      <c r="BR159" s="3"/>
      <c r="BS159" s="3"/>
    </row>
    <row r="160" spans="1:71" ht="15">
      <c r="A160" s="65" t="s">
        <v>857</v>
      </c>
      <c r="B160" s="66"/>
      <c r="C160" s="66"/>
      <c r="D160" s="67">
        <v>200</v>
      </c>
      <c r="E160" s="69"/>
      <c r="F160" s="99" t="str">
        <f>HYPERLINK("https://yt3.ggpht.com/a/AATXAJxkDmusuUIWP_NPAiShqfLaqFaf88LApL3A6w=s88-c-k-c0xffffffff-no-rj-mo")</f>
        <v>https://yt3.ggpht.com/a/AATXAJxkDmusuUIWP_NPAiShqfLaqFaf88LApL3A6w=s88-c-k-c0xffffffff-no-rj-mo</v>
      </c>
      <c r="G160" s="66" t="s">
        <v>51</v>
      </c>
      <c r="H160" s="70" t="s">
        <v>916</v>
      </c>
      <c r="I160" s="71"/>
      <c r="J160" s="71"/>
      <c r="K160" s="70" t="s">
        <v>916</v>
      </c>
      <c r="L160" s="74">
        <v>1</v>
      </c>
      <c r="M160" s="75">
        <v>1751.417236328125</v>
      </c>
      <c r="N160" s="75">
        <v>7855.6689453125</v>
      </c>
      <c r="O160" s="76"/>
      <c r="P160" s="77"/>
      <c r="Q160" s="77"/>
      <c r="R160" s="85"/>
      <c r="S160" s="48">
        <v>0</v>
      </c>
      <c r="T160" s="48">
        <v>0</v>
      </c>
      <c r="U160" s="49">
        <v>0</v>
      </c>
      <c r="V160" s="49">
        <v>0</v>
      </c>
      <c r="W160" s="49">
        <v>0</v>
      </c>
      <c r="X160" s="49">
        <v>0</v>
      </c>
      <c r="Y160" s="49">
        <v>0</v>
      </c>
      <c r="Z160" s="49">
        <v>0</v>
      </c>
      <c r="AA160" s="72">
        <v>160</v>
      </c>
      <c r="AB160" s="72"/>
      <c r="AC160" s="73"/>
      <c r="AD160" s="79" t="s">
        <v>916</v>
      </c>
      <c r="AE160" s="79"/>
      <c r="AF160" s="79"/>
      <c r="AG160" s="79"/>
      <c r="AH160" s="79"/>
      <c r="AI160" s="79"/>
      <c r="AJ160" s="83">
        <v>43996.86199074074</v>
      </c>
      <c r="AK160" s="81" t="str">
        <f>HYPERLINK("https://yt3.ggpht.com/a/AATXAJxkDmusuUIWP_NPAiShqfLaqFaf88LApL3A6w=s88-c-k-c0xffffffff-no-rj-mo")</f>
        <v>https://yt3.ggpht.com/a/AATXAJxkDmusuUIWP_NPAiShqfLaqFaf88LApL3A6w=s88-c-k-c0xffffffff-no-rj-mo</v>
      </c>
      <c r="AL160" s="79">
        <v>1567</v>
      </c>
      <c r="AM160" s="79">
        <v>0</v>
      </c>
      <c r="AN160" s="79">
        <v>477</v>
      </c>
      <c r="AO160" s="79" t="b">
        <v>0</v>
      </c>
      <c r="AP160" s="79">
        <v>8</v>
      </c>
      <c r="AQ160" s="79"/>
      <c r="AR160" s="79"/>
      <c r="AS160" s="79" t="s">
        <v>1028</v>
      </c>
      <c r="AT160" s="81" t="str">
        <f>HYPERLINK("https://www.youtube.com/channel/UCvIr-n9Azj1msNnHekgsOyA")</f>
        <v>https://www.youtube.com/channel/UCvIr-n9Azj1msNnHekgsOyA</v>
      </c>
      <c r="AU160" s="79" t="str">
        <f>REPLACE(INDEX(GroupVertices[Group],MATCH(Vertices[[#This Row],[Vertex]],GroupVertices[Vertex],0)),1,1,"")</f>
        <v>1</v>
      </c>
      <c r="AV160" s="48"/>
      <c r="AW160" s="49"/>
      <c r="AX160" s="48"/>
      <c r="AY160" s="49"/>
      <c r="AZ160" s="48"/>
      <c r="BA160" s="49"/>
      <c r="BB160" s="48"/>
      <c r="BC160" s="49"/>
      <c r="BD160" s="48"/>
      <c r="BE160" s="48"/>
      <c r="BF160" s="48"/>
      <c r="BG160" s="48"/>
      <c r="BH160" s="48"/>
      <c r="BI160" s="48"/>
      <c r="BJ160" s="48"/>
      <c r="BK160" s="48"/>
      <c r="BL160" s="48"/>
      <c r="BM160" s="48"/>
      <c r="BN160" s="48"/>
      <c r="BO160" s="2"/>
      <c r="BP160" s="3"/>
      <c r="BQ160" s="3"/>
      <c r="BR160" s="3"/>
      <c r="BS160" s="3"/>
    </row>
    <row r="161" spans="1:71" ht="15">
      <c r="A161" s="65" t="s">
        <v>858</v>
      </c>
      <c r="B161" s="66"/>
      <c r="C161" s="66"/>
      <c r="D161" s="67">
        <v>200</v>
      </c>
      <c r="E161" s="69"/>
      <c r="F161" s="99" t="str">
        <f>HYPERLINK("https://yt3.ggpht.com/a/AATXAJzvI-Qp8Xlg8RLZj5O5N_SRC4-eXhi0PskhvPy_=s88-c-k-c0xffffffff-no-rj-mo")</f>
        <v>https://yt3.ggpht.com/a/AATXAJzvI-Qp8Xlg8RLZj5O5N_SRC4-eXhi0PskhvPy_=s88-c-k-c0xffffffff-no-rj-mo</v>
      </c>
      <c r="G161" s="66" t="s">
        <v>51</v>
      </c>
      <c r="H161" s="70" t="s">
        <v>917</v>
      </c>
      <c r="I161" s="71"/>
      <c r="J161" s="71"/>
      <c r="K161" s="70" t="s">
        <v>917</v>
      </c>
      <c r="L161" s="74">
        <v>1</v>
      </c>
      <c r="M161" s="75">
        <v>3067.6337890625</v>
      </c>
      <c r="N161" s="75">
        <v>7855.6689453125</v>
      </c>
      <c r="O161" s="76"/>
      <c r="P161" s="77"/>
      <c r="Q161" s="77"/>
      <c r="R161" s="85"/>
      <c r="S161" s="48">
        <v>0</v>
      </c>
      <c r="T161" s="48">
        <v>0</v>
      </c>
      <c r="U161" s="49">
        <v>0</v>
      </c>
      <c r="V161" s="49">
        <v>0</v>
      </c>
      <c r="W161" s="49">
        <v>0</v>
      </c>
      <c r="X161" s="49">
        <v>0</v>
      </c>
      <c r="Y161" s="49">
        <v>0</v>
      </c>
      <c r="Z161" s="49">
        <v>0</v>
      </c>
      <c r="AA161" s="72">
        <v>161</v>
      </c>
      <c r="AB161" s="72"/>
      <c r="AC161" s="73"/>
      <c r="AD161" s="79" t="s">
        <v>917</v>
      </c>
      <c r="AE161" s="79" t="s">
        <v>980</v>
      </c>
      <c r="AF161" s="79"/>
      <c r="AG161" s="79"/>
      <c r="AH161" s="79"/>
      <c r="AI161" s="79" t="s">
        <v>1026</v>
      </c>
      <c r="AJ161" s="83">
        <v>42744.58458333334</v>
      </c>
      <c r="AK161" s="81" t="str">
        <f>HYPERLINK("https://yt3.ggpht.com/a/AATXAJzvI-Qp8Xlg8RLZj5O5N_SRC4-eXhi0PskhvPy_=s88-c-k-c0xffffffff-no-rj-mo")</f>
        <v>https://yt3.ggpht.com/a/AATXAJzvI-Qp8Xlg8RLZj5O5N_SRC4-eXhi0PskhvPy_=s88-c-k-c0xffffffff-no-rj-mo</v>
      </c>
      <c r="AL161" s="79">
        <v>42402</v>
      </c>
      <c r="AM161" s="79">
        <v>0</v>
      </c>
      <c r="AN161" s="79">
        <v>3400</v>
      </c>
      <c r="AO161" s="79" t="b">
        <v>0</v>
      </c>
      <c r="AP161" s="79">
        <v>84</v>
      </c>
      <c r="AQ161" s="79"/>
      <c r="AR161" s="79"/>
      <c r="AS161" s="79" t="s">
        <v>1028</v>
      </c>
      <c r="AT161" s="81" t="str">
        <f>HYPERLINK("https://www.youtube.com/channel/UCgRzOTVWlyshyIgmxtbYgaQ")</f>
        <v>https://www.youtube.com/channel/UCgRzOTVWlyshyIgmxtbYgaQ</v>
      </c>
      <c r="AU161" s="79" t="str">
        <f>REPLACE(INDEX(GroupVertices[Group],MATCH(Vertices[[#This Row],[Vertex]],GroupVertices[Vertex],0)),1,1,"")</f>
        <v>1</v>
      </c>
      <c r="AV161" s="48"/>
      <c r="AW161" s="49"/>
      <c r="AX161" s="48"/>
      <c r="AY161" s="49"/>
      <c r="AZ161" s="48"/>
      <c r="BA161" s="49"/>
      <c r="BB161" s="48"/>
      <c r="BC161" s="49"/>
      <c r="BD161" s="48"/>
      <c r="BE161" s="48"/>
      <c r="BF161" s="48"/>
      <c r="BG161" s="48"/>
      <c r="BH161" s="48"/>
      <c r="BI161" s="48"/>
      <c r="BJ161" s="48"/>
      <c r="BK161" s="48"/>
      <c r="BL161" s="48"/>
      <c r="BM161" s="48"/>
      <c r="BN161" s="48"/>
      <c r="BO161" s="2"/>
      <c r="BP161" s="3"/>
      <c r="BQ161" s="3"/>
      <c r="BR161" s="3"/>
      <c r="BS161" s="3"/>
    </row>
    <row r="162" spans="1:71" ht="15">
      <c r="A162" s="86" t="s">
        <v>859</v>
      </c>
      <c r="B162" s="87"/>
      <c r="C162" s="87"/>
      <c r="D162" s="88">
        <v>200</v>
      </c>
      <c r="E162" s="89"/>
      <c r="F162" s="100" t="str">
        <f>HYPERLINK("https://yt3.ggpht.com/a/AATXAJxSOkRiXA2WT2OuPi9VwvsmP279WvaYRMMIDQ4u=s88-c-k-c0xffffffff-no-rj-mo")</f>
        <v>https://yt3.ggpht.com/a/AATXAJxSOkRiXA2WT2OuPi9VwvsmP279WvaYRMMIDQ4u=s88-c-k-c0xffffffff-no-rj-mo</v>
      </c>
      <c r="G162" s="87" t="s">
        <v>51</v>
      </c>
      <c r="H162" s="90" t="s">
        <v>918</v>
      </c>
      <c r="I162" s="91"/>
      <c r="J162" s="91"/>
      <c r="K162" s="90" t="s">
        <v>918</v>
      </c>
      <c r="L162" s="92">
        <v>1</v>
      </c>
      <c r="M162" s="93">
        <v>2409.525390625</v>
      </c>
      <c r="N162" s="93">
        <v>7855.6689453125</v>
      </c>
      <c r="O162" s="94"/>
      <c r="P162" s="95"/>
      <c r="Q162" s="95"/>
      <c r="R162" s="96"/>
      <c r="S162" s="48">
        <v>0</v>
      </c>
      <c r="T162" s="48">
        <v>0</v>
      </c>
      <c r="U162" s="49">
        <v>0</v>
      </c>
      <c r="V162" s="49">
        <v>0</v>
      </c>
      <c r="W162" s="49">
        <v>0</v>
      </c>
      <c r="X162" s="49">
        <v>0</v>
      </c>
      <c r="Y162" s="49">
        <v>0</v>
      </c>
      <c r="Z162" s="49">
        <v>0</v>
      </c>
      <c r="AA162" s="97">
        <v>162</v>
      </c>
      <c r="AB162" s="97"/>
      <c r="AC162" s="98"/>
      <c r="AD162" s="79" t="s">
        <v>918</v>
      </c>
      <c r="AE162" s="79" t="s">
        <v>981</v>
      </c>
      <c r="AF162" s="79"/>
      <c r="AG162" s="79"/>
      <c r="AH162" s="79"/>
      <c r="AI162" s="79" t="s">
        <v>1027</v>
      </c>
      <c r="AJ162" s="83">
        <v>43933.89572916667</v>
      </c>
      <c r="AK162" s="81" t="str">
        <f>HYPERLINK("https://yt3.ggpht.com/a/AATXAJxSOkRiXA2WT2OuPi9VwvsmP279WvaYRMMIDQ4u=s88-c-k-c0xffffffff-no-rj-mo")</f>
        <v>https://yt3.ggpht.com/a/AATXAJxSOkRiXA2WT2OuPi9VwvsmP279WvaYRMMIDQ4u=s88-c-k-c0xffffffff-no-rj-mo</v>
      </c>
      <c r="AL162" s="79">
        <v>3638</v>
      </c>
      <c r="AM162" s="79">
        <v>0</v>
      </c>
      <c r="AN162" s="79">
        <v>263</v>
      </c>
      <c r="AO162" s="79" t="b">
        <v>0</v>
      </c>
      <c r="AP162" s="79">
        <v>15</v>
      </c>
      <c r="AQ162" s="79"/>
      <c r="AR162" s="79"/>
      <c r="AS162" s="79" t="s">
        <v>1028</v>
      </c>
      <c r="AT162" s="81" t="str">
        <f>HYPERLINK("https://www.youtube.com/channel/UC3tHGWrRewOoNkvf8STvN-w")</f>
        <v>https://www.youtube.com/channel/UC3tHGWrRewOoNkvf8STvN-w</v>
      </c>
      <c r="AU162" s="79" t="str">
        <f>REPLACE(INDEX(GroupVertices[Group],MATCH(Vertices[[#This Row],[Vertex]],GroupVertices[Vertex],0)),1,1,"")</f>
        <v>1</v>
      </c>
      <c r="AV162" s="48"/>
      <c r="AW162" s="49"/>
      <c r="AX162" s="48"/>
      <c r="AY162" s="49"/>
      <c r="AZ162" s="48"/>
      <c r="BA162" s="49"/>
      <c r="BB162" s="48"/>
      <c r="BC162" s="49"/>
      <c r="BD162" s="48"/>
      <c r="BE162" s="48"/>
      <c r="BF162" s="48"/>
      <c r="BG162" s="48"/>
      <c r="BH162" s="48"/>
      <c r="BI162" s="48"/>
      <c r="BJ162" s="48"/>
      <c r="BK162" s="48"/>
      <c r="BL162" s="48"/>
      <c r="BM162" s="48"/>
      <c r="BN162" s="48"/>
      <c r="BO162" s="2"/>
      <c r="BP162" s="3"/>
      <c r="BQ162" s="3"/>
      <c r="BR162" s="3"/>
      <c r="BS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1409</v>
      </c>
      <c r="Z2" s="52" t="s">
        <v>1410</v>
      </c>
      <c r="AA2" s="52" t="s">
        <v>1411</v>
      </c>
      <c r="AB2" s="52" t="s">
        <v>1412</v>
      </c>
      <c r="AC2" s="52" t="s">
        <v>1413</v>
      </c>
      <c r="AD2" s="52" t="s">
        <v>1414</v>
      </c>
      <c r="AE2" s="52" t="s">
        <v>1415</v>
      </c>
      <c r="AF2" s="52" t="s">
        <v>1416</v>
      </c>
      <c r="AG2" s="52" t="s">
        <v>1419</v>
      </c>
      <c r="AH2" s="13" t="s">
        <v>1492</v>
      </c>
      <c r="AI2" s="13" t="s">
        <v>1516</v>
      </c>
      <c r="AJ2" s="13" t="s">
        <v>1531</v>
      </c>
      <c r="AK2" s="13" t="s">
        <v>1543</v>
      </c>
      <c r="AL2" s="13" t="s">
        <v>1629</v>
      </c>
    </row>
    <row r="3" spans="1:38" ht="15">
      <c r="A3" s="86" t="s">
        <v>1030</v>
      </c>
      <c r="B3" s="66" t="s">
        <v>1052</v>
      </c>
      <c r="C3" s="66" t="s">
        <v>56</v>
      </c>
      <c r="D3" s="102"/>
      <c r="E3" s="101"/>
      <c r="F3" s="103" t="s">
        <v>1030</v>
      </c>
      <c r="G3" s="104"/>
      <c r="H3" s="104"/>
      <c r="I3" s="105">
        <v>3</v>
      </c>
      <c r="J3" s="106"/>
      <c r="K3" s="48">
        <v>41</v>
      </c>
      <c r="L3" s="48">
        <v>0</v>
      </c>
      <c r="M3" s="48">
        <v>0</v>
      </c>
      <c r="N3" s="48">
        <v>0</v>
      </c>
      <c r="O3" s="48">
        <v>0</v>
      </c>
      <c r="P3" s="49" t="s">
        <v>1067</v>
      </c>
      <c r="Q3" s="49" t="s">
        <v>1067</v>
      </c>
      <c r="R3" s="48">
        <v>41</v>
      </c>
      <c r="S3" s="48">
        <v>41</v>
      </c>
      <c r="T3" s="48">
        <v>1</v>
      </c>
      <c r="U3" s="48">
        <v>0</v>
      </c>
      <c r="V3" s="48" t="s">
        <v>1067</v>
      </c>
      <c r="W3" s="49" t="s">
        <v>1067</v>
      </c>
      <c r="X3" s="49">
        <v>0</v>
      </c>
      <c r="Y3" s="48">
        <v>0</v>
      </c>
      <c r="Z3" s="49">
        <v>0</v>
      </c>
      <c r="AA3" s="48">
        <v>0</v>
      </c>
      <c r="AB3" s="49">
        <v>0</v>
      </c>
      <c r="AC3" s="48">
        <v>0</v>
      </c>
      <c r="AD3" s="49">
        <v>0</v>
      </c>
      <c r="AE3" s="48">
        <v>0</v>
      </c>
      <c r="AF3" s="49">
        <v>0</v>
      </c>
      <c r="AG3" s="48">
        <v>0</v>
      </c>
      <c r="AH3" s="79"/>
      <c r="AI3" s="79"/>
      <c r="AJ3" s="79"/>
      <c r="AK3" s="114" t="s">
        <v>1544</v>
      </c>
      <c r="AL3" s="114" t="s">
        <v>1544</v>
      </c>
    </row>
    <row r="4" spans="1:38" ht="15">
      <c r="A4" s="86" t="s">
        <v>1031</v>
      </c>
      <c r="B4" s="66" t="s">
        <v>1053</v>
      </c>
      <c r="C4" s="66" t="s">
        <v>56</v>
      </c>
      <c r="D4" s="108"/>
      <c r="E4" s="107"/>
      <c r="F4" s="109" t="s">
        <v>1902</v>
      </c>
      <c r="G4" s="110"/>
      <c r="H4" s="110"/>
      <c r="I4" s="111">
        <v>4</v>
      </c>
      <c r="J4" s="112"/>
      <c r="K4" s="48">
        <v>14</v>
      </c>
      <c r="L4" s="48">
        <v>22</v>
      </c>
      <c r="M4" s="48">
        <v>6</v>
      </c>
      <c r="N4" s="48">
        <v>28</v>
      </c>
      <c r="O4" s="48">
        <v>1</v>
      </c>
      <c r="P4" s="49">
        <v>0.8461538461538461</v>
      </c>
      <c r="Q4" s="49">
        <v>0.9166666666666666</v>
      </c>
      <c r="R4" s="48">
        <v>1</v>
      </c>
      <c r="S4" s="48">
        <v>0</v>
      </c>
      <c r="T4" s="48">
        <v>14</v>
      </c>
      <c r="U4" s="48">
        <v>28</v>
      </c>
      <c r="V4" s="48">
        <v>3</v>
      </c>
      <c r="W4" s="49">
        <v>1.928571</v>
      </c>
      <c r="X4" s="49">
        <v>0.13186813186813187</v>
      </c>
      <c r="Y4" s="48">
        <v>18</v>
      </c>
      <c r="Z4" s="49">
        <v>2.6470588235294117</v>
      </c>
      <c r="AA4" s="48">
        <v>7</v>
      </c>
      <c r="AB4" s="49">
        <v>1.0294117647058822</v>
      </c>
      <c r="AC4" s="48">
        <v>0</v>
      </c>
      <c r="AD4" s="49">
        <v>0</v>
      </c>
      <c r="AE4" s="48">
        <v>655</v>
      </c>
      <c r="AF4" s="49">
        <v>96.32352941176471</v>
      </c>
      <c r="AG4" s="48">
        <v>680</v>
      </c>
      <c r="AH4" s="79" t="s">
        <v>1493</v>
      </c>
      <c r="AI4" s="79" t="s">
        <v>1517</v>
      </c>
      <c r="AJ4" s="79"/>
      <c r="AK4" s="114" t="s">
        <v>1545</v>
      </c>
      <c r="AL4" s="114" t="s">
        <v>1630</v>
      </c>
    </row>
    <row r="5" spans="1:38" ht="15">
      <c r="A5" s="86" t="s">
        <v>1032</v>
      </c>
      <c r="B5" s="66" t="s">
        <v>1054</v>
      </c>
      <c r="C5" s="66" t="s">
        <v>56</v>
      </c>
      <c r="D5" s="108"/>
      <c r="E5" s="107"/>
      <c r="F5" s="109" t="s">
        <v>1903</v>
      </c>
      <c r="G5" s="110"/>
      <c r="H5" s="110"/>
      <c r="I5" s="111">
        <v>5</v>
      </c>
      <c r="J5" s="112"/>
      <c r="K5" s="48">
        <v>12</v>
      </c>
      <c r="L5" s="48">
        <v>14</v>
      </c>
      <c r="M5" s="48">
        <v>29</v>
      </c>
      <c r="N5" s="48">
        <v>43</v>
      </c>
      <c r="O5" s="48">
        <v>5</v>
      </c>
      <c r="P5" s="49">
        <v>0.8333333333333334</v>
      </c>
      <c r="Q5" s="49">
        <v>0.9090909090909091</v>
      </c>
      <c r="R5" s="48">
        <v>1</v>
      </c>
      <c r="S5" s="48">
        <v>0</v>
      </c>
      <c r="T5" s="48">
        <v>12</v>
      </c>
      <c r="U5" s="48">
        <v>43</v>
      </c>
      <c r="V5" s="48">
        <v>6</v>
      </c>
      <c r="W5" s="49">
        <v>2.791667</v>
      </c>
      <c r="X5" s="49">
        <v>0.16666666666666666</v>
      </c>
      <c r="Y5" s="48">
        <v>23</v>
      </c>
      <c r="Z5" s="49">
        <v>3.3576642335766422</v>
      </c>
      <c r="AA5" s="48">
        <v>1</v>
      </c>
      <c r="AB5" s="49">
        <v>0.145985401459854</v>
      </c>
      <c r="AC5" s="48">
        <v>0</v>
      </c>
      <c r="AD5" s="49">
        <v>0</v>
      </c>
      <c r="AE5" s="48">
        <v>661</v>
      </c>
      <c r="AF5" s="49">
        <v>96.4963503649635</v>
      </c>
      <c r="AG5" s="48">
        <v>685</v>
      </c>
      <c r="AH5" s="79" t="s">
        <v>1454</v>
      </c>
      <c r="AI5" s="79" t="s">
        <v>1498</v>
      </c>
      <c r="AJ5" s="79"/>
      <c r="AK5" s="114" t="s">
        <v>1546</v>
      </c>
      <c r="AL5" s="114" t="s">
        <v>1631</v>
      </c>
    </row>
    <row r="6" spans="1:38" ht="15">
      <c r="A6" s="86" t="s">
        <v>1033</v>
      </c>
      <c r="B6" s="66" t="s">
        <v>1055</v>
      </c>
      <c r="C6" s="66" t="s">
        <v>56</v>
      </c>
      <c r="D6" s="108"/>
      <c r="E6" s="107"/>
      <c r="F6" s="109" t="s">
        <v>1904</v>
      </c>
      <c r="G6" s="110"/>
      <c r="H6" s="110"/>
      <c r="I6" s="111">
        <v>6</v>
      </c>
      <c r="J6" s="112"/>
      <c r="K6" s="48">
        <v>11</v>
      </c>
      <c r="L6" s="48">
        <v>20</v>
      </c>
      <c r="M6" s="48">
        <v>0</v>
      </c>
      <c r="N6" s="48">
        <v>20</v>
      </c>
      <c r="O6" s="48">
        <v>1</v>
      </c>
      <c r="P6" s="49">
        <v>0.7272727272727273</v>
      </c>
      <c r="Q6" s="49">
        <v>0.8421052631578947</v>
      </c>
      <c r="R6" s="48">
        <v>1</v>
      </c>
      <c r="S6" s="48">
        <v>0</v>
      </c>
      <c r="T6" s="48">
        <v>11</v>
      </c>
      <c r="U6" s="48">
        <v>20</v>
      </c>
      <c r="V6" s="48">
        <v>3</v>
      </c>
      <c r="W6" s="49">
        <v>1.768595</v>
      </c>
      <c r="X6" s="49">
        <v>0.17272727272727273</v>
      </c>
      <c r="Y6" s="48">
        <v>17</v>
      </c>
      <c r="Z6" s="49">
        <v>4.282115869017632</v>
      </c>
      <c r="AA6" s="48">
        <v>3</v>
      </c>
      <c r="AB6" s="49">
        <v>0.7556675062972292</v>
      </c>
      <c r="AC6" s="48">
        <v>0</v>
      </c>
      <c r="AD6" s="49">
        <v>0</v>
      </c>
      <c r="AE6" s="48">
        <v>377</v>
      </c>
      <c r="AF6" s="49">
        <v>94.96221662468514</v>
      </c>
      <c r="AG6" s="48">
        <v>397</v>
      </c>
      <c r="AH6" s="79" t="s">
        <v>1475</v>
      </c>
      <c r="AI6" s="79" t="s">
        <v>812</v>
      </c>
      <c r="AJ6" s="79"/>
      <c r="AK6" s="114" t="s">
        <v>1547</v>
      </c>
      <c r="AL6" s="114" t="s">
        <v>1590</v>
      </c>
    </row>
    <row r="7" spans="1:38" ht="15">
      <c r="A7" s="86" t="s">
        <v>1034</v>
      </c>
      <c r="B7" s="66" t="s">
        <v>1056</v>
      </c>
      <c r="C7" s="66" t="s">
        <v>56</v>
      </c>
      <c r="D7" s="108"/>
      <c r="E7" s="107"/>
      <c r="F7" s="109" t="s">
        <v>1905</v>
      </c>
      <c r="G7" s="110"/>
      <c r="H7" s="110"/>
      <c r="I7" s="111">
        <v>7</v>
      </c>
      <c r="J7" s="112"/>
      <c r="K7" s="48">
        <v>8</v>
      </c>
      <c r="L7" s="48">
        <v>15</v>
      </c>
      <c r="M7" s="48">
        <v>0</v>
      </c>
      <c r="N7" s="48">
        <v>15</v>
      </c>
      <c r="O7" s="48">
        <v>0</v>
      </c>
      <c r="P7" s="49">
        <v>0.875</v>
      </c>
      <c r="Q7" s="49">
        <v>0.9333333333333333</v>
      </c>
      <c r="R7" s="48">
        <v>1</v>
      </c>
      <c r="S7" s="48">
        <v>0</v>
      </c>
      <c r="T7" s="48">
        <v>8</v>
      </c>
      <c r="U7" s="48">
        <v>15</v>
      </c>
      <c r="V7" s="48">
        <v>2</v>
      </c>
      <c r="W7" s="49">
        <v>1.5</v>
      </c>
      <c r="X7" s="49">
        <v>0.26785714285714285</v>
      </c>
      <c r="Y7" s="48">
        <v>2</v>
      </c>
      <c r="Z7" s="49">
        <v>0.91324200913242</v>
      </c>
      <c r="AA7" s="48">
        <v>0</v>
      </c>
      <c r="AB7" s="49">
        <v>0</v>
      </c>
      <c r="AC7" s="48">
        <v>0</v>
      </c>
      <c r="AD7" s="49">
        <v>0</v>
      </c>
      <c r="AE7" s="48">
        <v>217</v>
      </c>
      <c r="AF7" s="49">
        <v>99.08675799086758</v>
      </c>
      <c r="AG7" s="48">
        <v>219</v>
      </c>
      <c r="AH7" s="79" t="s">
        <v>1494</v>
      </c>
      <c r="AI7" s="79" t="s">
        <v>812</v>
      </c>
      <c r="AJ7" s="79"/>
      <c r="AK7" s="114" t="s">
        <v>1548</v>
      </c>
      <c r="AL7" s="114" t="s">
        <v>1632</v>
      </c>
    </row>
    <row r="8" spans="1:38" ht="15">
      <c r="A8" s="86" t="s">
        <v>1035</v>
      </c>
      <c r="B8" s="66" t="s">
        <v>1057</v>
      </c>
      <c r="C8" s="66" t="s">
        <v>56</v>
      </c>
      <c r="D8" s="108"/>
      <c r="E8" s="107"/>
      <c r="F8" s="109" t="s">
        <v>1906</v>
      </c>
      <c r="G8" s="110"/>
      <c r="H8" s="110"/>
      <c r="I8" s="111">
        <v>8</v>
      </c>
      <c r="J8" s="112"/>
      <c r="K8" s="48">
        <v>8</v>
      </c>
      <c r="L8" s="48">
        <v>13</v>
      </c>
      <c r="M8" s="48">
        <v>6</v>
      </c>
      <c r="N8" s="48">
        <v>19</v>
      </c>
      <c r="O8" s="48">
        <v>3</v>
      </c>
      <c r="P8" s="49">
        <v>1</v>
      </c>
      <c r="Q8" s="49">
        <v>1</v>
      </c>
      <c r="R8" s="48">
        <v>1</v>
      </c>
      <c r="S8" s="48">
        <v>0</v>
      </c>
      <c r="T8" s="48">
        <v>8</v>
      </c>
      <c r="U8" s="48">
        <v>19</v>
      </c>
      <c r="V8" s="48">
        <v>2</v>
      </c>
      <c r="W8" s="49">
        <v>1.53125</v>
      </c>
      <c r="X8" s="49">
        <v>0.25</v>
      </c>
      <c r="Y8" s="48">
        <v>6</v>
      </c>
      <c r="Z8" s="49">
        <v>3.0927835051546393</v>
      </c>
      <c r="AA8" s="48">
        <v>0</v>
      </c>
      <c r="AB8" s="49">
        <v>0</v>
      </c>
      <c r="AC8" s="48">
        <v>0</v>
      </c>
      <c r="AD8" s="49">
        <v>0</v>
      </c>
      <c r="AE8" s="48">
        <v>188</v>
      </c>
      <c r="AF8" s="49">
        <v>96.90721649484536</v>
      </c>
      <c r="AG8" s="48">
        <v>194</v>
      </c>
      <c r="AH8" s="79" t="s">
        <v>1495</v>
      </c>
      <c r="AI8" s="79" t="s">
        <v>1518</v>
      </c>
      <c r="AJ8" s="79"/>
      <c r="AK8" s="114" t="s">
        <v>1549</v>
      </c>
      <c r="AL8" s="114" t="s">
        <v>1633</v>
      </c>
    </row>
    <row r="9" spans="1:38" ht="15">
      <c r="A9" s="86" t="s">
        <v>1036</v>
      </c>
      <c r="B9" s="66" t="s">
        <v>1058</v>
      </c>
      <c r="C9" s="66" t="s">
        <v>56</v>
      </c>
      <c r="D9" s="108"/>
      <c r="E9" s="107"/>
      <c r="F9" s="109" t="s">
        <v>1907</v>
      </c>
      <c r="G9" s="110"/>
      <c r="H9" s="110"/>
      <c r="I9" s="111">
        <v>9</v>
      </c>
      <c r="J9" s="112"/>
      <c r="K9" s="48">
        <v>7</v>
      </c>
      <c r="L9" s="48">
        <v>8</v>
      </c>
      <c r="M9" s="48">
        <v>0</v>
      </c>
      <c r="N9" s="48">
        <v>8</v>
      </c>
      <c r="O9" s="48">
        <v>0</v>
      </c>
      <c r="P9" s="49">
        <v>0</v>
      </c>
      <c r="Q9" s="49">
        <v>0</v>
      </c>
      <c r="R9" s="48">
        <v>1</v>
      </c>
      <c r="S9" s="48">
        <v>0</v>
      </c>
      <c r="T9" s="48">
        <v>7</v>
      </c>
      <c r="U9" s="48">
        <v>8</v>
      </c>
      <c r="V9" s="48">
        <v>4</v>
      </c>
      <c r="W9" s="49">
        <v>1.632653</v>
      </c>
      <c r="X9" s="49">
        <v>0.19047619047619047</v>
      </c>
      <c r="Y9" s="48">
        <v>11</v>
      </c>
      <c r="Z9" s="49">
        <v>3.8732394366197185</v>
      </c>
      <c r="AA9" s="48">
        <v>1</v>
      </c>
      <c r="AB9" s="49">
        <v>0.352112676056338</v>
      </c>
      <c r="AC9" s="48">
        <v>0</v>
      </c>
      <c r="AD9" s="49">
        <v>0</v>
      </c>
      <c r="AE9" s="48">
        <v>272</v>
      </c>
      <c r="AF9" s="49">
        <v>95.77464788732394</v>
      </c>
      <c r="AG9" s="48">
        <v>284</v>
      </c>
      <c r="AH9" s="79"/>
      <c r="AI9" s="79"/>
      <c r="AJ9" s="79"/>
      <c r="AK9" s="114" t="s">
        <v>1550</v>
      </c>
      <c r="AL9" s="114" t="s">
        <v>1634</v>
      </c>
    </row>
    <row r="10" spans="1:38" ht="14.25" customHeight="1">
      <c r="A10" s="86" t="s">
        <v>1037</v>
      </c>
      <c r="B10" s="66" t="s">
        <v>1059</v>
      </c>
      <c r="C10" s="66" t="s">
        <v>56</v>
      </c>
      <c r="D10" s="108"/>
      <c r="E10" s="107"/>
      <c r="F10" s="109" t="s">
        <v>1908</v>
      </c>
      <c r="G10" s="110"/>
      <c r="H10" s="110"/>
      <c r="I10" s="111">
        <v>10</v>
      </c>
      <c r="J10" s="112"/>
      <c r="K10" s="48">
        <v>7</v>
      </c>
      <c r="L10" s="48">
        <v>12</v>
      </c>
      <c r="M10" s="48">
        <v>2</v>
      </c>
      <c r="N10" s="48">
        <v>14</v>
      </c>
      <c r="O10" s="48">
        <v>1</v>
      </c>
      <c r="P10" s="49">
        <v>1</v>
      </c>
      <c r="Q10" s="49">
        <v>1</v>
      </c>
      <c r="R10" s="48">
        <v>1</v>
      </c>
      <c r="S10" s="48">
        <v>0</v>
      </c>
      <c r="T10" s="48">
        <v>7</v>
      </c>
      <c r="U10" s="48">
        <v>14</v>
      </c>
      <c r="V10" s="48">
        <v>4</v>
      </c>
      <c r="W10" s="49">
        <v>1.877551</v>
      </c>
      <c r="X10" s="49">
        <v>0.2857142857142857</v>
      </c>
      <c r="Y10" s="48">
        <v>9</v>
      </c>
      <c r="Z10" s="49">
        <v>4.477611940298507</v>
      </c>
      <c r="AA10" s="48">
        <v>0</v>
      </c>
      <c r="AB10" s="49">
        <v>0</v>
      </c>
      <c r="AC10" s="48">
        <v>0</v>
      </c>
      <c r="AD10" s="49">
        <v>0</v>
      </c>
      <c r="AE10" s="48">
        <v>192</v>
      </c>
      <c r="AF10" s="49">
        <v>95.5223880597015</v>
      </c>
      <c r="AG10" s="48">
        <v>201</v>
      </c>
      <c r="AH10" s="79"/>
      <c r="AI10" s="79"/>
      <c r="AJ10" s="79"/>
      <c r="AK10" s="114" t="s">
        <v>1551</v>
      </c>
      <c r="AL10" s="114" t="s">
        <v>1635</v>
      </c>
    </row>
    <row r="11" spans="1:38" ht="15">
      <c r="A11" s="86" t="s">
        <v>1038</v>
      </c>
      <c r="B11" s="66" t="s">
        <v>1060</v>
      </c>
      <c r="C11" s="66" t="s">
        <v>56</v>
      </c>
      <c r="D11" s="108"/>
      <c r="E11" s="107"/>
      <c r="F11" s="109" t="s">
        <v>1909</v>
      </c>
      <c r="G11" s="110"/>
      <c r="H11" s="110"/>
      <c r="I11" s="111">
        <v>11</v>
      </c>
      <c r="J11" s="112"/>
      <c r="K11" s="48">
        <v>6</v>
      </c>
      <c r="L11" s="48">
        <v>10</v>
      </c>
      <c r="M11" s="48">
        <v>2</v>
      </c>
      <c r="N11" s="48">
        <v>12</v>
      </c>
      <c r="O11" s="48">
        <v>1</v>
      </c>
      <c r="P11" s="49">
        <v>1</v>
      </c>
      <c r="Q11" s="49">
        <v>1</v>
      </c>
      <c r="R11" s="48">
        <v>1</v>
      </c>
      <c r="S11" s="48">
        <v>0</v>
      </c>
      <c r="T11" s="48">
        <v>6</v>
      </c>
      <c r="U11" s="48">
        <v>12</v>
      </c>
      <c r="V11" s="48">
        <v>2</v>
      </c>
      <c r="W11" s="49">
        <v>1.388889</v>
      </c>
      <c r="X11" s="49">
        <v>0.3333333333333333</v>
      </c>
      <c r="Y11" s="48">
        <v>3</v>
      </c>
      <c r="Z11" s="49">
        <v>1.5873015873015872</v>
      </c>
      <c r="AA11" s="48">
        <v>0</v>
      </c>
      <c r="AB11" s="49">
        <v>0</v>
      </c>
      <c r="AC11" s="48">
        <v>0</v>
      </c>
      <c r="AD11" s="49">
        <v>0</v>
      </c>
      <c r="AE11" s="48">
        <v>186</v>
      </c>
      <c r="AF11" s="49">
        <v>98.41269841269842</v>
      </c>
      <c r="AG11" s="48">
        <v>189</v>
      </c>
      <c r="AH11" s="79" t="s">
        <v>1496</v>
      </c>
      <c r="AI11" s="79" t="s">
        <v>1519</v>
      </c>
      <c r="AJ11" s="79"/>
      <c r="AK11" s="114" t="s">
        <v>1552</v>
      </c>
      <c r="AL11" s="114" t="s">
        <v>1636</v>
      </c>
    </row>
    <row r="12" spans="1:38" ht="15">
      <c r="A12" s="86" t="s">
        <v>1039</v>
      </c>
      <c r="B12" s="66" t="s">
        <v>1061</v>
      </c>
      <c r="C12" s="66" t="s">
        <v>56</v>
      </c>
      <c r="D12" s="108"/>
      <c r="E12" s="107"/>
      <c r="F12" s="109" t="s">
        <v>1910</v>
      </c>
      <c r="G12" s="110"/>
      <c r="H12" s="110"/>
      <c r="I12" s="111">
        <v>12</v>
      </c>
      <c r="J12" s="112"/>
      <c r="K12" s="48">
        <v>5</v>
      </c>
      <c r="L12" s="48">
        <v>7</v>
      </c>
      <c r="M12" s="48">
        <v>2</v>
      </c>
      <c r="N12" s="48">
        <v>9</v>
      </c>
      <c r="O12" s="48">
        <v>0</v>
      </c>
      <c r="P12" s="49">
        <v>1</v>
      </c>
      <c r="Q12" s="49">
        <v>1</v>
      </c>
      <c r="R12" s="48">
        <v>1</v>
      </c>
      <c r="S12" s="48">
        <v>0</v>
      </c>
      <c r="T12" s="48">
        <v>5</v>
      </c>
      <c r="U12" s="48">
        <v>9</v>
      </c>
      <c r="V12" s="48">
        <v>2</v>
      </c>
      <c r="W12" s="49">
        <v>1.28</v>
      </c>
      <c r="X12" s="49">
        <v>0.4</v>
      </c>
      <c r="Y12" s="48">
        <v>1</v>
      </c>
      <c r="Z12" s="49">
        <v>1.4285714285714286</v>
      </c>
      <c r="AA12" s="48">
        <v>1</v>
      </c>
      <c r="AB12" s="49">
        <v>1.4285714285714286</v>
      </c>
      <c r="AC12" s="48">
        <v>0</v>
      </c>
      <c r="AD12" s="49">
        <v>0</v>
      </c>
      <c r="AE12" s="48">
        <v>68</v>
      </c>
      <c r="AF12" s="49">
        <v>97.14285714285714</v>
      </c>
      <c r="AG12" s="48">
        <v>70</v>
      </c>
      <c r="AH12" s="79"/>
      <c r="AI12" s="79"/>
      <c r="AJ12" s="79"/>
      <c r="AK12" s="114" t="s">
        <v>1553</v>
      </c>
      <c r="AL12" s="114" t="s">
        <v>1637</v>
      </c>
    </row>
    <row r="13" spans="1:38" ht="15">
      <c r="A13" s="86" t="s">
        <v>1040</v>
      </c>
      <c r="B13" s="66" t="s">
        <v>1062</v>
      </c>
      <c r="C13" s="66" t="s">
        <v>56</v>
      </c>
      <c r="D13" s="108"/>
      <c r="E13" s="107"/>
      <c r="F13" s="109" t="s">
        <v>1911</v>
      </c>
      <c r="G13" s="110"/>
      <c r="H13" s="110"/>
      <c r="I13" s="111">
        <v>13</v>
      </c>
      <c r="J13" s="112"/>
      <c r="K13" s="48">
        <v>5</v>
      </c>
      <c r="L13" s="48">
        <v>8</v>
      </c>
      <c r="M13" s="48">
        <v>0</v>
      </c>
      <c r="N13" s="48">
        <v>8</v>
      </c>
      <c r="O13" s="48">
        <v>0</v>
      </c>
      <c r="P13" s="49">
        <v>1</v>
      </c>
      <c r="Q13" s="49">
        <v>1</v>
      </c>
      <c r="R13" s="48">
        <v>1</v>
      </c>
      <c r="S13" s="48">
        <v>0</v>
      </c>
      <c r="T13" s="48">
        <v>5</v>
      </c>
      <c r="U13" s="48">
        <v>8</v>
      </c>
      <c r="V13" s="48">
        <v>2</v>
      </c>
      <c r="W13" s="49">
        <v>1.28</v>
      </c>
      <c r="X13" s="49">
        <v>0.4</v>
      </c>
      <c r="Y13" s="48">
        <v>10</v>
      </c>
      <c r="Z13" s="49">
        <v>25.641025641025642</v>
      </c>
      <c r="AA13" s="48">
        <v>0</v>
      </c>
      <c r="AB13" s="49">
        <v>0</v>
      </c>
      <c r="AC13" s="48">
        <v>0</v>
      </c>
      <c r="AD13" s="49">
        <v>0</v>
      </c>
      <c r="AE13" s="48">
        <v>29</v>
      </c>
      <c r="AF13" s="49">
        <v>74.35897435897436</v>
      </c>
      <c r="AG13" s="48">
        <v>39</v>
      </c>
      <c r="AH13" s="79"/>
      <c r="AI13" s="79"/>
      <c r="AJ13" s="79"/>
      <c r="AK13" s="114" t="s">
        <v>1320</v>
      </c>
      <c r="AL13" s="114" t="s">
        <v>1544</v>
      </c>
    </row>
    <row r="14" spans="1:38" ht="15">
      <c r="A14" s="86" t="s">
        <v>1041</v>
      </c>
      <c r="B14" s="66" t="s">
        <v>1063</v>
      </c>
      <c r="C14" s="66" t="s">
        <v>56</v>
      </c>
      <c r="D14" s="108"/>
      <c r="E14" s="107"/>
      <c r="F14" s="109" t="s">
        <v>1912</v>
      </c>
      <c r="G14" s="110"/>
      <c r="H14" s="110"/>
      <c r="I14" s="111">
        <v>14</v>
      </c>
      <c r="J14" s="112"/>
      <c r="K14" s="48">
        <v>5</v>
      </c>
      <c r="L14" s="48">
        <v>4</v>
      </c>
      <c r="M14" s="48">
        <v>0</v>
      </c>
      <c r="N14" s="48">
        <v>4</v>
      </c>
      <c r="O14" s="48">
        <v>0</v>
      </c>
      <c r="P14" s="49">
        <v>0</v>
      </c>
      <c r="Q14" s="49">
        <v>0</v>
      </c>
      <c r="R14" s="48">
        <v>1</v>
      </c>
      <c r="S14" s="48">
        <v>0</v>
      </c>
      <c r="T14" s="48">
        <v>5</v>
      </c>
      <c r="U14" s="48">
        <v>4</v>
      </c>
      <c r="V14" s="48">
        <v>4</v>
      </c>
      <c r="W14" s="49">
        <v>1.6</v>
      </c>
      <c r="X14" s="49">
        <v>0.2</v>
      </c>
      <c r="Y14" s="48">
        <v>1</v>
      </c>
      <c r="Z14" s="49">
        <v>0.8064516129032258</v>
      </c>
      <c r="AA14" s="48">
        <v>0</v>
      </c>
      <c r="AB14" s="49">
        <v>0</v>
      </c>
      <c r="AC14" s="48">
        <v>0</v>
      </c>
      <c r="AD14" s="49">
        <v>0</v>
      </c>
      <c r="AE14" s="48">
        <v>123</v>
      </c>
      <c r="AF14" s="49">
        <v>99.19354838709677</v>
      </c>
      <c r="AG14" s="48">
        <v>124</v>
      </c>
      <c r="AH14" s="79"/>
      <c r="AI14" s="79"/>
      <c r="AJ14" s="79"/>
      <c r="AK14" s="114" t="s">
        <v>1554</v>
      </c>
      <c r="AL14" s="114" t="s">
        <v>1638</v>
      </c>
    </row>
    <row r="15" spans="1:38" ht="15">
      <c r="A15" s="86" t="s">
        <v>1042</v>
      </c>
      <c r="B15" s="66" t="s">
        <v>1052</v>
      </c>
      <c r="C15" s="66" t="s">
        <v>59</v>
      </c>
      <c r="D15" s="108"/>
      <c r="E15" s="107"/>
      <c r="F15" s="109" t="s">
        <v>1913</v>
      </c>
      <c r="G15" s="110"/>
      <c r="H15" s="110"/>
      <c r="I15" s="111">
        <v>15</v>
      </c>
      <c r="J15" s="112"/>
      <c r="K15" s="48">
        <v>4</v>
      </c>
      <c r="L15" s="48">
        <v>7</v>
      </c>
      <c r="M15" s="48">
        <v>0</v>
      </c>
      <c r="N15" s="48">
        <v>7</v>
      </c>
      <c r="O15" s="48">
        <v>1</v>
      </c>
      <c r="P15" s="49">
        <v>1</v>
      </c>
      <c r="Q15" s="49">
        <v>1</v>
      </c>
      <c r="R15" s="48">
        <v>1</v>
      </c>
      <c r="S15" s="48">
        <v>0</v>
      </c>
      <c r="T15" s="48">
        <v>4</v>
      </c>
      <c r="U15" s="48">
        <v>7</v>
      </c>
      <c r="V15" s="48">
        <v>2</v>
      </c>
      <c r="W15" s="49">
        <v>1.125</v>
      </c>
      <c r="X15" s="49">
        <v>0.5</v>
      </c>
      <c r="Y15" s="48">
        <v>2</v>
      </c>
      <c r="Z15" s="49">
        <v>3.7037037037037037</v>
      </c>
      <c r="AA15" s="48">
        <v>0</v>
      </c>
      <c r="AB15" s="49">
        <v>0</v>
      </c>
      <c r="AC15" s="48">
        <v>0</v>
      </c>
      <c r="AD15" s="49">
        <v>0</v>
      </c>
      <c r="AE15" s="48">
        <v>52</v>
      </c>
      <c r="AF15" s="49">
        <v>96.29629629629629</v>
      </c>
      <c r="AG15" s="48">
        <v>54</v>
      </c>
      <c r="AH15" s="79"/>
      <c r="AI15" s="79"/>
      <c r="AJ15" s="79"/>
      <c r="AK15" s="114" t="s">
        <v>1555</v>
      </c>
      <c r="AL15" s="114" t="s">
        <v>1639</v>
      </c>
    </row>
    <row r="16" spans="1:38" ht="15">
      <c r="A16" s="86" t="s">
        <v>1043</v>
      </c>
      <c r="B16" s="66" t="s">
        <v>1053</v>
      </c>
      <c r="C16" s="66" t="s">
        <v>59</v>
      </c>
      <c r="D16" s="108"/>
      <c r="E16" s="107"/>
      <c r="F16" s="109" t="s">
        <v>1043</v>
      </c>
      <c r="G16" s="110"/>
      <c r="H16" s="110"/>
      <c r="I16" s="111">
        <v>16</v>
      </c>
      <c r="J16" s="112"/>
      <c r="K16" s="48">
        <v>4</v>
      </c>
      <c r="L16" s="48">
        <v>4</v>
      </c>
      <c r="M16" s="48">
        <v>2</v>
      </c>
      <c r="N16" s="48">
        <v>6</v>
      </c>
      <c r="O16" s="48">
        <v>0</v>
      </c>
      <c r="P16" s="49">
        <v>0.6666666666666666</v>
      </c>
      <c r="Q16" s="49">
        <v>0.8</v>
      </c>
      <c r="R16" s="48">
        <v>1</v>
      </c>
      <c r="S16" s="48">
        <v>0</v>
      </c>
      <c r="T16" s="48">
        <v>4</v>
      </c>
      <c r="U16" s="48">
        <v>6</v>
      </c>
      <c r="V16" s="48">
        <v>3</v>
      </c>
      <c r="W16" s="49">
        <v>1.25</v>
      </c>
      <c r="X16" s="49">
        <v>0.4166666666666667</v>
      </c>
      <c r="Y16" s="48">
        <v>5</v>
      </c>
      <c r="Z16" s="49">
        <v>15.625</v>
      </c>
      <c r="AA16" s="48">
        <v>0</v>
      </c>
      <c r="AB16" s="49">
        <v>0</v>
      </c>
      <c r="AC16" s="48">
        <v>0</v>
      </c>
      <c r="AD16" s="49">
        <v>0</v>
      </c>
      <c r="AE16" s="48">
        <v>27</v>
      </c>
      <c r="AF16" s="49">
        <v>84.375</v>
      </c>
      <c r="AG16" s="48">
        <v>32</v>
      </c>
      <c r="AH16" s="79"/>
      <c r="AI16" s="79"/>
      <c r="AJ16" s="79"/>
      <c r="AK16" s="114" t="s">
        <v>1544</v>
      </c>
      <c r="AL16" s="114" t="s">
        <v>1544</v>
      </c>
    </row>
    <row r="17" spans="1:38" ht="15">
      <c r="A17" s="86" t="s">
        <v>1044</v>
      </c>
      <c r="B17" s="66" t="s">
        <v>1054</v>
      </c>
      <c r="C17" s="66" t="s">
        <v>59</v>
      </c>
      <c r="D17" s="108"/>
      <c r="E17" s="107"/>
      <c r="F17" s="109" t="s">
        <v>1914</v>
      </c>
      <c r="G17" s="110"/>
      <c r="H17" s="110"/>
      <c r="I17" s="111">
        <v>17</v>
      </c>
      <c r="J17" s="112"/>
      <c r="K17" s="48">
        <v>4</v>
      </c>
      <c r="L17" s="48">
        <v>6</v>
      </c>
      <c r="M17" s="48">
        <v>0</v>
      </c>
      <c r="N17" s="48">
        <v>6</v>
      </c>
      <c r="O17" s="48">
        <v>0</v>
      </c>
      <c r="P17" s="49">
        <v>1</v>
      </c>
      <c r="Q17" s="49">
        <v>1</v>
      </c>
      <c r="R17" s="48">
        <v>1</v>
      </c>
      <c r="S17" s="48">
        <v>0</v>
      </c>
      <c r="T17" s="48">
        <v>4</v>
      </c>
      <c r="U17" s="48">
        <v>6</v>
      </c>
      <c r="V17" s="48">
        <v>2</v>
      </c>
      <c r="W17" s="49">
        <v>1.125</v>
      </c>
      <c r="X17" s="49">
        <v>0.5</v>
      </c>
      <c r="Y17" s="48">
        <v>12</v>
      </c>
      <c r="Z17" s="49">
        <v>11.214953271028037</v>
      </c>
      <c r="AA17" s="48">
        <v>0</v>
      </c>
      <c r="AB17" s="49">
        <v>0</v>
      </c>
      <c r="AC17" s="48">
        <v>0</v>
      </c>
      <c r="AD17" s="49">
        <v>0</v>
      </c>
      <c r="AE17" s="48">
        <v>95</v>
      </c>
      <c r="AF17" s="49">
        <v>88.78504672897196</v>
      </c>
      <c r="AG17" s="48">
        <v>107</v>
      </c>
      <c r="AH17" s="79"/>
      <c r="AI17" s="79"/>
      <c r="AJ17" s="79"/>
      <c r="AK17" s="114" t="s">
        <v>1556</v>
      </c>
      <c r="AL17" s="114" t="s">
        <v>1544</v>
      </c>
    </row>
    <row r="18" spans="1:38" ht="15">
      <c r="A18" s="86" t="s">
        <v>1045</v>
      </c>
      <c r="B18" s="66" t="s">
        <v>1055</v>
      </c>
      <c r="C18" s="66" t="s">
        <v>59</v>
      </c>
      <c r="D18" s="108"/>
      <c r="E18" s="107"/>
      <c r="F18" s="109" t="s">
        <v>1045</v>
      </c>
      <c r="G18" s="110"/>
      <c r="H18" s="110"/>
      <c r="I18" s="111">
        <v>18</v>
      </c>
      <c r="J18" s="112"/>
      <c r="K18" s="48">
        <v>4</v>
      </c>
      <c r="L18" s="48">
        <v>6</v>
      </c>
      <c r="M18" s="48">
        <v>0</v>
      </c>
      <c r="N18" s="48">
        <v>6</v>
      </c>
      <c r="O18" s="48">
        <v>0</v>
      </c>
      <c r="P18" s="49">
        <v>1</v>
      </c>
      <c r="Q18" s="49">
        <v>1</v>
      </c>
      <c r="R18" s="48">
        <v>1</v>
      </c>
      <c r="S18" s="48">
        <v>0</v>
      </c>
      <c r="T18" s="48">
        <v>4</v>
      </c>
      <c r="U18" s="48">
        <v>6</v>
      </c>
      <c r="V18" s="48">
        <v>2</v>
      </c>
      <c r="W18" s="49">
        <v>1.125</v>
      </c>
      <c r="X18" s="49">
        <v>0.5</v>
      </c>
      <c r="Y18" s="48">
        <v>3</v>
      </c>
      <c r="Z18" s="49">
        <v>21.428571428571427</v>
      </c>
      <c r="AA18" s="48">
        <v>0</v>
      </c>
      <c r="AB18" s="49">
        <v>0</v>
      </c>
      <c r="AC18" s="48">
        <v>0</v>
      </c>
      <c r="AD18" s="49">
        <v>0</v>
      </c>
      <c r="AE18" s="48">
        <v>11</v>
      </c>
      <c r="AF18" s="49">
        <v>78.57142857142857</v>
      </c>
      <c r="AG18" s="48">
        <v>14</v>
      </c>
      <c r="AH18" s="79"/>
      <c r="AI18" s="79"/>
      <c r="AJ18" s="79"/>
      <c r="AK18" s="114" t="s">
        <v>1544</v>
      </c>
      <c r="AL18" s="114" t="s">
        <v>1544</v>
      </c>
    </row>
    <row r="19" spans="1:38" ht="15">
      <c r="A19" s="86" t="s">
        <v>1046</v>
      </c>
      <c r="B19" s="66" t="s">
        <v>1056</v>
      </c>
      <c r="C19" s="66" t="s">
        <v>59</v>
      </c>
      <c r="D19" s="108"/>
      <c r="E19" s="107"/>
      <c r="F19" s="109" t="s">
        <v>1915</v>
      </c>
      <c r="G19" s="110"/>
      <c r="H19" s="110"/>
      <c r="I19" s="111">
        <v>19</v>
      </c>
      <c r="J19" s="112"/>
      <c r="K19" s="48">
        <v>3</v>
      </c>
      <c r="L19" s="48">
        <v>4</v>
      </c>
      <c r="M19" s="48">
        <v>0</v>
      </c>
      <c r="N19" s="48">
        <v>4</v>
      </c>
      <c r="O19" s="48">
        <v>1</v>
      </c>
      <c r="P19" s="49">
        <v>0.5</v>
      </c>
      <c r="Q19" s="49">
        <v>0.6666666666666666</v>
      </c>
      <c r="R19" s="48">
        <v>1</v>
      </c>
      <c r="S19" s="48">
        <v>0</v>
      </c>
      <c r="T19" s="48">
        <v>3</v>
      </c>
      <c r="U19" s="48">
        <v>4</v>
      </c>
      <c r="V19" s="48">
        <v>2</v>
      </c>
      <c r="W19" s="49">
        <v>0.888889</v>
      </c>
      <c r="X19" s="49">
        <v>0.5</v>
      </c>
      <c r="Y19" s="48">
        <v>2</v>
      </c>
      <c r="Z19" s="49">
        <v>1.4814814814814814</v>
      </c>
      <c r="AA19" s="48">
        <v>0</v>
      </c>
      <c r="AB19" s="49">
        <v>0</v>
      </c>
      <c r="AC19" s="48">
        <v>0</v>
      </c>
      <c r="AD19" s="49">
        <v>0</v>
      </c>
      <c r="AE19" s="48">
        <v>133</v>
      </c>
      <c r="AF19" s="49">
        <v>98.51851851851852</v>
      </c>
      <c r="AG19" s="48">
        <v>135</v>
      </c>
      <c r="AH19" s="79"/>
      <c r="AI19" s="79"/>
      <c r="AJ19" s="79"/>
      <c r="AK19" s="114" t="s">
        <v>1557</v>
      </c>
      <c r="AL19" s="114" t="s">
        <v>1640</v>
      </c>
    </row>
    <row r="20" spans="1:38" ht="15">
      <c r="A20" s="86" t="s">
        <v>1047</v>
      </c>
      <c r="B20" s="66" t="s">
        <v>1057</v>
      </c>
      <c r="C20" s="66" t="s">
        <v>59</v>
      </c>
      <c r="D20" s="108"/>
      <c r="E20" s="107"/>
      <c r="F20" s="109" t="s">
        <v>1916</v>
      </c>
      <c r="G20" s="110"/>
      <c r="H20" s="110"/>
      <c r="I20" s="111">
        <v>20</v>
      </c>
      <c r="J20" s="112"/>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0</v>
      </c>
      <c r="AB20" s="49">
        <v>0</v>
      </c>
      <c r="AC20" s="48">
        <v>0</v>
      </c>
      <c r="AD20" s="49">
        <v>0</v>
      </c>
      <c r="AE20" s="48">
        <v>55</v>
      </c>
      <c r="AF20" s="49">
        <v>100</v>
      </c>
      <c r="AG20" s="48">
        <v>55</v>
      </c>
      <c r="AH20" s="79"/>
      <c r="AI20" s="79"/>
      <c r="AJ20" s="79"/>
      <c r="AK20" s="114" t="s">
        <v>1558</v>
      </c>
      <c r="AL20" s="114" t="s">
        <v>1544</v>
      </c>
    </row>
    <row r="21" spans="1:38" ht="15">
      <c r="A21" s="86" t="s">
        <v>1048</v>
      </c>
      <c r="B21" s="66" t="s">
        <v>1058</v>
      </c>
      <c r="C21" s="66" t="s">
        <v>59</v>
      </c>
      <c r="D21" s="108"/>
      <c r="E21" s="107"/>
      <c r="F21" s="109" t="s">
        <v>1917</v>
      </c>
      <c r="G21" s="110"/>
      <c r="H21" s="110"/>
      <c r="I21" s="111">
        <v>21</v>
      </c>
      <c r="J21" s="112"/>
      <c r="K21" s="48">
        <v>3</v>
      </c>
      <c r="L21" s="48">
        <v>4</v>
      </c>
      <c r="M21" s="48">
        <v>0</v>
      </c>
      <c r="N21" s="48">
        <v>4</v>
      </c>
      <c r="O21" s="48">
        <v>0</v>
      </c>
      <c r="P21" s="49">
        <v>1</v>
      </c>
      <c r="Q21" s="49">
        <v>1</v>
      </c>
      <c r="R21" s="48">
        <v>1</v>
      </c>
      <c r="S21" s="48">
        <v>0</v>
      </c>
      <c r="T21" s="48">
        <v>3</v>
      </c>
      <c r="U21" s="48">
        <v>4</v>
      </c>
      <c r="V21" s="48">
        <v>2</v>
      </c>
      <c r="W21" s="49">
        <v>0.888889</v>
      </c>
      <c r="X21" s="49">
        <v>0.6666666666666666</v>
      </c>
      <c r="Y21" s="48">
        <v>0</v>
      </c>
      <c r="Z21" s="49">
        <v>0</v>
      </c>
      <c r="AA21" s="48">
        <v>0</v>
      </c>
      <c r="AB21" s="49">
        <v>0</v>
      </c>
      <c r="AC21" s="48">
        <v>0</v>
      </c>
      <c r="AD21" s="49">
        <v>0</v>
      </c>
      <c r="AE21" s="48">
        <v>34</v>
      </c>
      <c r="AF21" s="49">
        <v>100</v>
      </c>
      <c r="AG21" s="48">
        <v>34</v>
      </c>
      <c r="AH21" s="79"/>
      <c r="AI21" s="79"/>
      <c r="AJ21" s="79"/>
      <c r="AK21" s="114" t="s">
        <v>1559</v>
      </c>
      <c r="AL21" s="114" t="s">
        <v>1544</v>
      </c>
    </row>
    <row r="22" spans="1:38" ht="15">
      <c r="A22" s="86" t="s">
        <v>1049</v>
      </c>
      <c r="B22" s="66" t="s">
        <v>1059</v>
      </c>
      <c r="C22" s="66" t="s">
        <v>59</v>
      </c>
      <c r="D22" s="108"/>
      <c r="E22" s="107"/>
      <c r="F22" s="109" t="s">
        <v>1918</v>
      </c>
      <c r="G22" s="110"/>
      <c r="H22" s="110"/>
      <c r="I22" s="111">
        <v>22</v>
      </c>
      <c r="J22" s="112"/>
      <c r="K22" s="48">
        <v>2</v>
      </c>
      <c r="L22" s="48">
        <v>2</v>
      </c>
      <c r="M22" s="48">
        <v>0</v>
      </c>
      <c r="N22" s="48">
        <v>2</v>
      </c>
      <c r="O22" s="48">
        <v>0</v>
      </c>
      <c r="P22" s="49">
        <v>1</v>
      </c>
      <c r="Q22" s="49">
        <v>1</v>
      </c>
      <c r="R22" s="48">
        <v>1</v>
      </c>
      <c r="S22" s="48">
        <v>0</v>
      </c>
      <c r="T22" s="48">
        <v>2</v>
      </c>
      <c r="U22" s="48">
        <v>2</v>
      </c>
      <c r="V22" s="48">
        <v>1</v>
      </c>
      <c r="W22" s="49">
        <v>0.5</v>
      </c>
      <c r="X22" s="49">
        <v>1</v>
      </c>
      <c r="Y22" s="48">
        <v>0</v>
      </c>
      <c r="Z22" s="49">
        <v>0</v>
      </c>
      <c r="AA22" s="48">
        <v>0</v>
      </c>
      <c r="AB22" s="49">
        <v>0</v>
      </c>
      <c r="AC22" s="48">
        <v>0</v>
      </c>
      <c r="AD22" s="49">
        <v>0</v>
      </c>
      <c r="AE22" s="48">
        <v>63</v>
      </c>
      <c r="AF22" s="49">
        <v>100</v>
      </c>
      <c r="AG22" s="48">
        <v>63</v>
      </c>
      <c r="AH22" s="79"/>
      <c r="AI22" s="79"/>
      <c r="AJ22" s="79"/>
      <c r="AK22" s="114" t="s">
        <v>1560</v>
      </c>
      <c r="AL22" s="114" t="s">
        <v>1566</v>
      </c>
    </row>
    <row r="23" spans="1:38" ht="15">
      <c r="A23" s="86" t="s">
        <v>1050</v>
      </c>
      <c r="B23" s="66" t="s">
        <v>1060</v>
      </c>
      <c r="C23" s="66" t="s">
        <v>59</v>
      </c>
      <c r="D23" s="108"/>
      <c r="E23" s="107"/>
      <c r="F23" s="109" t="s">
        <v>1919</v>
      </c>
      <c r="G23" s="110"/>
      <c r="H23" s="110"/>
      <c r="I23" s="111">
        <v>23</v>
      </c>
      <c r="J23" s="112"/>
      <c r="K23" s="48">
        <v>2</v>
      </c>
      <c r="L23" s="48">
        <v>3</v>
      </c>
      <c r="M23" s="48">
        <v>0</v>
      </c>
      <c r="N23" s="48">
        <v>3</v>
      </c>
      <c r="O23" s="48">
        <v>1</v>
      </c>
      <c r="P23" s="49">
        <v>1</v>
      </c>
      <c r="Q23" s="49">
        <v>1</v>
      </c>
      <c r="R23" s="48">
        <v>1</v>
      </c>
      <c r="S23" s="48">
        <v>0</v>
      </c>
      <c r="T23" s="48">
        <v>2</v>
      </c>
      <c r="U23" s="48">
        <v>3</v>
      </c>
      <c r="V23" s="48">
        <v>1</v>
      </c>
      <c r="W23" s="49">
        <v>0.5</v>
      </c>
      <c r="X23" s="49">
        <v>1</v>
      </c>
      <c r="Y23" s="48">
        <v>0</v>
      </c>
      <c r="Z23" s="49">
        <v>0</v>
      </c>
      <c r="AA23" s="48">
        <v>0</v>
      </c>
      <c r="AB23" s="49">
        <v>0</v>
      </c>
      <c r="AC23" s="48">
        <v>0</v>
      </c>
      <c r="AD23" s="49">
        <v>0</v>
      </c>
      <c r="AE23" s="48">
        <v>254</v>
      </c>
      <c r="AF23" s="49">
        <v>100</v>
      </c>
      <c r="AG23" s="48">
        <v>254</v>
      </c>
      <c r="AH23" s="79"/>
      <c r="AI23" s="79"/>
      <c r="AJ23" s="79"/>
      <c r="AK23" s="114" t="s">
        <v>1561</v>
      </c>
      <c r="AL23" s="114" t="s">
        <v>1641</v>
      </c>
    </row>
    <row r="24" spans="1:38" ht="15">
      <c r="A24" s="86" t="s">
        <v>1051</v>
      </c>
      <c r="B24" s="66" t="s">
        <v>1061</v>
      </c>
      <c r="C24" s="66" t="s">
        <v>59</v>
      </c>
      <c r="D24" s="108"/>
      <c r="E24" s="107"/>
      <c r="F24" s="109" t="s">
        <v>1920</v>
      </c>
      <c r="G24" s="110"/>
      <c r="H24" s="110"/>
      <c r="I24" s="111">
        <v>24</v>
      </c>
      <c r="J24" s="112"/>
      <c r="K24" s="48">
        <v>2</v>
      </c>
      <c r="L24" s="48">
        <v>2</v>
      </c>
      <c r="M24" s="48">
        <v>0</v>
      </c>
      <c r="N24" s="48">
        <v>2</v>
      </c>
      <c r="O24" s="48">
        <v>0</v>
      </c>
      <c r="P24" s="49">
        <v>1</v>
      </c>
      <c r="Q24" s="49">
        <v>1</v>
      </c>
      <c r="R24" s="48">
        <v>1</v>
      </c>
      <c r="S24" s="48">
        <v>0</v>
      </c>
      <c r="T24" s="48">
        <v>2</v>
      </c>
      <c r="U24" s="48">
        <v>2</v>
      </c>
      <c r="V24" s="48">
        <v>1</v>
      </c>
      <c r="W24" s="49">
        <v>0.5</v>
      </c>
      <c r="X24" s="49">
        <v>1</v>
      </c>
      <c r="Y24" s="48">
        <v>1</v>
      </c>
      <c r="Z24" s="49">
        <v>10</v>
      </c>
      <c r="AA24" s="48">
        <v>0</v>
      </c>
      <c r="AB24" s="49">
        <v>0</v>
      </c>
      <c r="AC24" s="48">
        <v>0</v>
      </c>
      <c r="AD24" s="49">
        <v>0</v>
      </c>
      <c r="AE24" s="48">
        <v>9</v>
      </c>
      <c r="AF24" s="49">
        <v>90</v>
      </c>
      <c r="AG24" s="48">
        <v>10</v>
      </c>
      <c r="AH24" s="79"/>
      <c r="AI24" s="79"/>
      <c r="AJ24" s="79"/>
      <c r="AK24" s="114" t="s">
        <v>1325</v>
      </c>
      <c r="AL24" s="114" t="s">
        <v>1544</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1030</v>
      </c>
      <c r="B2" s="114" t="s">
        <v>860</v>
      </c>
      <c r="C2" s="79">
        <f>VLOOKUP(GroupVertices[[#This Row],[Vertex]],Vertices[],MATCH("ID",Vertices[[#Headers],[Vertex]:[Top Word Pairs in Comment by Salience]],0),FALSE)</f>
        <v>122</v>
      </c>
    </row>
    <row r="3" spans="1:3" ht="15">
      <c r="A3" s="79" t="s">
        <v>1030</v>
      </c>
      <c r="B3" s="114" t="s">
        <v>820</v>
      </c>
      <c r="C3" s="79">
        <f>VLOOKUP(GroupVertices[[#This Row],[Vertex]],Vertices[],MATCH("ID",Vertices[[#Headers],[Vertex]:[Top Word Pairs in Comment by Salience]],0),FALSE)</f>
        <v>123</v>
      </c>
    </row>
    <row r="4" spans="1:3" ht="15">
      <c r="A4" s="79" t="s">
        <v>1030</v>
      </c>
      <c r="B4" s="114" t="s">
        <v>821</v>
      </c>
      <c r="C4" s="79">
        <f>VLOOKUP(GroupVertices[[#This Row],[Vertex]],Vertices[],MATCH("ID",Vertices[[#Headers],[Vertex]:[Top Word Pairs in Comment by Salience]],0),FALSE)</f>
        <v>124</v>
      </c>
    </row>
    <row r="5" spans="1:3" ht="15">
      <c r="A5" s="79" t="s">
        <v>1030</v>
      </c>
      <c r="B5" s="114" t="s">
        <v>822</v>
      </c>
      <c r="C5" s="79">
        <f>VLOOKUP(GroupVertices[[#This Row],[Vertex]],Vertices[],MATCH("ID",Vertices[[#Headers],[Vertex]:[Top Word Pairs in Comment by Salience]],0),FALSE)</f>
        <v>125</v>
      </c>
    </row>
    <row r="6" spans="1:3" ht="15">
      <c r="A6" s="79" t="s">
        <v>1030</v>
      </c>
      <c r="B6" s="114" t="s">
        <v>823</v>
      </c>
      <c r="C6" s="79">
        <f>VLOOKUP(GroupVertices[[#This Row],[Vertex]],Vertices[],MATCH("ID",Vertices[[#Headers],[Vertex]:[Top Word Pairs in Comment by Salience]],0),FALSE)</f>
        <v>126</v>
      </c>
    </row>
    <row r="7" spans="1:3" ht="15">
      <c r="A7" s="79" t="s">
        <v>1030</v>
      </c>
      <c r="B7" s="114" t="s">
        <v>824</v>
      </c>
      <c r="C7" s="79">
        <f>VLOOKUP(GroupVertices[[#This Row],[Vertex]],Vertices[],MATCH("ID",Vertices[[#Headers],[Vertex]:[Top Word Pairs in Comment by Salience]],0),FALSE)</f>
        <v>127</v>
      </c>
    </row>
    <row r="8" spans="1:3" ht="15">
      <c r="A8" s="79" t="s">
        <v>1030</v>
      </c>
      <c r="B8" s="114" t="s">
        <v>825</v>
      </c>
      <c r="C8" s="79">
        <f>VLOOKUP(GroupVertices[[#This Row],[Vertex]],Vertices[],MATCH("ID",Vertices[[#Headers],[Vertex]:[Top Word Pairs in Comment by Salience]],0),FALSE)</f>
        <v>128</v>
      </c>
    </row>
    <row r="9" spans="1:3" ht="15">
      <c r="A9" s="79" t="s">
        <v>1030</v>
      </c>
      <c r="B9" s="114" t="s">
        <v>826</v>
      </c>
      <c r="C9" s="79">
        <f>VLOOKUP(GroupVertices[[#This Row],[Vertex]],Vertices[],MATCH("ID",Vertices[[#Headers],[Vertex]:[Top Word Pairs in Comment by Salience]],0),FALSE)</f>
        <v>129</v>
      </c>
    </row>
    <row r="10" spans="1:3" ht="15">
      <c r="A10" s="79" t="s">
        <v>1030</v>
      </c>
      <c r="B10" s="114" t="s">
        <v>827</v>
      </c>
      <c r="C10" s="79">
        <f>VLOOKUP(GroupVertices[[#This Row],[Vertex]],Vertices[],MATCH("ID",Vertices[[#Headers],[Vertex]:[Top Word Pairs in Comment by Salience]],0),FALSE)</f>
        <v>130</v>
      </c>
    </row>
    <row r="11" spans="1:3" ht="15">
      <c r="A11" s="79" t="s">
        <v>1030</v>
      </c>
      <c r="B11" s="114" t="s">
        <v>828</v>
      </c>
      <c r="C11" s="79">
        <f>VLOOKUP(GroupVertices[[#This Row],[Vertex]],Vertices[],MATCH("ID",Vertices[[#Headers],[Vertex]:[Top Word Pairs in Comment by Salience]],0),FALSE)</f>
        <v>131</v>
      </c>
    </row>
    <row r="12" spans="1:3" ht="15">
      <c r="A12" s="79" t="s">
        <v>1030</v>
      </c>
      <c r="B12" s="114" t="s">
        <v>829</v>
      </c>
      <c r="C12" s="79">
        <f>VLOOKUP(GroupVertices[[#This Row],[Vertex]],Vertices[],MATCH("ID",Vertices[[#Headers],[Vertex]:[Top Word Pairs in Comment by Salience]],0),FALSE)</f>
        <v>132</v>
      </c>
    </row>
    <row r="13" spans="1:3" ht="15">
      <c r="A13" s="79" t="s">
        <v>1030</v>
      </c>
      <c r="B13" s="114" t="s">
        <v>830</v>
      </c>
      <c r="C13" s="79">
        <f>VLOOKUP(GroupVertices[[#This Row],[Vertex]],Vertices[],MATCH("ID",Vertices[[#Headers],[Vertex]:[Top Word Pairs in Comment by Salience]],0),FALSE)</f>
        <v>133</v>
      </c>
    </row>
    <row r="14" spans="1:3" ht="15">
      <c r="A14" s="79" t="s">
        <v>1030</v>
      </c>
      <c r="B14" s="114" t="s">
        <v>831</v>
      </c>
      <c r="C14" s="79">
        <f>VLOOKUP(GroupVertices[[#This Row],[Vertex]],Vertices[],MATCH("ID",Vertices[[#Headers],[Vertex]:[Top Word Pairs in Comment by Salience]],0),FALSE)</f>
        <v>134</v>
      </c>
    </row>
    <row r="15" spans="1:3" ht="15">
      <c r="A15" s="79" t="s">
        <v>1030</v>
      </c>
      <c r="B15" s="114" t="s">
        <v>832</v>
      </c>
      <c r="C15" s="79">
        <f>VLOOKUP(GroupVertices[[#This Row],[Vertex]],Vertices[],MATCH("ID",Vertices[[#Headers],[Vertex]:[Top Word Pairs in Comment by Salience]],0),FALSE)</f>
        <v>135</v>
      </c>
    </row>
    <row r="16" spans="1:3" ht="15">
      <c r="A16" s="79" t="s">
        <v>1030</v>
      </c>
      <c r="B16" s="114" t="s">
        <v>833</v>
      </c>
      <c r="C16" s="79">
        <f>VLOOKUP(GroupVertices[[#This Row],[Vertex]],Vertices[],MATCH("ID",Vertices[[#Headers],[Vertex]:[Top Word Pairs in Comment by Salience]],0),FALSE)</f>
        <v>136</v>
      </c>
    </row>
    <row r="17" spans="1:3" ht="15">
      <c r="A17" s="79" t="s">
        <v>1030</v>
      </c>
      <c r="B17" s="114" t="s">
        <v>834</v>
      </c>
      <c r="C17" s="79">
        <f>VLOOKUP(GroupVertices[[#This Row],[Vertex]],Vertices[],MATCH("ID",Vertices[[#Headers],[Vertex]:[Top Word Pairs in Comment by Salience]],0),FALSE)</f>
        <v>137</v>
      </c>
    </row>
    <row r="18" spans="1:3" ht="15">
      <c r="A18" s="79" t="s">
        <v>1030</v>
      </c>
      <c r="B18" s="114" t="s">
        <v>835</v>
      </c>
      <c r="C18" s="79">
        <f>VLOOKUP(GroupVertices[[#This Row],[Vertex]],Vertices[],MATCH("ID",Vertices[[#Headers],[Vertex]:[Top Word Pairs in Comment by Salience]],0),FALSE)</f>
        <v>138</v>
      </c>
    </row>
    <row r="19" spans="1:3" ht="15">
      <c r="A19" s="79" t="s">
        <v>1030</v>
      </c>
      <c r="B19" s="114" t="s">
        <v>836</v>
      </c>
      <c r="C19" s="79">
        <f>VLOOKUP(GroupVertices[[#This Row],[Vertex]],Vertices[],MATCH("ID",Vertices[[#Headers],[Vertex]:[Top Word Pairs in Comment by Salience]],0),FALSE)</f>
        <v>139</v>
      </c>
    </row>
    <row r="20" spans="1:3" ht="15">
      <c r="A20" s="79" t="s">
        <v>1030</v>
      </c>
      <c r="B20" s="114" t="s">
        <v>837</v>
      </c>
      <c r="C20" s="79">
        <f>VLOOKUP(GroupVertices[[#This Row],[Vertex]],Vertices[],MATCH("ID",Vertices[[#Headers],[Vertex]:[Top Word Pairs in Comment by Salience]],0),FALSE)</f>
        <v>140</v>
      </c>
    </row>
    <row r="21" spans="1:3" ht="15">
      <c r="A21" s="79" t="s">
        <v>1030</v>
      </c>
      <c r="B21" s="114" t="s">
        <v>838</v>
      </c>
      <c r="C21" s="79">
        <f>VLOOKUP(GroupVertices[[#This Row],[Vertex]],Vertices[],MATCH("ID",Vertices[[#Headers],[Vertex]:[Top Word Pairs in Comment by Salience]],0),FALSE)</f>
        <v>141</v>
      </c>
    </row>
    <row r="22" spans="1:3" ht="15">
      <c r="A22" s="79" t="s">
        <v>1030</v>
      </c>
      <c r="B22" s="114" t="s">
        <v>839</v>
      </c>
      <c r="C22" s="79">
        <f>VLOOKUP(GroupVertices[[#This Row],[Vertex]],Vertices[],MATCH("ID",Vertices[[#Headers],[Vertex]:[Top Word Pairs in Comment by Salience]],0),FALSE)</f>
        <v>142</v>
      </c>
    </row>
    <row r="23" spans="1:3" ht="15">
      <c r="A23" s="79" t="s">
        <v>1030</v>
      </c>
      <c r="B23" s="114" t="s">
        <v>840</v>
      </c>
      <c r="C23" s="79">
        <f>VLOOKUP(GroupVertices[[#This Row],[Vertex]],Vertices[],MATCH("ID",Vertices[[#Headers],[Vertex]:[Top Word Pairs in Comment by Salience]],0),FALSE)</f>
        <v>143</v>
      </c>
    </row>
    <row r="24" spans="1:3" ht="15">
      <c r="A24" s="79" t="s">
        <v>1030</v>
      </c>
      <c r="B24" s="114" t="s">
        <v>841</v>
      </c>
      <c r="C24" s="79">
        <f>VLOOKUP(GroupVertices[[#This Row],[Vertex]],Vertices[],MATCH("ID",Vertices[[#Headers],[Vertex]:[Top Word Pairs in Comment by Salience]],0),FALSE)</f>
        <v>144</v>
      </c>
    </row>
    <row r="25" spans="1:3" ht="15">
      <c r="A25" s="79" t="s">
        <v>1030</v>
      </c>
      <c r="B25" s="114" t="s">
        <v>842</v>
      </c>
      <c r="C25" s="79">
        <f>VLOOKUP(GroupVertices[[#This Row],[Vertex]],Vertices[],MATCH("ID",Vertices[[#Headers],[Vertex]:[Top Word Pairs in Comment by Salience]],0),FALSE)</f>
        <v>145</v>
      </c>
    </row>
    <row r="26" spans="1:3" ht="15">
      <c r="A26" s="79" t="s">
        <v>1030</v>
      </c>
      <c r="B26" s="114" t="s">
        <v>843</v>
      </c>
      <c r="C26" s="79">
        <f>VLOOKUP(GroupVertices[[#This Row],[Vertex]],Vertices[],MATCH("ID",Vertices[[#Headers],[Vertex]:[Top Word Pairs in Comment by Salience]],0),FALSE)</f>
        <v>146</v>
      </c>
    </row>
    <row r="27" spans="1:3" ht="15">
      <c r="A27" s="79" t="s">
        <v>1030</v>
      </c>
      <c r="B27" s="114" t="s">
        <v>844</v>
      </c>
      <c r="C27" s="79">
        <f>VLOOKUP(GroupVertices[[#This Row],[Vertex]],Vertices[],MATCH("ID",Vertices[[#Headers],[Vertex]:[Top Word Pairs in Comment by Salience]],0),FALSE)</f>
        <v>147</v>
      </c>
    </row>
    <row r="28" spans="1:3" ht="15">
      <c r="A28" s="79" t="s">
        <v>1030</v>
      </c>
      <c r="B28" s="114" t="s">
        <v>845</v>
      </c>
      <c r="C28" s="79">
        <f>VLOOKUP(GroupVertices[[#This Row],[Vertex]],Vertices[],MATCH("ID",Vertices[[#Headers],[Vertex]:[Top Word Pairs in Comment by Salience]],0),FALSE)</f>
        <v>148</v>
      </c>
    </row>
    <row r="29" spans="1:3" ht="15">
      <c r="A29" s="79" t="s">
        <v>1030</v>
      </c>
      <c r="B29" s="114" t="s">
        <v>846</v>
      </c>
      <c r="C29" s="79">
        <f>VLOOKUP(GroupVertices[[#This Row],[Vertex]],Vertices[],MATCH("ID",Vertices[[#Headers],[Vertex]:[Top Word Pairs in Comment by Salience]],0),FALSE)</f>
        <v>149</v>
      </c>
    </row>
    <row r="30" spans="1:3" ht="15">
      <c r="A30" s="79" t="s">
        <v>1030</v>
      </c>
      <c r="B30" s="114" t="s">
        <v>847</v>
      </c>
      <c r="C30" s="79">
        <f>VLOOKUP(GroupVertices[[#This Row],[Vertex]],Vertices[],MATCH("ID",Vertices[[#Headers],[Vertex]:[Top Word Pairs in Comment by Salience]],0),FALSE)</f>
        <v>150</v>
      </c>
    </row>
    <row r="31" spans="1:3" ht="15">
      <c r="A31" s="79" t="s">
        <v>1030</v>
      </c>
      <c r="B31" s="114" t="s">
        <v>848</v>
      </c>
      <c r="C31" s="79">
        <f>VLOOKUP(GroupVertices[[#This Row],[Vertex]],Vertices[],MATCH("ID",Vertices[[#Headers],[Vertex]:[Top Word Pairs in Comment by Salience]],0),FALSE)</f>
        <v>151</v>
      </c>
    </row>
    <row r="32" spans="1:3" ht="15">
      <c r="A32" s="79" t="s">
        <v>1030</v>
      </c>
      <c r="B32" s="114" t="s">
        <v>849</v>
      </c>
      <c r="C32" s="79">
        <f>VLOOKUP(GroupVertices[[#This Row],[Vertex]],Vertices[],MATCH("ID",Vertices[[#Headers],[Vertex]:[Top Word Pairs in Comment by Salience]],0),FALSE)</f>
        <v>152</v>
      </c>
    </row>
    <row r="33" spans="1:3" ht="15">
      <c r="A33" s="79" t="s">
        <v>1030</v>
      </c>
      <c r="B33" s="114" t="s">
        <v>850</v>
      </c>
      <c r="C33" s="79">
        <f>VLOOKUP(GroupVertices[[#This Row],[Vertex]],Vertices[],MATCH("ID",Vertices[[#Headers],[Vertex]:[Top Word Pairs in Comment by Salience]],0),FALSE)</f>
        <v>153</v>
      </c>
    </row>
    <row r="34" spans="1:3" ht="15">
      <c r="A34" s="79" t="s">
        <v>1030</v>
      </c>
      <c r="B34" s="114" t="s">
        <v>851</v>
      </c>
      <c r="C34" s="79">
        <f>VLOOKUP(GroupVertices[[#This Row],[Vertex]],Vertices[],MATCH("ID",Vertices[[#Headers],[Vertex]:[Top Word Pairs in Comment by Salience]],0),FALSE)</f>
        <v>154</v>
      </c>
    </row>
    <row r="35" spans="1:3" ht="15">
      <c r="A35" s="79" t="s">
        <v>1030</v>
      </c>
      <c r="B35" s="114" t="s">
        <v>852</v>
      </c>
      <c r="C35" s="79">
        <f>VLOOKUP(GroupVertices[[#This Row],[Vertex]],Vertices[],MATCH("ID",Vertices[[#Headers],[Vertex]:[Top Word Pairs in Comment by Salience]],0),FALSE)</f>
        <v>155</v>
      </c>
    </row>
    <row r="36" spans="1:3" ht="15">
      <c r="A36" s="79" t="s">
        <v>1030</v>
      </c>
      <c r="B36" s="114" t="s">
        <v>853</v>
      </c>
      <c r="C36" s="79">
        <f>VLOOKUP(GroupVertices[[#This Row],[Vertex]],Vertices[],MATCH("ID",Vertices[[#Headers],[Vertex]:[Top Word Pairs in Comment by Salience]],0),FALSE)</f>
        <v>156</v>
      </c>
    </row>
    <row r="37" spans="1:3" ht="15">
      <c r="A37" s="79" t="s">
        <v>1030</v>
      </c>
      <c r="B37" s="114" t="s">
        <v>854</v>
      </c>
      <c r="C37" s="79">
        <f>VLOOKUP(GroupVertices[[#This Row],[Vertex]],Vertices[],MATCH("ID",Vertices[[#Headers],[Vertex]:[Top Word Pairs in Comment by Salience]],0),FALSE)</f>
        <v>157</v>
      </c>
    </row>
    <row r="38" spans="1:3" ht="15">
      <c r="A38" s="79" t="s">
        <v>1030</v>
      </c>
      <c r="B38" s="114" t="s">
        <v>855</v>
      </c>
      <c r="C38" s="79">
        <f>VLOOKUP(GroupVertices[[#This Row],[Vertex]],Vertices[],MATCH("ID",Vertices[[#Headers],[Vertex]:[Top Word Pairs in Comment by Salience]],0),FALSE)</f>
        <v>158</v>
      </c>
    </row>
    <row r="39" spans="1:3" ht="15">
      <c r="A39" s="79" t="s">
        <v>1030</v>
      </c>
      <c r="B39" s="114" t="s">
        <v>856</v>
      </c>
      <c r="C39" s="79">
        <f>VLOOKUP(GroupVertices[[#This Row],[Vertex]],Vertices[],MATCH("ID",Vertices[[#Headers],[Vertex]:[Top Word Pairs in Comment by Salience]],0),FALSE)</f>
        <v>159</v>
      </c>
    </row>
    <row r="40" spans="1:3" ht="15">
      <c r="A40" s="79" t="s">
        <v>1030</v>
      </c>
      <c r="B40" s="114" t="s">
        <v>857</v>
      </c>
      <c r="C40" s="79">
        <f>VLOOKUP(GroupVertices[[#This Row],[Vertex]],Vertices[],MATCH("ID",Vertices[[#Headers],[Vertex]:[Top Word Pairs in Comment by Salience]],0),FALSE)</f>
        <v>160</v>
      </c>
    </row>
    <row r="41" spans="1:3" ht="15">
      <c r="A41" s="79" t="s">
        <v>1030</v>
      </c>
      <c r="B41" s="114" t="s">
        <v>858</v>
      </c>
      <c r="C41" s="79">
        <f>VLOOKUP(GroupVertices[[#This Row],[Vertex]],Vertices[],MATCH("ID",Vertices[[#Headers],[Vertex]:[Top Word Pairs in Comment by Salience]],0),FALSE)</f>
        <v>161</v>
      </c>
    </row>
    <row r="42" spans="1:3" ht="15">
      <c r="A42" s="79" t="s">
        <v>1030</v>
      </c>
      <c r="B42" s="114" t="s">
        <v>859</v>
      </c>
      <c r="C42" s="79">
        <f>VLOOKUP(GroupVertices[[#This Row],[Vertex]],Vertices[],MATCH("ID",Vertices[[#Headers],[Vertex]:[Top Word Pairs in Comment by Salience]],0),FALSE)</f>
        <v>162</v>
      </c>
    </row>
    <row r="43" spans="1:3" ht="15">
      <c r="A43" s="79" t="s">
        <v>1031</v>
      </c>
      <c r="B43" s="114" t="s">
        <v>243</v>
      </c>
      <c r="C43" s="79">
        <f>VLOOKUP(GroupVertices[[#This Row],[Vertex]],Vertices[],MATCH("ID",Vertices[[#Headers],[Vertex]:[Top Word Pairs in Comment by Salience]],0),FALSE)</f>
        <v>35</v>
      </c>
    </row>
    <row r="44" spans="1:3" ht="15">
      <c r="A44" s="79" t="s">
        <v>1031</v>
      </c>
      <c r="B44" s="114" t="s">
        <v>214</v>
      </c>
      <c r="C44" s="79">
        <f>VLOOKUP(GroupVertices[[#This Row],[Vertex]],Vertices[],MATCH("ID",Vertices[[#Headers],[Vertex]:[Top Word Pairs in Comment by Salience]],0),FALSE)</f>
        <v>6</v>
      </c>
    </row>
    <row r="45" spans="1:3" ht="15">
      <c r="A45" s="79" t="s">
        <v>1031</v>
      </c>
      <c r="B45" s="114" t="s">
        <v>242</v>
      </c>
      <c r="C45" s="79">
        <f>VLOOKUP(GroupVertices[[#This Row],[Vertex]],Vertices[],MATCH("ID",Vertices[[#Headers],[Vertex]:[Top Word Pairs in Comment by Salience]],0),FALSE)</f>
        <v>34</v>
      </c>
    </row>
    <row r="46" spans="1:3" ht="15">
      <c r="A46" s="79" t="s">
        <v>1031</v>
      </c>
      <c r="B46" s="114" t="s">
        <v>223</v>
      </c>
      <c r="C46" s="79">
        <f>VLOOKUP(GroupVertices[[#This Row],[Vertex]],Vertices[],MATCH("ID",Vertices[[#Headers],[Vertex]:[Top Word Pairs in Comment by Salience]],0),FALSE)</f>
        <v>14</v>
      </c>
    </row>
    <row r="47" spans="1:3" ht="15">
      <c r="A47" s="79" t="s">
        <v>1031</v>
      </c>
      <c r="B47" s="114" t="s">
        <v>222</v>
      </c>
      <c r="C47" s="79">
        <f>VLOOKUP(GroupVertices[[#This Row],[Vertex]],Vertices[],MATCH("ID",Vertices[[#Headers],[Vertex]:[Top Word Pairs in Comment by Salience]],0),FALSE)</f>
        <v>13</v>
      </c>
    </row>
    <row r="48" spans="1:3" ht="15">
      <c r="A48" s="79" t="s">
        <v>1031</v>
      </c>
      <c r="B48" s="114" t="s">
        <v>221</v>
      </c>
      <c r="C48" s="79">
        <f>VLOOKUP(GroupVertices[[#This Row],[Vertex]],Vertices[],MATCH("ID",Vertices[[#Headers],[Vertex]:[Top Word Pairs in Comment by Salience]],0),FALSE)</f>
        <v>12</v>
      </c>
    </row>
    <row r="49" spans="1:3" ht="15">
      <c r="A49" s="79" t="s">
        <v>1031</v>
      </c>
      <c r="B49" s="114" t="s">
        <v>220</v>
      </c>
      <c r="C49" s="79">
        <f>VLOOKUP(GroupVertices[[#This Row],[Vertex]],Vertices[],MATCH("ID",Vertices[[#Headers],[Vertex]:[Top Word Pairs in Comment by Salience]],0),FALSE)</f>
        <v>11</v>
      </c>
    </row>
    <row r="50" spans="1:3" ht="15">
      <c r="A50" s="79" t="s">
        <v>1031</v>
      </c>
      <c r="B50" s="114" t="s">
        <v>219</v>
      </c>
      <c r="C50" s="79">
        <f>VLOOKUP(GroupVertices[[#This Row],[Vertex]],Vertices[],MATCH("ID",Vertices[[#Headers],[Vertex]:[Top Word Pairs in Comment by Salience]],0),FALSE)</f>
        <v>10</v>
      </c>
    </row>
    <row r="51" spans="1:3" ht="15">
      <c r="A51" s="79" t="s">
        <v>1031</v>
      </c>
      <c r="B51" s="114" t="s">
        <v>218</v>
      </c>
      <c r="C51" s="79">
        <f>VLOOKUP(GroupVertices[[#This Row],[Vertex]],Vertices[],MATCH("ID",Vertices[[#Headers],[Vertex]:[Top Word Pairs in Comment by Salience]],0),FALSE)</f>
        <v>9</v>
      </c>
    </row>
    <row r="52" spans="1:3" ht="15">
      <c r="A52" s="79" t="s">
        <v>1031</v>
      </c>
      <c r="B52" s="114" t="s">
        <v>217</v>
      </c>
      <c r="C52" s="79">
        <f>VLOOKUP(GroupVertices[[#This Row],[Vertex]],Vertices[],MATCH("ID",Vertices[[#Headers],[Vertex]:[Top Word Pairs in Comment by Salience]],0),FALSE)</f>
        <v>8</v>
      </c>
    </row>
    <row r="53" spans="1:3" ht="15">
      <c r="A53" s="79" t="s">
        <v>1031</v>
      </c>
      <c r="B53" s="114" t="s">
        <v>216</v>
      </c>
      <c r="C53" s="79">
        <f>VLOOKUP(GroupVertices[[#This Row],[Vertex]],Vertices[],MATCH("ID",Vertices[[#Headers],[Vertex]:[Top Word Pairs in Comment by Salience]],0),FALSE)</f>
        <v>7</v>
      </c>
    </row>
    <row r="54" spans="1:3" ht="15">
      <c r="A54" s="79" t="s">
        <v>1031</v>
      </c>
      <c r="B54" s="114" t="s">
        <v>215</v>
      </c>
      <c r="C54" s="79">
        <f>VLOOKUP(GroupVertices[[#This Row],[Vertex]],Vertices[],MATCH("ID",Vertices[[#Headers],[Vertex]:[Top Word Pairs in Comment by Salience]],0),FALSE)</f>
        <v>4</v>
      </c>
    </row>
    <row r="55" spans="1:3" ht="15">
      <c r="A55" s="79" t="s">
        <v>1031</v>
      </c>
      <c r="B55" s="114" t="s">
        <v>213</v>
      </c>
      <c r="C55" s="79">
        <f>VLOOKUP(GroupVertices[[#This Row],[Vertex]],Vertices[],MATCH("ID",Vertices[[#Headers],[Vertex]:[Top Word Pairs in Comment by Salience]],0),FALSE)</f>
        <v>5</v>
      </c>
    </row>
    <row r="56" spans="1:3" ht="15">
      <c r="A56" s="79" t="s">
        <v>1031</v>
      </c>
      <c r="B56" s="114" t="s">
        <v>212</v>
      </c>
      <c r="C56" s="79">
        <f>VLOOKUP(GroupVertices[[#This Row],[Vertex]],Vertices[],MATCH("ID",Vertices[[#Headers],[Vertex]:[Top Word Pairs in Comment by Salience]],0),FALSE)</f>
        <v>3</v>
      </c>
    </row>
    <row r="57" spans="1:3" ht="15">
      <c r="A57" s="79" t="s">
        <v>1032</v>
      </c>
      <c r="B57" s="114" t="s">
        <v>327</v>
      </c>
      <c r="C57" s="79">
        <f>VLOOKUP(GroupVertices[[#This Row],[Vertex]],Vertices[],MATCH("ID",Vertices[[#Headers],[Vertex]:[Top Word Pairs in Comment by Salience]],0),FALSE)</f>
        <v>121</v>
      </c>
    </row>
    <row r="58" spans="1:3" ht="15">
      <c r="A58" s="79" t="s">
        <v>1032</v>
      </c>
      <c r="B58" s="114" t="s">
        <v>310</v>
      </c>
      <c r="C58" s="79">
        <f>VLOOKUP(GroupVertices[[#This Row],[Vertex]],Vertices[],MATCH("ID",Vertices[[#Headers],[Vertex]:[Top Word Pairs in Comment by Salience]],0),FALSE)</f>
        <v>103</v>
      </c>
    </row>
    <row r="59" spans="1:3" ht="15">
      <c r="A59" s="79" t="s">
        <v>1032</v>
      </c>
      <c r="B59" s="114" t="s">
        <v>326</v>
      </c>
      <c r="C59" s="79">
        <f>VLOOKUP(GroupVertices[[#This Row],[Vertex]],Vertices[],MATCH("ID",Vertices[[#Headers],[Vertex]:[Top Word Pairs in Comment by Salience]],0),FALSE)</f>
        <v>120</v>
      </c>
    </row>
    <row r="60" spans="1:3" ht="15">
      <c r="A60" s="79" t="s">
        <v>1032</v>
      </c>
      <c r="B60" s="114" t="s">
        <v>224</v>
      </c>
      <c r="C60" s="79">
        <f>VLOOKUP(GroupVertices[[#This Row],[Vertex]],Vertices[],MATCH("ID",Vertices[[#Headers],[Vertex]:[Top Word Pairs in Comment by Salience]],0),FALSE)</f>
        <v>15</v>
      </c>
    </row>
    <row r="61" spans="1:3" ht="15">
      <c r="A61" s="79" t="s">
        <v>1032</v>
      </c>
      <c r="B61" s="114" t="s">
        <v>297</v>
      </c>
      <c r="C61" s="79">
        <f>VLOOKUP(GroupVertices[[#This Row],[Vertex]],Vertices[],MATCH("ID",Vertices[[#Headers],[Vertex]:[Top Word Pairs in Comment by Salience]],0),FALSE)</f>
        <v>90</v>
      </c>
    </row>
    <row r="62" spans="1:3" ht="15">
      <c r="A62" s="79" t="s">
        <v>1032</v>
      </c>
      <c r="B62" s="114" t="s">
        <v>298</v>
      </c>
      <c r="C62" s="79">
        <f>VLOOKUP(GroupVertices[[#This Row],[Vertex]],Vertices[],MATCH("ID",Vertices[[#Headers],[Vertex]:[Top Word Pairs in Comment by Salience]],0),FALSE)</f>
        <v>91</v>
      </c>
    </row>
    <row r="63" spans="1:3" ht="15">
      <c r="A63" s="79" t="s">
        <v>1032</v>
      </c>
      <c r="B63" s="114" t="s">
        <v>280</v>
      </c>
      <c r="C63" s="79">
        <f>VLOOKUP(GroupVertices[[#This Row],[Vertex]],Vertices[],MATCH("ID",Vertices[[#Headers],[Vertex]:[Top Word Pairs in Comment by Salience]],0),FALSE)</f>
        <v>73</v>
      </c>
    </row>
    <row r="64" spans="1:3" ht="15">
      <c r="A64" s="79" t="s">
        <v>1032</v>
      </c>
      <c r="B64" s="114" t="s">
        <v>266</v>
      </c>
      <c r="C64" s="79">
        <f>VLOOKUP(GroupVertices[[#This Row],[Vertex]],Vertices[],MATCH("ID",Vertices[[#Headers],[Vertex]:[Top Word Pairs in Comment by Salience]],0),FALSE)</f>
        <v>59</v>
      </c>
    </row>
    <row r="65" spans="1:3" ht="15">
      <c r="A65" s="79" t="s">
        <v>1032</v>
      </c>
      <c r="B65" s="114" t="s">
        <v>279</v>
      </c>
      <c r="C65" s="79">
        <f>VLOOKUP(GroupVertices[[#This Row],[Vertex]],Vertices[],MATCH("ID",Vertices[[#Headers],[Vertex]:[Top Word Pairs in Comment by Salience]],0),FALSE)</f>
        <v>72</v>
      </c>
    </row>
    <row r="66" spans="1:3" ht="15">
      <c r="A66" s="79" t="s">
        <v>1032</v>
      </c>
      <c r="B66" s="114" t="s">
        <v>278</v>
      </c>
      <c r="C66" s="79">
        <f>VLOOKUP(GroupVertices[[#This Row],[Vertex]],Vertices[],MATCH("ID",Vertices[[#Headers],[Vertex]:[Top Word Pairs in Comment by Salience]],0),FALSE)</f>
        <v>71</v>
      </c>
    </row>
    <row r="67" spans="1:3" ht="15">
      <c r="A67" s="79" t="s">
        <v>1032</v>
      </c>
      <c r="B67" s="114" t="s">
        <v>267</v>
      </c>
      <c r="C67" s="79">
        <f>VLOOKUP(GroupVertices[[#This Row],[Vertex]],Vertices[],MATCH("ID",Vertices[[#Headers],[Vertex]:[Top Word Pairs in Comment by Salience]],0),FALSE)</f>
        <v>60</v>
      </c>
    </row>
    <row r="68" spans="1:3" ht="15">
      <c r="A68" s="79" t="s">
        <v>1032</v>
      </c>
      <c r="B68" s="114" t="s">
        <v>225</v>
      </c>
      <c r="C68" s="79">
        <f>VLOOKUP(GroupVertices[[#This Row],[Vertex]],Vertices[],MATCH("ID",Vertices[[#Headers],[Vertex]:[Top Word Pairs in Comment by Salience]],0),FALSE)</f>
        <v>16</v>
      </c>
    </row>
    <row r="69" spans="1:3" ht="15">
      <c r="A69" s="79" t="s">
        <v>1033</v>
      </c>
      <c r="B69" s="114" t="s">
        <v>309</v>
      </c>
      <c r="C69" s="79">
        <f>VLOOKUP(GroupVertices[[#This Row],[Vertex]],Vertices[],MATCH("ID",Vertices[[#Headers],[Vertex]:[Top Word Pairs in Comment by Salience]],0),FALSE)</f>
        <v>102</v>
      </c>
    </row>
    <row r="70" spans="1:3" ht="15">
      <c r="A70" s="79" t="s">
        <v>1033</v>
      </c>
      <c r="B70" s="114" t="s">
        <v>300</v>
      </c>
      <c r="C70" s="79">
        <f>VLOOKUP(GroupVertices[[#This Row],[Vertex]],Vertices[],MATCH("ID",Vertices[[#Headers],[Vertex]:[Top Word Pairs in Comment by Salience]],0),FALSE)</f>
        <v>94</v>
      </c>
    </row>
    <row r="71" spans="1:3" ht="15">
      <c r="A71" s="79" t="s">
        <v>1033</v>
      </c>
      <c r="B71" s="114" t="s">
        <v>308</v>
      </c>
      <c r="C71" s="79">
        <f>VLOOKUP(GroupVertices[[#This Row],[Vertex]],Vertices[],MATCH("ID",Vertices[[#Headers],[Vertex]:[Top Word Pairs in Comment by Salience]],0),FALSE)</f>
        <v>101</v>
      </c>
    </row>
    <row r="72" spans="1:3" ht="15">
      <c r="A72" s="79" t="s">
        <v>1033</v>
      </c>
      <c r="B72" s="114" t="s">
        <v>307</v>
      </c>
      <c r="C72" s="79">
        <f>VLOOKUP(GroupVertices[[#This Row],[Vertex]],Vertices[],MATCH("ID",Vertices[[#Headers],[Vertex]:[Top Word Pairs in Comment by Salience]],0),FALSE)</f>
        <v>100</v>
      </c>
    </row>
    <row r="73" spans="1:3" ht="15">
      <c r="A73" s="79" t="s">
        <v>1033</v>
      </c>
      <c r="B73" s="114" t="s">
        <v>306</v>
      </c>
      <c r="C73" s="79">
        <f>VLOOKUP(GroupVertices[[#This Row],[Vertex]],Vertices[],MATCH("ID",Vertices[[#Headers],[Vertex]:[Top Word Pairs in Comment by Salience]],0),FALSE)</f>
        <v>99</v>
      </c>
    </row>
    <row r="74" spans="1:3" ht="15">
      <c r="A74" s="79" t="s">
        <v>1033</v>
      </c>
      <c r="B74" s="114" t="s">
        <v>305</v>
      </c>
      <c r="C74" s="79">
        <f>VLOOKUP(GroupVertices[[#This Row],[Vertex]],Vertices[],MATCH("ID",Vertices[[#Headers],[Vertex]:[Top Word Pairs in Comment by Salience]],0),FALSE)</f>
        <v>98</v>
      </c>
    </row>
    <row r="75" spans="1:3" ht="15">
      <c r="A75" s="79" t="s">
        <v>1033</v>
      </c>
      <c r="B75" s="114" t="s">
        <v>304</v>
      </c>
      <c r="C75" s="79">
        <f>VLOOKUP(GroupVertices[[#This Row],[Vertex]],Vertices[],MATCH("ID",Vertices[[#Headers],[Vertex]:[Top Word Pairs in Comment by Salience]],0),FALSE)</f>
        <v>97</v>
      </c>
    </row>
    <row r="76" spans="1:3" ht="15">
      <c r="A76" s="79" t="s">
        <v>1033</v>
      </c>
      <c r="B76" s="114" t="s">
        <v>303</v>
      </c>
      <c r="C76" s="79">
        <f>VLOOKUP(GroupVertices[[#This Row],[Vertex]],Vertices[],MATCH("ID",Vertices[[#Headers],[Vertex]:[Top Word Pairs in Comment by Salience]],0),FALSE)</f>
        <v>96</v>
      </c>
    </row>
    <row r="77" spans="1:3" ht="15">
      <c r="A77" s="79" t="s">
        <v>1033</v>
      </c>
      <c r="B77" s="114" t="s">
        <v>302</v>
      </c>
      <c r="C77" s="79">
        <f>VLOOKUP(GroupVertices[[#This Row],[Vertex]],Vertices[],MATCH("ID",Vertices[[#Headers],[Vertex]:[Top Word Pairs in Comment by Salience]],0),FALSE)</f>
        <v>95</v>
      </c>
    </row>
    <row r="78" spans="1:3" ht="15">
      <c r="A78" s="79" t="s">
        <v>1033</v>
      </c>
      <c r="B78" s="114" t="s">
        <v>299</v>
      </c>
      <c r="C78" s="79">
        <f>VLOOKUP(GroupVertices[[#This Row],[Vertex]],Vertices[],MATCH("ID",Vertices[[#Headers],[Vertex]:[Top Word Pairs in Comment by Salience]],0),FALSE)</f>
        <v>92</v>
      </c>
    </row>
    <row r="79" spans="1:3" ht="15">
      <c r="A79" s="79" t="s">
        <v>1033</v>
      </c>
      <c r="B79" s="114" t="s">
        <v>301</v>
      </c>
      <c r="C79" s="79">
        <f>VLOOKUP(GroupVertices[[#This Row],[Vertex]],Vertices[],MATCH("ID",Vertices[[#Headers],[Vertex]:[Top Word Pairs in Comment by Salience]],0),FALSE)</f>
        <v>93</v>
      </c>
    </row>
    <row r="80" spans="1:3" ht="15">
      <c r="A80" s="79" t="s">
        <v>1034</v>
      </c>
      <c r="B80" s="114" t="s">
        <v>325</v>
      </c>
      <c r="C80" s="79">
        <f>VLOOKUP(GroupVertices[[#This Row],[Vertex]],Vertices[],MATCH("ID",Vertices[[#Headers],[Vertex]:[Top Word Pairs in Comment by Salience]],0),FALSE)</f>
        <v>119</v>
      </c>
    </row>
    <row r="81" spans="1:3" ht="15">
      <c r="A81" s="79" t="s">
        <v>1034</v>
      </c>
      <c r="B81" s="114" t="s">
        <v>318</v>
      </c>
      <c r="C81" s="79">
        <f>VLOOKUP(GroupVertices[[#This Row],[Vertex]],Vertices[],MATCH("ID",Vertices[[#Headers],[Vertex]:[Top Word Pairs in Comment by Salience]],0),FALSE)</f>
        <v>112</v>
      </c>
    </row>
    <row r="82" spans="1:3" ht="15">
      <c r="A82" s="79" t="s">
        <v>1034</v>
      </c>
      <c r="B82" s="114" t="s">
        <v>324</v>
      </c>
      <c r="C82" s="79">
        <f>VLOOKUP(GroupVertices[[#This Row],[Vertex]],Vertices[],MATCH("ID",Vertices[[#Headers],[Vertex]:[Top Word Pairs in Comment by Salience]],0),FALSE)</f>
        <v>118</v>
      </c>
    </row>
    <row r="83" spans="1:3" ht="15">
      <c r="A83" s="79" t="s">
        <v>1034</v>
      </c>
      <c r="B83" s="114" t="s">
        <v>323</v>
      </c>
      <c r="C83" s="79">
        <f>VLOOKUP(GroupVertices[[#This Row],[Vertex]],Vertices[],MATCH("ID",Vertices[[#Headers],[Vertex]:[Top Word Pairs in Comment by Salience]],0),FALSE)</f>
        <v>117</v>
      </c>
    </row>
    <row r="84" spans="1:3" ht="15">
      <c r="A84" s="79" t="s">
        <v>1034</v>
      </c>
      <c r="B84" s="114" t="s">
        <v>322</v>
      </c>
      <c r="C84" s="79">
        <f>VLOOKUP(GroupVertices[[#This Row],[Vertex]],Vertices[],MATCH("ID",Vertices[[#Headers],[Vertex]:[Top Word Pairs in Comment by Salience]],0),FALSE)</f>
        <v>116</v>
      </c>
    </row>
    <row r="85" spans="1:3" ht="15">
      <c r="A85" s="79" t="s">
        <v>1034</v>
      </c>
      <c r="B85" s="114" t="s">
        <v>321</v>
      </c>
      <c r="C85" s="79">
        <f>VLOOKUP(GroupVertices[[#This Row],[Vertex]],Vertices[],MATCH("ID",Vertices[[#Headers],[Vertex]:[Top Word Pairs in Comment by Salience]],0),FALSE)</f>
        <v>115</v>
      </c>
    </row>
    <row r="86" spans="1:3" ht="15">
      <c r="A86" s="79" t="s">
        <v>1034</v>
      </c>
      <c r="B86" s="114" t="s">
        <v>320</v>
      </c>
      <c r="C86" s="79">
        <f>VLOOKUP(GroupVertices[[#This Row],[Vertex]],Vertices[],MATCH("ID",Vertices[[#Headers],[Vertex]:[Top Word Pairs in Comment by Salience]],0),FALSE)</f>
        <v>114</v>
      </c>
    </row>
    <row r="87" spans="1:3" ht="15">
      <c r="A87" s="79" t="s">
        <v>1034</v>
      </c>
      <c r="B87" s="114" t="s">
        <v>319</v>
      </c>
      <c r="C87" s="79">
        <f>VLOOKUP(GroupVertices[[#This Row],[Vertex]],Vertices[],MATCH("ID",Vertices[[#Headers],[Vertex]:[Top Word Pairs in Comment by Salience]],0),FALSE)</f>
        <v>113</v>
      </c>
    </row>
    <row r="88" spans="1:3" ht="15">
      <c r="A88" s="79" t="s">
        <v>1035</v>
      </c>
      <c r="B88" s="114" t="s">
        <v>265</v>
      </c>
      <c r="C88" s="79">
        <f>VLOOKUP(GroupVertices[[#This Row],[Vertex]],Vertices[],MATCH("ID",Vertices[[#Headers],[Vertex]:[Top Word Pairs in Comment by Salience]],0),FALSE)</f>
        <v>58</v>
      </c>
    </row>
    <row r="89" spans="1:3" ht="15">
      <c r="A89" s="79" t="s">
        <v>1035</v>
      </c>
      <c r="B89" s="114" t="s">
        <v>258</v>
      </c>
      <c r="C89" s="79">
        <f>VLOOKUP(GroupVertices[[#This Row],[Vertex]],Vertices[],MATCH("ID",Vertices[[#Headers],[Vertex]:[Top Word Pairs in Comment by Salience]],0),FALSE)</f>
        <v>51</v>
      </c>
    </row>
    <row r="90" spans="1:3" ht="15">
      <c r="A90" s="79" t="s">
        <v>1035</v>
      </c>
      <c r="B90" s="114" t="s">
        <v>264</v>
      </c>
      <c r="C90" s="79">
        <f>VLOOKUP(GroupVertices[[#This Row],[Vertex]],Vertices[],MATCH("ID",Vertices[[#Headers],[Vertex]:[Top Word Pairs in Comment by Salience]],0),FALSE)</f>
        <v>57</v>
      </c>
    </row>
    <row r="91" spans="1:3" ht="15">
      <c r="A91" s="79" t="s">
        <v>1035</v>
      </c>
      <c r="B91" s="114" t="s">
        <v>263</v>
      </c>
      <c r="C91" s="79">
        <f>VLOOKUP(GroupVertices[[#This Row],[Vertex]],Vertices[],MATCH("ID",Vertices[[#Headers],[Vertex]:[Top Word Pairs in Comment by Salience]],0),FALSE)</f>
        <v>56</v>
      </c>
    </row>
    <row r="92" spans="1:3" ht="15">
      <c r="A92" s="79" t="s">
        <v>1035</v>
      </c>
      <c r="B92" s="114" t="s">
        <v>262</v>
      </c>
      <c r="C92" s="79">
        <f>VLOOKUP(GroupVertices[[#This Row],[Vertex]],Vertices[],MATCH("ID",Vertices[[#Headers],[Vertex]:[Top Word Pairs in Comment by Salience]],0),FALSE)</f>
        <v>55</v>
      </c>
    </row>
    <row r="93" spans="1:3" ht="15">
      <c r="A93" s="79" t="s">
        <v>1035</v>
      </c>
      <c r="B93" s="114" t="s">
        <v>261</v>
      </c>
      <c r="C93" s="79">
        <f>VLOOKUP(GroupVertices[[#This Row],[Vertex]],Vertices[],MATCH("ID",Vertices[[#Headers],[Vertex]:[Top Word Pairs in Comment by Salience]],0),FALSE)</f>
        <v>54</v>
      </c>
    </row>
    <row r="94" spans="1:3" ht="15">
      <c r="A94" s="79" t="s">
        <v>1035</v>
      </c>
      <c r="B94" s="114" t="s">
        <v>260</v>
      </c>
      <c r="C94" s="79">
        <f>VLOOKUP(GroupVertices[[#This Row],[Vertex]],Vertices[],MATCH("ID",Vertices[[#Headers],[Vertex]:[Top Word Pairs in Comment by Salience]],0),FALSE)</f>
        <v>53</v>
      </c>
    </row>
    <row r="95" spans="1:3" ht="15">
      <c r="A95" s="79" t="s">
        <v>1035</v>
      </c>
      <c r="B95" s="114" t="s">
        <v>259</v>
      </c>
      <c r="C95" s="79">
        <f>VLOOKUP(GroupVertices[[#This Row],[Vertex]],Vertices[],MATCH("ID",Vertices[[#Headers],[Vertex]:[Top Word Pairs in Comment by Salience]],0),FALSE)</f>
        <v>52</v>
      </c>
    </row>
    <row r="96" spans="1:3" ht="15">
      <c r="A96" s="79" t="s">
        <v>1036</v>
      </c>
      <c r="B96" s="114" t="s">
        <v>275</v>
      </c>
      <c r="C96" s="79">
        <f>VLOOKUP(GroupVertices[[#This Row],[Vertex]],Vertices[],MATCH("ID",Vertices[[#Headers],[Vertex]:[Top Word Pairs in Comment by Salience]],0),FALSE)</f>
        <v>68</v>
      </c>
    </row>
    <row r="97" spans="1:3" ht="15">
      <c r="A97" s="79" t="s">
        <v>1036</v>
      </c>
      <c r="B97" s="114" t="s">
        <v>328</v>
      </c>
      <c r="C97" s="79">
        <f>VLOOKUP(GroupVertices[[#This Row],[Vertex]],Vertices[],MATCH("ID",Vertices[[#Headers],[Vertex]:[Top Word Pairs in Comment by Salience]],0),FALSE)</f>
        <v>19</v>
      </c>
    </row>
    <row r="98" spans="1:3" ht="15">
      <c r="A98" s="79" t="s">
        <v>1036</v>
      </c>
      <c r="B98" s="114" t="s">
        <v>272</v>
      </c>
      <c r="C98" s="79">
        <f>VLOOKUP(GroupVertices[[#This Row],[Vertex]],Vertices[],MATCH("ID",Vertices[[#Headers],[Vertex]:[Top Word Pairs in Comment by Salience]],0),FALSE)</f>
        <v>65</v>
      </c>
    </row>
    <row r="99" spans="1:3" ht="15">
      <c r="A99" s="79" t="s">
        <v>1036</v>
      </c>
      <c r="B99" s="114" t="s">
        <v>274</v>
      </c>
      <c r="C99" s="79">
        <f>VLOOKUP(GroupVertices[[#This Row],[Vertex]],Vertices[],MATCH("ID",Vertices[[#Headers],[Vertex]:[Top Word Pairs in Comment by Salience]],0),FALSE)</f>
        <v>67</v>
      </c>
    </row>
    <row r="100" spans="1:3" ht="15">
      <c r="A100" s="79" t="s">
        <v>1036</v>
      </c>
      <c r="B100" s="114" t="s">
        <v>273</v>
      </c>
      <c r="C100" s="79">
        <f>VLOOKUP(GroupVertices[[#This Row],[Vertex]],Vertices[],MATCH("ID",Vertices[[#Headers],[Vertex]:[Top Word Pairs in Comment by Salience]],0),FALSE)</f>
        <v>66</v>
      </c>
    </row>
    <row r="101" spans="1:3" ht="15">
      <c r="A101" s="79" t="s">
        <v>1036</v>
      </c>
      <c r="B101" s="114" t="s">
        <v>227</v>
      </c>
      <c r="C101" s="79">
        <f>VLOOKUP(GroupVertices[[#This Row],[Vertex]],Vertices[],MATCH("ID",Vertices[[#Headers],[Vertex]:[Top Word Pairs in Comment by Salience]],0),FALSE)</f>
        <v>18</v>
      </c>
    </row>
    <row r="102" spans="1:3" ht="15">
      <c r="A102" s="79" t="s">
        <v>1036</v>
      </c>
      <c r="B102" s="114" t="s">
        <v>226</v>
      </c>
      <c r="C102" s="79">
        <f>VLOOKUP(GroupVertices[[#This Row],[Vertex]],Vertices[],MATCH("ID",Vertices[[#Headers],[Vertex]:[Top Word Pairs in Comment by Salience]],0),FALSE)</f>
        <v>17</v>
      </c>
    </row>
    <row r="103" spans="1:3" ht="15">
      <c r="A103" s="79" t="s">
        <v>1037</v>
      </c>
      <c r="B103" s="114" t="s">
        <v>241</v>
      </c>
      <c r="C103" s="79">
        <f>VLOOKUP(GroupVertices[[#This Row],[Vertex]],Vertices[],MATCH("ID",Vertices[[#Headers],[Vertex]:[Top Word Pairs in Comment by Salience]],0),FALSE)</f>
        <v>33</v>
      </c>
    </row>
    <row r="104" spans="1:3" ht="15">
      <c r="A104" s="79" t="s">
        <v>1037</v>
      </c>
      <c r="B104" s="114" t="s">
        <v>238</v>
      </c>
      <c r="C104" s="79">
        <f>VLOOKUP(GroupVertices[[#This Row],[Vertex]],Vertices[],MATCH("ID",Vertices[[#Headers],[Vertex]:[Top Word Pairs in Comment by Salience]],0),FALSE)</f>
        <v>30</v>
      </c>
    </row>
    <row r="105" spans="1:3" ht="15">
      <c r="A105" s="79" t="s">
        <v>1037</v>
      </c>
      <c r="B105" s="114" t="s">
        <v>240</v>
      </c>
      <c r="C105" s="79">
        <f>VLOOKUP(GroupVertices[[#This Row],[Vertex]],Vertices[],MATCH("ID",Vertices[[#Headers],[Vertex]:[Top Word Pairs in Comment by Salience]],0),FALSE)</f>
        <v>32</v>
      </c>
    </row>
    <row r="106" spans="1:3" ht="15">
      <c r="A106" s="79" t="s">
        <v>1037</v>
      </c>
      <c r="B106" s="114" t="s">
        <v>239</v>
      </c>
      <c r="C106" s="79">
        <f>VLOOKUP(GroupVertices[[#This Row],[Vertex]],Vertices[],MATCH("ID",Vertices[[#Headers],[Vertex]:[Top Word Pairs in Comment by Salience]],0),FALSE)</f>
        <v>31</v>
      </c>
    </row>
    <row r="107" spans="1:3" ht="15">
      <c r="A107" s="79" t="s">
        <v>1037</v>
      </c>
      <c r="B107" s="114" t="s">
        <v>232</v>
      </c>
      <c r="C107" s="79">
        <f>VLOOKUP(GroupVertices[[#This Row],[Vertex]],Vertices[],MATCH("ID",Vertices[[#Headers],[Vertex]:[Top Word Pairs in Comment by Salience]],0),FALSE)</f>
        <v>24</v>
      </c>
    </row>
    <row r="108" spans="1:3" ht="15">
      <c r="A108" s="79" t="s">
        <v>1037</v>
      </c>
      <c r="B108" s="114" t="s">
        <v>233</v>
      </c>
      <c r="C108" s="79">
        <f>VLOOKUP(GroupVertices[[#This Row],[Vertex]],Vertices[],MATCH("ID",Vertices[[#Headers],[Vertex]:[Top Word Pairs in Comment by Salience]],0),FALSE)</f>
        <v>25</v>
      </c>
    </row>
    <row r="109" spans="1:3" ht="15">
      <c r="A109" s="79" t="s">
        <v>1037</v>
      </c>
      <c r="B109" s="114" t="s">
        <v>231</v>
      </c>
      <c r="C109" s="79">
        <f>VLOOKUP(GroupVertices[[#This Row],[Vertex]],Vertices[],MATCH("ID",Vertices[[#Headers],[Vertex]:[Top Word Pairs in Comment by Salience]],0),FALSE)</f>
        <v>23</v>
      </c>
    </row>
    <row r="110" spans="1:3" ht="15">
      <c r="A110" s="79" t="s">
        <v>1038</v>
      </c>
      <c r="B110" s="114" t="s">
        <v>257</v>
      </c>
      <c r="C110" s="79">
        <f>VLOOKUP(GroupVertices[[#This Row],[Vertex]],Vertices[],MATCH("ID",Vertices[[#Headers],[Vertex]:[Top Word Pairs in Comment by Salience]],0),FALSE)</f>
        <v>50</v>
      </c>
    </row>
    <row r="111" spans="1:3" ht="15">
      <c r="A111" s="79" t="s">
        <v>1038</v>
      </c>
      <c r="B111" s="114" t="s">
        <v>252</v>
      </c>
      <c r="C111" s="79">
        <f>VLOOKUP(GroupVertices[[#This Row],[Vertex]],Vertices[],MATCH("ID",Vertices[[#Headers],[Vertex]:[Top Word Pairs in Comment by Salience]],0),FALSE)</f>
        <v>45</v>
      </c>
    </row>
    <row r="112" spans="1:3" ht="15">
      <c r="A112" s="79" t="s">
        <v>1038</v>
      </c>
      <c r="B112" s="114" t="s">
        <v>256</v>
      </c>
      <c r="C112" s="79">
        <f>VLOOKUP(GroupVertices[[#This Row],[Vertex]],Vertices[],MATCH("ID",Vertices[[#Headers],[Vertex]:[Top Word Pairs in Comment by Salience]],0),FALSE)</f>
        <v>49</v>
      </c>
    </row>
    <row r="113" spans="1:3" ht="15">
      <c r="A113" s="79" t="s">
        <v>1038</v>
      </c>
      <c r="B113" s="114" t="s">
        <v>255</v>
      </c>
      <c r="C113" s="79">
        <f>VLOOKUP(GroupVertices[[#This Row],[Vertex]],Vertices[],MATCH("ID",Vertices[[#Headers],[Vertex]:[Top Word Pairs in Comment by Salience]],0),FALSE)</f>
        <v>48</v>
      </c>
    </row>
    <row r="114" spans="1:3" ht="15">
      <c r="A114" s="79" t="s">
        <v>1038</v>
      </c>
      <c r="B114" s="114" t="s">
        <v>254</v>
      </c>
      <c r="C114" s="79">
        <f>VLOOKUP(GroupVertices[[#This Row],[Vertex]],Vertices[],MATCH("ID",Vertices[[#Headers],[Vertex]:[Top Word Pairs in Comment by Salience]],0),FALSE)</f>
        <v>47</v>
      </c>
    </row>
    <row r="115" spans="1:3" ht="15">
      <c r="A115" s="79" t="s">
        <v>1038</v>
      </c>
      <c r="B115" s="114" t="s">
        <v>253</v>
      </c>
      <c r="C115" s="79">
        <f>VLOOKUP(GroupVertices[[#This Row],[Vertex]],Vertices[],MATCH("ID",Vertices[[#Headers],[Vertex]:[Top Word Pairs in Comment by Salience]],0),FALSE)</f>
        <v>46</v>
      </c>
    </row>
    <row r="116" spans="1:3" ht="15">
      <c r="A116" s="79" t="s">
        <v>1039</v>
      </c>
      <c r="B116" s="114" t="s">
        <v>290</v>
      </c>
      <c r="C116" s="79">
        <f>VLOOKUP(GroupVertices[[#This Row],[Vertex]],Vertices[],MATCH("ID",Vertices[[#Headers],[Vertex]:[Top Word Pairs in Comment by Salience]],0),FALSE)</f>
        <v>83</v>
      </c>
    </row>
    <row r="117" spans="1:3" ht="15">
      <c r="A117" s="79" t="s">
        <v>1039</v>
      </c>
      <c r="B117" s="114" t="s">
        <v>286</v>
      </c>
      <c r="C117" s="79">
        <f>VLOOKUP(GroupVertices[[#This Row],[Vertex]],Vertices[],MATCH("ID",Vertices[[#Headers],[Vertex]:[Top Word Pairs in Comment by Salience]],0),FALSE)</f>
        <v>79</v>
      </c>
    </row>
    <row r="118" spans="1:3" ht="15">
      <c r="A118" s="79" t="s">
        <v>1039</v>
      </c>
      <c r="B118" s="114" t="s">
        <v>289</v>
      </c>
      <c r="C118" s="79">
        <f>VLOOKUP(GroupVertices[[#This Row],[Vertex]],Vertices[],MATCH("ID",Vertices[[#Headers],[Vertex]:[Top Word Pairs in Comment by Salience]],0),FALSE)</f>
        <v>82</v>
      </c>
    </row>
    <row r="119" spans="1:3" ht="15">
      <c r="A119" s="79" t="s">
        <v>1039</v>
      </c>
      <c r="B119" s="114" t="s">
        <v>288</v>
      </c>
      <c r="C119" s="79">
        <f>VLOOKUP(GroupVertices[[#This Row],[Vertex]],Vertices[],MATCH("ID",Vertices[[#Headers],[Vertex]:[Top Word Pairs in Comment by Salience]],0),FALSE)</f>
        <v>81</v>
      </c>
    </row>
    <row r="120" spans="1:3" ht="15">
      <c r="A120" s="79" t="s">
        <v>1039</v>
      </c>
      <c r="B120" s="114" t="s">
        <v>287</v>
      </c>
      <c r="C120" s="79">
        <f>VLOOKUP(GroupVertices[[#This Row],[Vertex]],Vertices[],MATCH("ID",Vertices[[#Headers],[Vertex]:[Top Word Pairs in Comment by Salience]],0),FALSE)</f>
        <v>80</v>
      </c>
    </row>
    <row r="121" spans="1:3" ht="15">
      <c r="A121" s="79" t="s">
        <v>1040</v>
      </c>
      <c r="B121" s="114" t="s">
        <v>285</v>
      </c>
      <c r="C121" s="79">
        <f>VLOOKUP(GroupVertices[[#This Row],[Vertex]],Vertices[],MATCH("ID",Vertices[[#Headers],[Vertex]:[Top Word Pairs in Comment by Salience]],0),FALSE)</f>
        <v>78</v>
      </c>
    </row>
    <row r="122" spans="1:3" ht="15">
      <c r="A122" s="79" t="s">
        <v>1040</v>
      </c>
      <c r="B122" s="114" t="s">
        <v>281</v>
      </c>
      <c r="C122" s="79">
        <f>VLOOKUP(GroupVertices[[#This Row],[Vertex]],Vertices[],MATCH("ID",Vertices[[#Headers],[Vertex]:[Top Word Pairs in Comment by Salience]],0),FALSE)</f>
        <v>74</v>
      </c>
    </row>
    <row r="123" spans="1:3" ht="15">
      <c r="A123" s="79" t="s">
        <v>1040</v>
      </c>
      <c r="B123" s="114" t="s">
        <v>284</v>
      </c>
      <c r="C123" s="79">
        <f>VLOOKUP(GroupVertices[[#This Row],[Vertex]],Vertices[],MATCH("ID",Vertices[[#Headers],[Vertex]:[Top Word Pairs in Comment by Salience]],0),FALSE)</f>
        <v>77</v>
      </c>
    </row>
    <row r="124" spans="1:3" ht="15">
      <c r="A124" s="79" t="s">
        <v>1040</v>
      </c>
      <c r="B124" s="114" t="s">
        <v>283</v>
      </c>
      <c r="C124" s="79">
        <f>VLOOKUP(GroupVertices[[#This Row],[Vertex]],Vertices[],MATCH("ID",Vertices[[#Headers],[Vertex]:[Top Word Pairs in Comment by Salience]],0),FALSE)</f>
        <v>76</v>
      </c>
    </row>
    <row r="125" spans="1:3" ht="15">
      <c r="A125" s="79" t="s">
        <v>1040</v>
      </c>
      <c r="B125" s="114" t="s">
        <v>282</v>
      </c>
      <c r="C125" s="79">
        <f>VLOOKUP(GroupVertices[[#This Row],[Vertex]],Vertices[],MATCH("ID",Vertices[[#Headers],[Vertex]:[Top Word Pairs in Comment by Salience]],0),FALSE)</f>
        <v>75</v>
      </c>
    </row>
    <row r="126" spans="1:3" ht="15">
      <c r="A126" s="79" t="s">
        <v>1041</v>
      </c>
      <c r="B126" s="114" t="s">
        <v>251</v>
      </c>
      <c r="C126" s="79">
        <f>VLOOKUP(GroupVertices[[#This Row],[Vertex]],Vertices[],MATCH("ID",Vertices[[#Headers],[Vertex]:[Top Word Pairs in Comment by Salience]],0),FALSE)</f>
        <v>44</v>
      </c>
    </row>
    <row r="127" spans="1:3" ht="15">
      <c r="A127" s="79" t="s">
        <v>1041</v>
      </c>
      <c r="B127" s="114" t="s">
        <v>329</v>
      </c>
      <c r="C127" s="79">
        <f>VLOOKUP(GroupVertices[[#This Row],[Vertex]],Vertices[],MATCH("ID",Vertices[[#Headers],[Vertex]:[Top Word Pairs in Comment by Salience]],0),FALSE)</f>
        <v>42</v>
      </c>
    </row>
    <row r="128" spans="1:3" ht="15">
      <c r="A128" s="79" t="s">
        <v>1041</v>
      </c>
      <c r="B128" s="114" t="s">
        <v>250</v>
      </c>
      <c r="C128" s="79">
        <f>VLOOKUP(GroupVertices[[#This Row],[Vertex]],Vertices[],MATCH("ID",Vertices[[#Headers],[Vertex]:[Top Word Pairs in Comment by Salience]],0),FALSE)</f>
        <v>43</v>
      </c>
    </row>
    <row r="129" spans="1:3" ht="15">
      <c r="A129" s="79" t="s">
        <v>1041</v>
      </c>
      <c r="B129" s="114" t="s">
        <v>249</v>
      </c>
      <c r="C129" s="79">
        <f>VLOOKUP(GroupVertices[[#This Row],[Vertex]],Vertices[],MATCH("ID",Vertices[[#Headers],[Vertex]:[Top Word Pairs in Comment by Salience]],0),FALSE)</f>
        <v>41</v>
      </c>
    </row>
    <row r="130" spans="1:3" ht="15">
      <c r="A130" s="79" t="s">
        <v>1041</v>
      </c>
      <c r="B130" s="114" t="s">
        <v>248</v>
      </c>
      <c r="C130" s="79">
        <f>VLOOKUP(GroupVertices[[#This Row],[Vertex]],Vertices[],MATCH("ID",Vertices[[#Headers],[Vertex]:[Top Word Pairs in Comment by Salience]],0),FALSE)</f>
        <v>40</v>
      </c>
    </row>
    <row r="131" spans="1:3" ht="15">
      <c r="A131" s="79" t="s">
        <v>1042</v>
      </c>
      <c r="B131" s="114" t="s">
        <v>296</v>
      </c>
      <c r="C131" s="79">
        <f>VLOOKUP(GroupVertices[[#This Row],[Vertex]],Vertices[],MATCH("ID",Vertices[[#Headers],[Vertex]:[Top Word Pairs in Comment by Salience]],0),FALSE)</f>
        <v>89</v>
      </c>
    </row>
    <row r="132" spans="1:3" ht="15">
      <c r="A132" s="79" t="s">
        <v>1042</v>
      </c>
      <c r="B132" s="114" t="s">
        <v>293</v>
      </c>
      <c r="C132" s="79">
        <f>VLOOKUP(GroupVertices[[#This Row],[Vertex]],Vertices[],MATCH("ID",Vertices[[#Headers],[Vertex]:[Top Word Pairs in Comment by Salience]],0),FALSE)</f>
        <v>86</v>
      </c>
    </row>
    <row r="133" spans="1:3" ht="15">
      <c r="A133" s="79" t="s">
        <v>1042</v>
      </c>
      <c r="B133" s="114" t="s">
        <v>295</v>
      </c>
      <c r="C133" s="79">
        <f>VLOOKUP(GroupVertices[[#This Row],[Vertex]],Vertices[],MATCH("ID",Vertices[[#Headers],[Vertex]:[Top Word Pairs in Comment by Salience]],0),FALSE)</f>
        <v>88</v>
      </c>
    </row>
    <row r="134" spans="1:3" ht="15">
      <c r="A134" s="79" t="s">
        <v>1042</v>
      </c>
      <c r="B134" s="114" t="s">
        <v>294</v>
      </c>
      <c r="C134" s="79">
        <f>VLOOKUP(GroupVertices[[#This Row],[Vertex]],Vertices[],MATCH("ID",Vertices[[#Headers],[Vertex]:[Top Word Pairs in Comment by Salience]],0),FALSE)</f>
        <v>87</v>
      </c>
    </row>
    <row r="135" spans="1:3" ht="15">
      <c r="A135" s="79" t="s">
        <v>1043</v>
      </c>
      <c r="B135" s="114" t="s">
        <v>271</v>
      </c>
      <c r="C135" s="79">
        <f>VLOOKUP(GroupVertices[[#This Row],[Vertex]],Vertices[],MATCH("ID",Vertices[[#Headers],[Vertex]:[Top Word Pairs in Comment by Salience]],0),FALSE)</f>
        <v>64</v>
      </c>
    </row>
    <row r="136" spans="1:3" ht="15">
      <c r="A136" s="79" t="s">
        <v>1043</v>
      </c>
      <c r="B136" s="114" t="s">
        <v>269</v>
      </c>
      <c r="C136" s="79">
        <f>VLOOKUP(GroupVertices[[#This Row],[Vertex]],Vertices[],MATCH("ID",Vertices[[#Headers],[Vertex]:[Top Word Pairs in Comment by Salience]],0),FALSE)</f>
        <v>63</v>
      </c>
    </row>
    <row r="137" spans="1:3" ht="15">
      <c r="A137" s="79" t="s">
        <v>1043</v>
      </c>
      <c r="B137" s="114" t="s">
        <v>270</v>
      </c>
      <c r="C137" s="79">
        <f>VLOOKUP(GroupVertices[[#This Row],[Vertex]],Vertices[],MATCH("ID",Vertices[[#Headers],[Vertex]:[Top Word Pairs in Comment by Salience]],0),FALSE)</f>
        <v>62</v>
      </c>
    </row>
    <row r="138" spans="1:3" ht="15">
      <c r="A138" s="79" t="s">
        <v>1043</v>
      </c>
      <c r="B138" s="114" t="s">
        <v>268</v>
      </c>
      <c r="C138" s="79">
        <f>VLOOKUP(GroupVertices[[#This Row],[Vertex]],Vertices[],MATCH("ID",Vertices[[#Headers],[Vertex]:[Top Word Pairs in Comment by Salience]],0),FALSE)</f>
        <v>61</v>
      </c>
    </row>
    <row r="139" spans="1:3" ht="15">
      <c r="A139" s="79" t="s">
        <v>1044</v>
      </c>
      <c r="B139" s="114" t="s">
        <v>247</v>
      </c>
      <c r="C139" s="79">
        <f>VLOOKUP(GroupVertices[[#This Row],[Vertex]],Vertices[],MATCH("ID",Vertices[[#Headers],[Vertex]:[Top Word Pairs in Comment by Salience]],0),FALSE)</f>
        <v>39</v>
      </c>
    </row>
    <row r="140" spans="1:3" ht="15">
      <c r="A140" s="79" t="s">
        <v>1044</v>
      </c>
      <c r="B140" s="114" t="s">
        <v>244</v>
      </c>
      <c r="C140" s="79">
        <f>VLOOKUP(GroupVertices[[#This Row],[Vertex]],Vertices[],MATCH("ID",Vertices[[#Headers],[Vertex]:[Top Word Pairs in Comment by Salience]],0),FALSE)</f>
        <v>36</v>
      </c>
    </row>
    <row r="141" spans="1:3" ht="15">
      <c r="A141" s="79" t="s">
        <v>1044</v>
      </c>
      <c r="B141" s="114" t="s">
        <v>246</v>
      </c>
      <c r="C141" s="79">
        <f>VLOOKUP(GroupVertices[[#This Row],[Vertex]],Vertices[],MATCH("ID",Vertices[[#Headers],[Vertex]:[Top Word Pairs in Comment by Salience]],0),FALSE)</f>
        <v>38</v>
      </c>
    </row>
    <row r="142" spans="1:3" ht="15">
      <c r="A142" s="79" t="s">
        <v>1044</v>
      </c>
      <c r="B142" s="114" t="s">
        <v>245</v>
      </c>
      <c r="C142" s="79">
        <f>VLOOKUP(GroupVertices[[#This Row],[Vertex]],Vertices[],MATCH("ID",Vertices[[#Headers],[Vertex]:[Top Word Pairs in Comment by Salience]],0),FALSE)</f>
        <v>37</v>
      </c>
    </row>
    <row r="143" spans="1:3" ht="15">
      <c r="A143" s="79" t="s">
        <v>1045</v>
      </c>
      <c r="B143" s="114" t="s">
        <v>237</v>
      </c>
      <c r="C143" s="79">
        <f>VLOOKUP(GroupVertices[[#This Row],[Vertex]],Vertices[],MATCH("ID",Vertices[[#Headers],[Vertex]:[Top Word Pairs in Comment by Salience]],0),FALSE)</f>
        <v>29</v>
      </c>
    </row>
    <row r="144" spans="1:3" ht="15">
      <c r="A144" s="79" t="s">
        <v>1045</v>
      </c>
      <c r="B144" s="114" t="s">
        <v>234</v>
      </c>
      <c r="C144" s="79">
        <f>VLOOKUP(GroupVertices[[#This Row],[Vertex]],Vertices[],MATCH("ID",Vertices[[#Headers],[Vertex]:[Top Word Pairs in Comment by Salience]],0),FALSE)</f>
        <v>26</v>
      </c>
    </row>
    <row r="145" spans="1:3" ht="15">
      <c r="A145" s="79" t="s">
        <v>1045</v>
      </c>
      <c r="B145" s="114" t="s">
        <v>236</v>
      </c>
      <c r="C145" s="79">
        <f>VLOOKUP(GroupVertices[[#This Row],[Vertex]],Vertices[],MATCH("ID",Vertices[[#Headers],[Vertex]:[Top Word Pairs in Comment by Salience]],0),FALSE)</f>
        <v>28</v>
      </c>
    </row>
    <row r="146" spans="1:3" ht="15">
      <c r="A146" s="79" t="s">
        <v>1045</v>
      </c>
      <c r="B146" s="114" t="s">
        <v>235</v>
      </c>
      <c r="C146" s="79">
        <f>VLOOKUP(GroupVertices[[#This Row],[Vertex]],Vertices[],MATCH("ID",Vertices[[#Headers],[Vertex]:[Top Word Pairs in Comment by Salience]],0),FALSE)</f>
        <v>27</v>
      </c>
    </row>
    <row r="147" spans="1:3" ht="15">
      <c r="A147" s="79" t="s">
        <v>1046</v>
      </c>
      <c r="B147" s="114" t="s">
        <v>317</v>
      </c>
      <c r="C147" s="79">
        <f>VLOOKUP(GroupVertices[[#This Row],[Vertex]],Vertices[],MATCH("ID",Vertices[[#Headers],[Vertex]:[Top Word Pairs in Comment by Salience]],0),FALSE)</f>
        <v>110</v>
      </c>
    </row>
    <row r="148" spans="1:3" ht="15">
      <c r="A148" s="79" t="s">
        <v>1046</v>
      </c>
      <c r="B148" s="114" t="s">
        <v>316</v>
      </c>
      <c r="C148" s="79">
        <f>VLOOKUP(GroupVertices[[#This Row],[Vertex]],Vertices[],MATCH("ID",Vertices[[#Headers],[Vertex]:[Top Word Pairs in Comment by Salience]],0),FALSE)</f>
        <v>111</v>
      </c>
    </row>
    <row r="149" spans="1:3" ht="15">
      <c r="A149" s="79" t="s">
        <v>1046</v>
      </c>
      <c r="B149" s="114" t="s">
        <v>315</v>
      </c>
      <c r="C149" s="79">
        <f>VLOOKUP(GroupVertices[[#This Row],[Vertex]],Vertices[],MATCH("ID",Vertices[[#Headers],[Vertex]:[Top Word Pairs in Comment by Salience]],0),FALSE)</f>
        <v>109</v>
      </c>
    </row>
    <row r="150" spans="1:3" ht="15">
      <c r="A150" s="79" t="s">
        <v>1047</v>
      </c>
      <c r="B150" s="114" t="s">
        <v>314</v>
      </c>
      <c r="C150" s="79">
        <f>VLOOKUP(GroupVertices[[#This Row],[Vertex]],Vertices[],MATCH("ID",Vertices[[#Headers],[Vertex]:[Top Word Pairs in Comment by Salience]],0),FALSE)</f>
        <v>107</v>
      </c>
    </row>
    <row r="151" spans="1:3" ht="15">
      <c r="A151" s="79" t="s">
        <v>1047</v>
      </c>
      <c r="B151" s="114" t="s">
        <v>330</v>
      </c>
      <c r="C151" s="79">
        <f>VLOOKUP(GroupVertices[[#This Row],[Vertex]],Vertices[],MATCH("ID",Vertices[[#Headers],[Vertex]:[Top Word Pairs in Comment by Salience]],0),FALSE)</f>
        <v>108</v>
      </c>
    </row>
    <row r="152" spans="1:3" ht="15">
      <c r="A152" s="79" t="s">
        <v>1047</v>
      </c>
      <c r="B152" s="114" t="s">
        <v>313</v>
      </c>
      <c r="C152" s="79">
        <f>VLOOKUP(GroupVertices[[#This Row],[Vertex]],Vertices[],MATCH("ID",Vertices[[#Headers],[Vertex]:[Top Word Pairs in Comment by Salience]],0),FALSE)</f>
        <v>106</v>
      </c>
    </row>
    <row r="153" spans="1:3" ht="15">
      <c r="A153" s="79" t="s">
        <v>1048</v>
      </c>
      <c r="B153" s="114" t="s">
        <v>230</v>
      </c>
      <c r="C153" s="79">
        <f>VLOOKUP(GroupVertices[[#This Row],[Vertex]],Vertices[],MATCH("ID",Vertices[[#Headers],[Vertex]:[Top Word Pairs in Comment by Salience]],0),FALSE)</f>
        <v>22</v>
      </c>
    </row>
    <row r="154" spans="1:3" ht="15">
      <c r="A154" s="79" t="s">
        <v>1048</v>
      </c>
      <c r="B154" s="114" t="s">
        <v>228</v>
      </c>
      <c r="C154" s="79">
        <f>VLOOKUP(GroupVertices[[#This Row],[Vertex]],Vertices[],MATCH("ID",Vertices[[#Headers],[Vertex]:[Top Word Pairs in Comment by Salience]],0),FALSE)</f>
        <v>20</v>
      </c>
    </row>
    <row r="155" spans="1:3" ht="15">
      <c r="A155" s="79" t="s">
        <v>1048</v>
      </c>
      <c r="B155" s="114" t="s">
        <v>229</v>
      </c>
      <c r="C155" s="79">
        <f>VLOOKUP(GroupVertices[[#This Row],[Vertex]],Vertices[],MATCH("ID",Vertices[[#Headers],[Vertex]:[Top Word Pairs in Comment by Salience]],0),FALSE)</f>
        <v>21</v>
      </c>
    </row>
    <row r="156" spans="1:3" ht="15">
      <c r="A156" s="79" t="s">
        <v>1049</v>
      </c>
      <c r="B156" s="114" t="s">
        <v>312</v>
      </c>
      <c r="C156" s="79">
        <f>VLOOKUP(GroupVertices[[#This Row],[Vertex]],Vertices[],MATCH("ID",Vertices[[#Headers],[Vertex]:[Top Word Pairs in Comment by Salience]],0),FALSE)</f>
        <v>105</v>
      </c>
    </row>
    <row r="157" spans="1:3" ht="15">
      <c r="A157" s="79" t="s">
        <v>1049</v>
      </c>
      <c r="B157" s="114" t="s">
        <v>311</v>
      </c>
      <c r="C157" s="79">
        <f>VLOOKUP(GroupVertices[[#This Row],[Vertex]],Vertices[],MATCH("ID",Vertices[[#Headers],[Vertex]:[Top Word Pairs in Comment by Salience]],0),FALSE)</f>
        <v>104</v>
      </c>
    </row>
    <row r="158" spans="1:3" ht="15">
      <c r="A158" s="79" t="s">
        <v>1050</v>
      </c>
      <c r="B158" s="114" t="s">
        <v>292</v>
      </c>
      <c r="C158" s="79">
        <f>VLOOKUP(GroupVertices[[#This Row],[Vertex]],Vertices[],MATCH("ID",Vertices[[#Headers],[Vertex]:[Top Word Pairs in Comment by Salience]],0),FALSE)</f>
        <v>85</v>
      </c>
    </row>
    <row r="159" spans="1:3" ht="15">
      <c r="A159" s="79" t="s">
        <v>1050</v>
      </c>
      <c r="B159" s="114" t="s">
        <v>291</v>
      </c>
      <c r="C159" s="79">
        <f>VLOOKUP(GroupVertices[[#This Row],[Vertex]],Vertices[],MATCH("ID",Vertices[[#Headers],[Vertex]:[Top Word Pairs in Comment by Salience]],0),FALSE)</f>
        <v>84</v>
      </c>
    </row>
    <row r="160" spans="1:3" ht="15">
      <c r="A160" s="79" t="s">
        <v>1051</v>
      </c>
      <c r="B160" s="114" t="s">
        <v>277</v>
      </c>
      <c r="C160" s="79">
        <f>VLOOKUP(GroupVertices[[#This Row],[Vertex]],Vertices[],MATCH("ID",Vertices[[#Headers],[Vertex]:[Top Word Pairs in Comment by Salience]],0),FALSE)</f>
        <v>70</v>
      </c>
    </row>
    <row r="161" spans="1:3" ht="15">
      <c r="A161" s="79" t="s">
        <v>1051</v>
      </c>
      <c r="B161" s="114" t="s">
        <v>276</v>
      </c>
      <c r="C161" s="79">
        <f>VLOOKUP(GroupVertices[[#This Row],[Vertex]],Vertices[],MATCH("ID",Vertices[[#Headers],[Vertex]:[Top Word Pairs in Comment by Salience]],0),FALSE)</f>
        <v>69</v>
      </c>
    </row>
  </sheetData>
  <dataValidations count="3" xWindow="58" yWindow="226">
    <dataValidation allowBlank="1" showInputMessage="1" showErrorMessage="1" promptTitle="Group Name" prompt="Enter the name of the group.  The group name must also be entered on the Groups worksheet." sqref="A2:A161"/>
    <dataValidation allowBlank="1" showInputMessage="1" showErrorMessage="1" promptTitle="Vertex Name" prompt="Enter the name of a vertex to include in the group." sqref="B2:B161"/>
    <dataValidation allowBlank="1" showInputMessage="1" promptTitle="Vertex ID" prompt="This is the value of the hidden ID cell in the Vertices worksheet.  It gets filled in by the items on the NodeXL, Analysis, Groups menu." sqref="C2:C1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1423</v>
      </c>
      <c r="B2" s="34" t="s">
        <v>191</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133</v>
      </c>
      <c r="L2" s="37">
        <f>MIN(Vertices[Closeness Centrality])</f>
        <v>0</v>
      </c>
      <c r="M2" s="38">
        <f>COUNTIF(Vertices[Closeness Centrality],"&gt;= "&amp;L2)-COUNTIF(Vertices[Closeness Centrality],"&gt;="&amp;L3)</f>
        <v>41</v>
      </c>
      <c r="N2" s="37">
        <f>MIN(Vertices[Eigenvector Centrality])</f>
        <v>0</v>
      </c>
      <c r="O2" s="38">
        <f>COUNTIF(Vertices[Eigenvector Centrality],"&gt;= "&amp;N2)-COUNTIF(Vertices[Eigenvector Centrality],"&gt;="&amp;N3)</f>
        <v>146</v>
      </c>
      <c r="P2" s="37">
        <f>MIN(Vertices[PageRank])</f>
        <v>0</v>
      </c>
      <c r="Q2" s="38">
        <f>COUNTIF(Vertices[PageRank],"&gt;= "&amp;P2)-COUNTIF(Vertices[PageRank],"&gt;="&amp;P3)</f>
        <v>41</v>
      </c>
      <c r="R2" s="37">
        <f>MIN(Vertices[Clustering Coefficient])</f>
        <v>0</v>
      </c>
      <c r="S2" s="43">
        <f>COUNTIF(Vertices[Clustering Coefficient],"&gt;= "&amp;R2)-COUNTIF(Vertices[Clustering Coefficient],"&gt;="&amp;R3)</f>
        <v>152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0"/>
      <c r="B3" s="120"/>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0.22916666666666666</v>
      </c>
      <c r="I3" s="40">
        <f>COUNTIF(Vertices[Out-Degree],"&gt;= "&amp;H3)-COUNTIF(Vertices[Out-Degree],"&gt;="&amp;H4)</f>
        <v>0</v>
      </c>
      <c r="J3" s="39">
        <f aca="true" t="shared" si="4" ref="J3:J26">J2+($J$50-$J$2)/BinDivisor</f>
        <v>3.125</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24</v>
      </c>
      <c r="N3" s="39">
        <f aca="true" t="shared" si="6" ref="N3:N26">N2+($N$50-$N$2)/BinDivisor</f>
        <v>0.004310354166666666</v>
      </c>
      <c r="O3" s="40">
        <f>COUNTIF(Vertices[Eigenvector Centrality],"&gt;= "&amp;N3)-COUNTIF(Vertices[Eigenvector Centrality],"&gt;="&amp;N4)</f>
        <v>0</v>
      </c>
      <c r="P3" s="39">
        <f aca="true" t="shared" si="7" ref="P3:P26">P2+($P$50-$P$2)/BinDivisor</f>
        <v>0.10969929166666666</v>
      </c>
      <c r="Q3" s="40">
        <f>COUNTIF(Vertices[PageRank],"&gt;= "&amp;P3)-COUNTIF(Vertices[PageRank],"&gt;="&amp;P4)</f>
        <v>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160</v>
      </c>
      <c r="D4" s="32">
        <f t="shared" si="1"/>
        <v>0</v>
      </c>
      <c r="E4" s="3">
        <f>COUNTIF(Vertices[Degree],"&gt;= "&amp;D4)-COUNTIF(Vertices[Degree],"&gt;="&amp;D5)</f>
        <v>0</v>
      </c>
      <c r="F4" s="37">
        <f t="shared" si="2"/>
        <v>0.4583333333333333</v>
      </c>
      <c r="G4" s="38">
        <f>COUNTIF(Vertices[In-Degree],"&gt;= "&amp;F4)-COUNTIF(Vertices[In-Degree],"&gt;="&amp;F5)</f>
        <v>0</v>
      </c>
      <c r="H4" s="37">
        <f t="shared" si="3"/>
        <v>0.4583333333333333</v>
      </c>
      <c r="I4" s="38">
        <f>COUNTIF(Vertices[Out-Degree],"&gt;= "&amp;H4)-COUNTIF(Vertices[Out-Degree],"&gt;="&amp;H5)</f>
        <v>0</v>
      </c>
      <c r="J4" s="37">
        <f t="shared" si="4"/>
        <v>6.25</v>
      </c>
      <c r="K4" s="38">
        <f>COUNTIF(Vertices[Betweenness Centrality],"&gt;= "&amp;J4)-COUNTIF(Vertices[Betweenness Centrality],"&gt;="&amp;J5)</f>
        <v>1</v>
      </c>
      <c r="L4" s="37">
        <f t="shared" si="5"/>
        <v>0.041666666666666664</v>
      </c>
      <c r="M4" s="38">
        <f>COUNTIF(Vertices[Closeness Centrality],"&gt;= "&amp;L4)-COUNTIF(Vertices[Closeness Centrality],"&gt;="&amp;L5)</f>
        <v>12</v>
      </c>
      <c r="N4" s="37">
        <f t="shared" si="6"/>
        <v>0.008620708333333333</v>
      </c>
      <c r="O4" s="38">
        <f>COUNTIF(Vertices[Eigenvector Centrality],"&gt;= "&amp;N4)-COUNTIF(Vertices[Eigenvector Centrality],"&gt;="&amp;N5)</f>
        <v>0</v>
      </c>
      <c r="P4" s="37">
        <f t="shared" si="7"/>
        <v>0.2193985833333333</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0.6875</v>
      </c>
      <c r="G5" s="40">
        <f>COUNTIF(Vertices[In-Degree],"&gt;= "&amp;F5)-COUNTIF(Vertices[In-Degree],"&gt;="&amp;F6)</f>
        <v>0</v>
      </c>
      <c r="H5" s="39">
        <f t="shared" si="3"/>
        <v>0.6875</v>
      </c>
      <c r="I5" s="40">
        <f>COUNTIF(Vertices[Out-Degree],"&gt;= "&amp;H5)-COUNTIF(Vertices[Out-Degree],"&gt;="&amp;H6)</f>
        <v>0</v>
      </c>
      <c r="J5" s="39">
        <f t="shared" si="4"/>
        <v>9.375</v>
      </c>
      <c r="K5" s="40">
        <f>COUNTIF(Vertices[Betweenness Centrality],"&gt;= "&amp;J5)-COUNTIF(Vertices[Betweenness Centrality],"&gt;="&amp;J6)</f>
        <v>4</v>
      </c>
      <c r="L5" s="39">
        <f t="shared" si="5"/>
        <v>0.0625</v>
      </c>
      <c r="M5" s="40">
        <f>COUNTIF(Vertices[Closeness Centrality],"&gt;= "&amp;L5)-COUNTIF(Vertices[Closeness Centrality],"&gt;="&amp;L6)</f>
        <v>21</v>
      </c>
      <c r="N5" s="39">
        <f t="shared" si="6"/>
        <v>0.0129310625</v>
      </c>
      <c r="O5" s="40">
        <f>COUNTIF(Vertices[Eigenvector Centrality],"&gt;= "&amp;N5)-COUNTIF(Vertices[Eigenvector Centrality],"&gt;="&amp;N6)</f>
        <v>0</v>
      </c>
      <c r="P5" s="39">
        <f t="shared" si="7"/>
        <v>0.329097875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173</v>
      </c>
      <c r="D6" s="32">
        <f t="shared" si="1"/>
        <v>0</v>
      </c>
      <c r="E6" s="3">
        <f>COUNTIF(Vertices[Degree],"&gt;= "&amp;D6)-COUNTIF(Vertices[Degree],"&gt;="&amp;D7)</f>
        <v>0</v>
      </c>
      <c r="F6" s="37">
        <f t="shared" si="2"/>
        <v>0.9166666666666666</v>
      </c>
      <c r="G6" s="38">
        <f>COUNTIF(Vertices[In-Degree],"&gt;= "&amp;F6)-COUNTIF(Vertices[In-Degree],"&gt;="&amp;F7)</f>
        <v>71</v>
      </c>
      <c r="H6" s="37">
        <f t="shared" si="3"/>
        <v>0.9166666666666666</v>
      </c>
      <c r="I6" s="38">
        <f>COUNTIF(Vertices[Out-Degree],"&gt;= "&amp;H6)-COUNTIF(Vertices[Out-Degree],"&gt;="&amp;H7)</f>
        <v>82</v>
      </c>
      <c r="J6" s="37">
        <f t="shared" si="4"/>
        <v>12.5</v>
      </c>
      <c r="K6" s="38">
        <f>COUNTIF(Vertices[Betweenness Centrality],"&gt;= "&amp;J6)-COUNTIF(Vertices[Betweenness Centrality],"&gt;="&amp;J7)</f>
        <v>0</v>
      </c>
      <c r="L6" s="37">
        <f t="shared" si="5"/>
        <v>0.08333333333333333</v>
      </c>
      <c r="M6" s="38">
        <f>COUNTIF(Vertices[Closeness Centrality],"&gt;= "&amp;L6)-COUNTIF(Vertices[Closeness Centrality],"&gt;="&amp;L7)</f>
        <v>8</v>
      </c>
      <c r="N6" s="37">
        <f t="shared" si="6"/>
        <v>0.017241416666666665</v>
      </c>
      <c r="O6" s="38">
        <f>COUNTIF(Vertices[Eigenvector Centrality],"&gt;= "&amp;N6)-COUNTIF(Vertices[Eigenvector Centrality],"&gt;="&amp;N7)</f>
        <v>2</v>
      </c>
      <c r="P6" s="37">
        <f t="shared" si="7"/>
        <v>0.4387971666666666</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49</v>
      </c>
      <c r="D7" s="32">
        <f t="shared" si="1"/>
        <v>0</v>
      </c>
      <c r="E7" s="3">
        <f>COUNTIF(Vertices[Degree],"&gt;= "&amp;D7)-COUNTIF(Vertices[Degree],"&gt;="&amp;D8)</f>
        <v>0</v>
      </c>
      <c r="F7" s="39">
        <f t="shared" si="2"/>
        <v>1.1458333333333333</v>
      </c>
      <c r="G7" s="40">
        <f>COUNTIF(Vertices[In-Degree],"&gt;= "&amp;F7)-COUNTIF(Vertices[In-Degree],"&gt;="&amp;F8)</f>
        <v>0</v>
      </c>
      <c r="H7" s="39">
        <f t="shared" si="3"/>
        <v>1.1458333333333333</v>
      </c>
      <c r="I7" s="40">
        <f>COUNTIF(Vertices[Out-Degree],"&gt;= "&amp;H7)-COUNTIF(Vertices[Out-Degree],"&gt;="&amp;H8)</f>
        <v>0</v>
      </c>
      <c r="J7" s="39">
        <f t="shared" si="4"/>
        <v>15.625</v>
      </c>
      <c r="K7" s="40">
        <f>COUNTIF(Vertices[Betweenness Centrality],"&gt;= "&amp;J7)-COUNTIF(Vertices[Betweenness Centrality],"&gt;="&amp;J8)</f>
        <v>2</v>
      </c>
      <c r="L7" s="39">
        <f t="shared" si="5"/>
        <v>0.10416666666666666</v>
      </c>
      <c r="M7" s="40">
        <f>COUNTIF(Vertices[Closeness Centrality],"&gt;= "&amp;L7)-COUNTIF(Vertices[Closeness Centrality],"&gt;="&amp;L8)</f>
        <v>6</v>
      </c>
      <c r="N7" s="39">
        <f t="shared" si="6"/>
        <v>0.02155177083333333</v>
      </c>
      <c r="O7" s="40">
        <f>COUNTIF(Vertices[Eigenvector Centrality],"&gt;= "&amp;N7)-COUNTIF(Vertices[Eigenvector Centrality],"&gt;="&amp;N8)</f>
        <v>0</v>
      </c>
      <c r="P7" s="39">
        <f t="shared" si="7"/>
        <v>0.5484964583333333</v>
      </c>
      <c r="Q7" s="40">
        <f>COUNTIF(Vertices[PageRank],"&gt;= "&amp;P7)-COUNTIF(Vertices[PageRank],"&gt;="&amp;P8)</f>
        <v>44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222</v>
      </c>
      <c r="D8" s="32">
        <f t="shared" si="1"/>
        <v>0</v>
      </c>
      <c r="E8" s="3">
        <f>COUNTIF(Vertices[Degree],"&gt;= "&amp;D8)-COUNTIF(Vertices[Degree],"&gt;="&amp;D9)</f>
        <v>0</v>
      </c>
      <c r="F8" s="37">
        <f t="shared" si="2"/>
        <v>1.375</v>
      </c>
      <c r="G8" s="38">
        <f>COUNTIF(Vertices[In-Degree],"&gt;= "&amp;F8)-COUNTIF(Vertices[In-Degree],"&gt;="&amp;F9)</f>
        <v>0</v>
      </c>
      <c r="H8" s="37">
        <f t="shared" si="3"/>
        <v>1.375</v>
      </c>
      <c r="I8" s="38">
        <f>COUNTIF(Vertices[Out-Degree],"&gt;= "&amp;H8)-COUNTIF(Vertices[Out-Degree],"&gt;="&amp;H9)</f>
        <v>0</v>
      </c>
      <c r="J8" s="37">
        <f t="shared" si="4"/>
        <v>18.75</v>
      </c>
      <c r="K8" s="38">
        <f>COUNTIF(Vertices[Betweenness Centrality],"&gt;= "&amp;J8)-COUNTIF(Vertices[Betweenness Centrality],"&gt;="&amp;J9)</f>
        <v>2</v>
      </c>
      <c r="L8" s="37">
        <f t="shared" si="5"/>
        <v>0.12499999999999999</v>
      </c>
      <c r="M8" s="38">
        <f>COUNTIF(Vertices[Closeness Centrality],"&gt;= "&amp;L8)-COUNTIF(Vertices[Closeness Centrality],"&gt;="&amp;L9)</f>
        <v>13</v>
      </c>
      <c r="N8" s="37">
        <f t="shared" si="6"/>
        <v>0.025862124999999996</v>
      </c>
      <c r="O8" s="38">
        <f>COUNTIF(Vertices[Eigenvector Centrality],"&gt;= "&amp;N8)-COUNTIF(Vertices[Eigenvector Centrality],"&gt;="&amp;N9)</f>
        <v>0</v>
      </c>
      <c r="P8" s="37">
        <f t="shared" si="7"/>
        <v>0.65819575</v>
      </c>
      <c r="Q8" s="38">
        <f>COUNTIF(Vertices[PageRank],"&gt;= "&amp;P8)-COUNTIF(Vertices[PageRank],"&gt;="&amp;P9)</f>
        <v>11</v>
      </c>
      <c r="R8" s="37">
        <f t="shared" si="8"/>
        <v>0.12499999999999999</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1.6041666666666667</v>
      </c>
      <c r="G9" s="40">
        <f>COUNTIF(Vertices[In-Degree],"&gt;= "&amp;F9)-COUNTIF(Vertices[In-Degree],"&gt;="&amp;F10)</f>
        <v>0</v>
      </c>
      <c r="H9" s="39">
        <f t="shared" si="3"/>
        <v>1.6041666666666667</v>
      </c>
      <c r="I9" s="40">
        <f>COUNTIF(Vertices[Out-Degree],"&gt;= "&amp;H9)-COUNTIF(Vertices[Out-Degree],"&gt;="&amp;H10)</f>
        <v>0</v>
      </c>
      <c r="J9" s="39">
        <f t="shared" si="4"/>
        <v>21.875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0.03017247916666666</v>
      </c>
      <c r="O9" s="40">
        <f>COUNTIF(Vertices[Eigenvector Centrality],"&gt;= "&amp;N9)-COUNTIF(Vertices[Eigenvector Centrality],"&gt;="&amp;N10)</f>
        <v>0</v>
      </c>
      <c r="P9" s="39">
        <f t="shared" si="7"/>
        <v>0.7678950416666667</v>
      </c>
      <c r="Q9" s="40">
        <f>COUNTIF(Vertices[PageRank],"&gt;= "&amp;P9)-COUNTIF(Vertices[PageRank],"&gt;="&amp;P10)</f>
        <v>7</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1424</v>
      </c>
      <c r="B10" s="34">
        <v>2</v>
      </c>
      <c r="D10" s="32">
        <f t="shared" si="1"/>
        <v>0</v>
      </c>
      <c r="E10" s="3">
        <f>COUNTIF(Vertices[Degree],"&gt;= "&amp;D10)-COUNTIF(Vertices[Degree],"&gt;="&amp;D11)</f>
        <v>0</v>
      </c>
      <c r="F10" s="37">
        <f t="shared" si="2"/>
        <v>1.8333333333333335</v>
      </c>
      <c r="G10" s="38">
        <f>COUNTIF(Vertices[In-Degree],"&gt;= "&amp;F10)-COUNTIF(Vertices[In-Degree],"&gt;="&amp;F11)</f>
        <v>18</v>
      </c>
      <c r="H10" s="37">
        <f t="shared" si="3"/>
        <v>1.8333333333333335</v>
      </c>
      <c r="I10" s="38">
        <f>COUNTIF(Vertices[Out-Degree],"&gt;= "&amp;H10)-COUNTIF(Vertices[Out-Degree],"&gt;="&amp;H11)</f>
        <v>17</v>
      </c>
      <c r="J10" s="37">
        <f t="shared" si="4"/>
        <v>25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0.03448283333333333</v>
      </c>
      <c r="O10" s="38">
        <f>COUNTIF(Vertices[Eigenvector Centrality],"&gt;= "&amp;N10)-COUNTIF(Vertices[Eigenvector Centrality],"&gt;="&amp;N11)</f>
        <v>0</v>
      </c>
      <c r="P10" s="37">
        <f t="shared" si="7"/>
        <v>0.8775943333333334</v>
      </c>
      <c r="Q10" s="38">
        <f>COUNTIF(Vertices[PageRank],"&gt;= "&amp;P10)-COUNTIF(Vertices[PageRank],"&gt;="&amp;P11)</f>
        <v>10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0"/>
      <c r="B11" s="120"/>
      <c r="D11" s="32">
        <f t="shared" si="1"/>
        <v>0</v>
      </c>
      <c r="E11" s="3">
        <f>COUNTIF(Vertices[Degree],"&gt;= "&amp;D11)-COUNTIF(Vertices[Degree],"&gt;="&amp;D12)</f>
        <v>0</v>
      </c>
      <c r="F11" s="39">
        <f t="shared" si="2"/>
        <v>2.0625</v>
      </c>
      <c r="G11" s="40">
        <f>COUNTIF(Vertices[In-Degree],"&gt;= "&amp;F11)-COUNTIF(Vertices[In-Degree],"&gt;="&amp;F12)</f>
        <v>0</v>
      </c>
      <c r="H11" s="39">
        <f t="shared" si="3"/>
        <v>2.0625</v>
      </c>
      <c r="I11" s="40">
        <f>COUNTIF(Vertices[Out-Degree],"&gt;= "&amp;H11)-COUNTIF(Vertices[Out-Degree],"&gt;="&amp;H12)</f>
        <v>0</v>
      </c>
      <c r="J11" s="39">
        <f t="shared" si="4"/>
        <v>28.125</v>
      </c>
      <c r="K11" s="40">
        <f>COUNTIF(Vertices[Betweenness Centrality],"&gt;= "&amp;J11)-COUNTIF(Vertices[Betweenness Centrality],"&gt;="&amp;J12)</f>
        <v>0</v>
      </c>
      <c r="L11" s="39">
        <f t="shared" si="5"/>
        <v>0.1875</v>
      </c>
      <c r="M11" s="40">
        <f>COUNTIF(Vertices[Closeness Centrality],"&gt;= "&amp;L11)-COUNTIF(Vertices[Closeness Centrality],"&gt;="&amp;L12)</f>
        <v>10</v>
      </c>
      <c r="N11" s="39">
        <f t="shared" si="6"/>
        <v>0.0387931875</v>
      </c>
      <c r="O11" s="40">
        <f>COUNTIF(Vertices[Eigenvector Centrality],"&gt;= "&amp;N11)-COUNTIF(Vertices[Eigenvector Centrality],"&gt;="&amp;N12)</f>
        <v>0</v>
      </c>
      <c r="P11" s="39">
        <f t="shared" si="7"/>
        <v>0.9872936250000001</v>
      </c>
      <c r="Q11" s="40">
        <f>COUNTIF(Vertices[PageRank],"&gt;= "&amp;P11)-COUNTIF(Vertices[PageRank],"&gt;="&amp;P12)</f>
        <v>10</v>
      </c>
      <c r="R11" s="39">
        <f t="shared" si="8"/>
        <v>0.1875</v>
      </c>
      <c r="S11" s="44">
        <f>COUNTIF(Vertices[Clustering Coefficient],"&gt;= "&amp;R11)-COUNTIF(Vertices[Clustering Coefficient],"&gt;="&amp;R12)</f>
        <v>0</v>
      </c>
      <c r="T11" s="39" t="e">
        <f ca="1" t="shared" si="9"/>
        <v>#REF!</v>
      </c>
      <c r="U11" s="40" t="e">
        <f ca="1" t="shared" si="0"/>
        <v>#REF!</v>
      </c>
    </row>
    <row r="12" spans="1:21" ht="15">
      <c r="A12" s="34" t="s">
        <v>333</v>
      </c>
      <c r="B12" s="34">
        <v>128</v>
      </c>
      <c r="D12" s="32">
        <f t="shared" si="1"/>
        <v>0</v>
      </c>
      <c r="E12" s="3">
        <f>COUNTIF(Vertices[Degree],"&gt;= "&amp;D12)-COUNTIF(Vertices[Degree],"&gt;="&amp;D13)</f>
        <v>0</v>
      </c>
      <c r="F12" s="37">
        <f t="shared" si="2"/>
        <v>2.2916666666666665</v>
      </c>
      <c r="G12" s="38">
        <f>COUNTIF(Vertices[In-Degree],"&gt;= "&amp;F12)-COUNTIF(Vertices[In-Degree],"&gt;="&amp;F13)</f>
        <v>0</v>
      </c>
      <c r="H12" s="37">
        <f t="shared" si="3"/>
        <v>2.2916666666666665</v>
      </c>
      <c r="I12" s="38">
        <f>COUNTIF(Vertices[Out-Degree],"&gt;= "&amp;H12)-COUNTIF(Vertices[Out-Degree],"&gt;="&amp;H13)</f>
        <v>0</v>
      </c>
      <c r="J12" s="37">
        <f t="shared" si="4"/>
        <v>31.25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0.04310354166666667</v>
      </c>
      <c r="O12" s="38">
        <f>COUNTIF(Vertices[Eigenvector Centrality],"&gt;= "&amp;N12)-COUNTIF(Vertices[Eigenvector Centrality],"&gt;="&amp;N13)</f>
        <v>0</v>
      </c>
      <c r="P12" s="37">
        <f t="shared" si="7"/>
        <v>1.0969929166666668</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198</v>
      </c>
      <c r="B13" s="34">
        <v>94</v>
      </c>
      <c r="D13" s="32">
        <f t="shared" si="1"/>
        <v>0</v>
      </c>
      <c r="E13" s="3">
        <f>COUNTIF(Vertices[Degree],"&gt;= "&amp;D13)-COUNTIF(Vertices[Degree],"&gt;="&amp;D14)</f>
        <v>0</v>
      </c>
      <c r="F13" s="39">
        <f t="shared" si="2"/>
        <v>2.520833333333333</v>
      </c>
      <c r="G13" s="40">
        <f>COUNTIF(Vertices[In-Degree],"&gt;= "&amp;F13)-COUNTIF(Vertices[In-Degree],"&gt;="&amp;F14)</f>
        <v>0</v>
      </c>
      <c r="H13" s="39">
        <f t="shared" si="3"/>
        <v>2.520833333333333</v>
      </c>
      <c r="I13" s="40">
        <f>COUNTIF(Vertices[Out-Degree],"&gt;= "&amp;H13)-COUNTIF(Vertices[Out-Degree],"&gt;="&amp;H14)</f>
        <v>0</v>
      </c>
      <c r="J13" s="39">
        <f t="shared" si="4"/>
        <v>34.375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0.04741389583333334</v>
      </c>
      <c r="O13" s="40">
        <f>COUNTIF(Vertices[Eigenvector Centrality],"&gt;= "&amp;N13)-COUNTIF(Vertices[Eigenvector Centrality],"&gt;="&amp;N14)</f>
        <v>0</v>
      </c>
      <c r="P13" s="39">
        <f t="shared" si="7"/>
        <v>1.2066922083333333</v>
      </c>
      <c r="Q13" s="40">
        <f>COUNTIF(Vertices[PageRank],"&gt;= "&amp;P13)-COUNTIF(Vertices[PageRank],"&gt;="&amp;P14)</f>
        <v>6</v>
      </c>
      <c r="R13" s="39">
        <f t="shared" si="8"/>
        <v>0.22916666666666669</v>
      </c>
      <c r="S13" s="44">
        <f>COUNTIF(Vertices[Clustering Coefficient],"&gt;= "&amp;R13)-COUNTIF(Vertices[Clustering Coefficient],"&gt;="&amp;R14)</f>
        <v>0</v>
      </c>
      <c r="T13" s="39" t="e">
        <f ca="1" t="shared" si="9"/>
        <v>#REF!</v>
      </c>
      <c r="U13" s="40" t="e">
        <f ca="1" t="shared" si="0"/>
        <v>#REF!</v>
      </c>
    </row>
    <row r="14" spans="1:21" ht="15">
      <c r="A14" s="120"/>
      <c r="B14" s="120"/>
      <c r="D14" s="32">
        <f t="shared" si="1"/>
        <v>0</v>
      </c>
      <c r="E14" s="3">
        <f>COUNTIF(Vertices[Degree],"&gt;= "&amp;D14)-COUNTIF(Vertices[Degree],"&gt;="&amp;D15)</f>
        <v>0</v>
      </c>
      <c r="F14" s="37">
        <f t="shared" si="2"/>
        <v>2.7499999999999996</v>
      </c>
      <c r="G14" s="38">
        <f>COUNTIF(Vertices[In-Degree],"&gt;= "&amp;F14)-COUNTIF(Vertices[In-Degree],"&gt;="&amp;F15)</f>
        <v>0</v>
      </c>
      <c r="H14" s="37">
        <f t="shared" si="3"/>
        <v>2.7499999999999996</v>
      </c>
      <c r="I14" s="38">
        <f>COUNTIF(Vertices[Out-Degree],"&gt;= "&amp;H14)-COUNTIF(Vertices[Out-Degree],"&gt;="&amp;H15)</f>
        <v>0</v>
      </c>
      <c r="J14" s="37">
        <f t="shared" si="4"/>
        <v>37.5</v>
      </c>
      <c r="K14" s="38">
        <f>COUNTIF(Vertices[Betweenness Centrality],"&gt;= "&amp;J14)-COUNTIF(Vertices[Betweenness Centrality],"&gt;="&amp;J15)</f>
        <v>2</v>
      </c>
      <c r="L14" s="37">
        <f t="shared" si="5"/>
        <v>0.25</v>
      </c>
      <c r="M14" s="38">
        <f>COUNTIF(Vertices[Closeness Centrality],"&gt;= "&amp;L14)-COUNTIF(Vertices[Closeness Centrality],"&gt;="&amp;L15)</f>
        <v>4</v>
      </c>
      <c r="N14" s="37">
        <f t="shared" si="6"/>
        <v>0.051724250000000006</v>
      </c>
      <c r="O14" s="38">
        <f>COUNTIF(Vertices[Eigenvector Centrality],"&gt;= "&amp;N14)-COUNTIF(Vertices[Eigenvector Centrality],"&gt;="&amp;N15)</f>
        <v>0</v>
      </c>
      <c r="P14" s="37">
        <f t="shared" si="7"/>
        <v>1.3163915</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151</v>
      </c>
      <c r="B15" s="34">
        <v>15</v>
      </c>
      <c r="D15" s="32">
        <f t="shared" si="1"/>
        <v>0</v>
      </c>
      <c r="E15" s="3">
        <f>COUNTIF(Vertices[Degree],"&gt;= "&amp;D15)-COUNTIF(Vertices[Degree],"&gt;="&amp;D16)</f>
        <v>0</v>
      </c>
      <c r="F15" s="39">
        <f t="shared" si="2"/>
        <v>2.979166666666666</v>
      </c>
      <c r="G15" s="40">
        <f>COUNTIF(Vertices[In-Degree],"&gt;= "&amp;F15)-COUNTIF(Vertices[In-Degree],"&gt;="&amp;F16)</f>
        <v>8</v>
      </c>
      <c r="H15" s="39">
        <f t="shared" si="3"/>
        <v>2.979166666666666</v>
      </c>
      <c r="I15" s="40">
        <f>COUNTIF(Vertices[Out-Degree],"&gt;= "&amp;H15)-COUNTIF(Vertices[Out-Degree],"&gt;="&amp;H16)</f>
        <v>8</v>
      </c>
      <c r="J15" s="39">
        <f t="shared" si="4"/>
        <v>40.625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0.056034604166666675</v>
      </c>
      <c r="O15" s="40">
        <f>COUNTIF(Vertices[Eigenvector Centrality],"&gt;= "&amp;N15)-COUNTIF(Vertices[Eigenvector Centrality],"&gt;="&amp;N16)</f>
        <v>0</v>
      </c>
      <c r="P15" s="39">
        <f t="shared" si="7"/>
        <v>1.4260907916666665</v>
      </c>
      <c r="Q15" s="40">
        <f>COUNTIF(Vertices[PageRank],"&gt;= "&amp;P15)-COUNTIF(Vertices[PageRank],"&gt;="&amp;P16)</f>
        <v>4</v>
      </c>
      <c r="R15" s="39">
        <f t="shared" si="8"/>
        <v>0.2708333333333333</v>
      </c>
      <c r="S15" s="44">
        <f>COUNTIF(Vertices[Clustering Coefficient],"&gt;= "&amp;R15)-COUNTIF(Vertices[Clustering Coefficient],"&gt;="&amp;R16)</f>
        <v>0</v>
      </c>
      <c r="T15" s="39" t="e">
        <f ca="1" t="shared" si="9"/>
        <v>#REF!</v>
      </c>
      <c r="U15" s="40" t="e">
        <f ca="1" t="shared" si="0"/>
        <v>#REF!</v>
      </c>
    </row>
    <row r="16" spans="1:21" ht="15">
      <c r="A16" s="120"/>
      <c r="B16" s="120"/>
      <c r="D16" s="32">
        <f t="shared" si="1"/>
        <v>0</v>
      </c>
      <c r="E16" s="3">
        <f>COUNTIF(Vertices[Degree],"&gt;= "&amp;D16)-COUNTIF(Vertices[Degree],"&gt;="&amp;D17)</f>
        <v>0</v>
      </c>
      <c r="F16" s="37">
        <f t="shared" si="2"/>
        <v>3.2083333333333326</v>
      </c>
      <c r="G16" s="38">
        <f>COUNTIF(Vertices[In-Degree],"&gt;= "&amp;F16)-COUNTIF(Vertices[In-Degree],"&gt;="&amp;F17)</f>
        <v>0</v>
      </c>
      <c r="H16" s="37">
        <f t="shared" si="3"/>
        <v>3.2083333333333326</v>
      </c>
      <c r="I16" s="38">
        <f>COUNTIF(Vertices[Out-Degree],"&gt;= "&amp;H16)-COUNTIF(Vertices[Out-Degree],"&gt;="&amp;H17)</f>
        <v>0</v>
      </c>
      <c r="J16" s="37">
        <f t="shared" si="4"/>
        <v>43.75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0.060344958333333344</v>
      </c>
      <c r="O16" s="38">
        <f>COUNTIF(Vertices[Eigenvector Centrality],"&gt;= "&amp;N16)-COUNTIF(Vertices[Eigenvector Centrality],"&gt;="&amp;N17)</f>
        <v>9</v>
      </c>
      <c r="P16" s="37">
        <f t="shared" si="7"/>
        <v>1.5357900833333331</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170</v>
      </c>
      <c r="B17" s="34">
        <v>0.7669902912621359</v>
      </c>
      <c r="D17" s="32">
        <f t="shared" si="1"/>
        <v>0</v>
      </c>
      <c r="E17" s="3">
        <f>COUNTIF(Vertices[Degree],"&gt;= "&amp;D17)-COUNTIF(Vertices[Degree],"&gt;="&amp;D18)</f>
        <v>0</v>
      </c>
      <c r="F17" s="39">
        <f t="shared" si="2"/>
        <v>3.437499999999999</v>
      </c>
      <c r="G17" s="40">
        <f>COUNTIF(Vertices[In-Degree],"&gt;= "&amp;F17)-COUNTIF(Vertices[In-Degree],"&gt;="&amp;F18)</f>
        <v>0</v>
      </c>
      <c r="H17" s="39">
        <f t="shared" si="3"/>
        <v>3.437499999999999</v>
      </c>
      <c r="I17" s="40">
        <f>COUNTIF(Vertices[Out-Degree],"&gt;= "&amp;H17)-COUNTIF(Vertices[Out-Degree],"&gt;="&amp;H18)</f>
        <v>0</v>
      </c>
      <c r="J17" s="39">
        <f t="shared" si="4"/>
        <v>46.875</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0.0646553125</v>
      </c>
      <c r="O17" s="40">
        <f>COUNTIF(Vertices[Eigenvector Centrality],"&gt;= "&amp;N17)-COUNTIF(Vertices[Eigenvector Centrality],"&gt;="&amp;N18)</f>
        <v>0</v>
      </c>
      <c r="P17" s="39">
        <f t="shared" si="7"/>
        <v>1.6454893749999997</v>
      </c>
      <c r="Q17" s="40">
        <f>COUNTIF(Vertices[PageRank],"&gt;= "&amp;P17)-COUNTIF(Vertices[PageRank],"&gt;="&amp;P18)</f>
        <v>4</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171</v>
      </c>
      <c r="B18" s="34">
        <v>0.8681318681318682</v>
      </c>
      <c r="D18" s="32">
        <f t="shared" si="1"/>
        <v>0</v>
      </c>
      <c r="E18" s="3">
        <f>COUNTIF(Vertices[Degree],"&gt;= "&amp;D18)-COUNTIF(Vertices[Degree],"&gt;="&amp;D19)</f>
        <v>0</v>
      </c>
      <c r="F18" s="37">
        <f t="shared" si="2"/>
        <v>3.6666666666666656</v>
      </c>
      <c r="G18" s="38">
        <f>COUNTIF(Vertices[In-Degree],"&gt;= "&amp;F18)-COUNTIF(Vertices[In-Degree],"&gt;="&amp;F19)</f>
        <v>0</v>
      </c>
      <c r="H18" s="37">
        <f t="shared" si="3"/>
        <v>3.6666666666666656</v>
      </c>
      <c r="I18" s="38">
        <f>COUNTIF(Vertices[Out-Degree],"&gt;= "&amp;H18)-COUNTIF(Vertices[Out-Degree],"&gt;="&amp;H19)</f>
        <v>0</v>
      </c>
      <c r="J18" s="37">
        <f t="shared" si="4"/>
        <v>50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0.06896566666666668</v>
      </c>
      <c r="O18" s="38">
        <f>COUNTIF(Vertices[Eigenvector Centrality],"&gt;= "&amp;N18)-COUNTIF(Vertices[Eigenvector Centrality],"&gt;="&amp;N19)</f>
        <v>0</v>
      </c>
      <c r="P18" s="37">
        <f t="shared" si="7"/>
        <v>1.7551886666666663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0"/>
      <c r="B19" s="120"/>
      <c r="D19" s="32">
        <f t="shared" si="1"/>
        <v>0</v>
      </c>
      <c r="E19" s="3">
        <f>COUNTIF(Vertices[Degree],"&gt;= "&amp;D19)-COUNTIF(Vertices[Degree],"&gt;="&amp;D20)</f>
        <v>0</v>
      </c>
      <c r="F19" s="39">
        <f t="shared" si="2"/>
        <v>3.895833333333332</v>
      </c>
      <c r="G19" s="40">
        <f>COUNTIF(Vertices[In-Degree],"&gt;= "&amp;F19)-COUNTIF(Vertices[In-Degree],"&gt;="&amp;F20)</f>
        <v>6</v>
      </c>
      <c r="H19" s="39">
        <f t="shared" si="3"/>
        <v>3.895833333333332</v>
      </c>
      <c r="I19" s="40">
        <f>COUNTIF(Vertices[Out-Degree],"&gt;= "&amp;H19)-COUNTIF(Vertices[Out-Degree],"&gt;="&amp;H20)</f>
        <v>4</v>
      </c>
      <c r="J19" s="39">
        <f t="shared" si="4"/>
        <v>53.125</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0.07327602083333334</v>
      </c>
      <c r="O19" s="40">
        <f>COUNTIF(Vertices[Eigenvector Centrality],"&gt;= "&amp;N19)-COUNTIF(Vertices[Eigenvector Centrality],"&gt;="&amp;N20)</f>
        <v>0</v>
      </c>
      <c r="P19" s="39">
        <f t="shared" si="7"/>
        <v>1.8648879583333329</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152</v>
      </c>
      <c r="B20" s="34">
        <v>62</v>
      </c>
      <c r="D20" s="32">
        <f t="shared" si="1"/>
        <v>0</v>
      </c>
      <c r="E20" s="3">
        <f>COUNTIF(Vertices[Degree],"&gt;= "&amp;D20)-COUNTIF(Vertices[Degree],"&gt;="&amp;D21)</f>
        <v>0</v>
      </c>
      <c r="F20" s="37">
        <f t="shared" si="2"/>
        <v>4.124999999999999</v>
      </c>
      <c r="G20" s="38">
        <f>COUNTIF(Vertices[In-Degree],"&gt;= "&amp;F20)-COUNTIF(Vertices[In-Degree],"&gt;="&amp;F21)</f>
        <v>0</v>
      </c>
      <c r="H20" s="37">
        <f t="shared" si="3"/>
        <v>4.124999999999999</v>
      </c>
      <c r="I20" s="38">
        <f>COUNTIF(Vertices[Out-Degree],"&gt;= "&amp;H20)-COUNTIF(Vertices[Out-Degree],"&gt;="&amp;H21)</f>
        <v>0</v>
      </c>
      <c r="J20" s="37">
        <f t="shared" si="4"/>
        <v>56.25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0.07758637500000001</v>
      </c>
      <c r="O20" s="38">
        <f>COUNTIF(Vertices[Eigenvector Centrality],"&gt;= "&amp;N20)-COUNTIF(Vertices[Eigenvector Centrality],"&gt;="&amp;N21)</f>
        <v>1</v>
      </c>
      <c r="P20" s="37">
        <f t="shared" si="7"/>
        <v>1.9745872499999995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153</v>
      </c>
      <c r="B21" s="34">
        <v>41</v>
      </c>
      <c r="D21" s="32">
        <f t="shared" si="1"/>
        <v>0</v>
      </c>
      <c r="E21" s="3">
        <f>COUNTIF(Vertices[Degree],"&gt;= "&amp;D21)-COUNTIF(Vertices[Degree],"&gt;="&amp;D22)</f>
        <v>0</v>
      </c>
      <c r="F21" s="39">
        <f t="shared" si="2"/>
        <v>4.354166666666666</v>
      </c>
      <c r="G21" s="40">
        <f>COUNTIF(Vertices[In-Degree],"&gt;= "&amp;F21)-COUNTIF(Vertices[In-Degree],"&gt;="&amp;F22)</f>
        <v>0</v>
      </c>
      <c r="H21" s="39">
        <f t="shared" si="3"/>
        <v>4.354166666666666</v>
      </c>
      <c r="I21" s="40">
        <f>COUNTIF(Vertices[Out-Degree],"&gt;= "&amp;H21)-COUNTIF(Vertices[Out-Degree],"&gt;="&amp;H22)</f>
        <v>0</v>
      </c>
      <c r="J21" s="39">
        <f t="shared" si="4"/>
        <v>59.375</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0.08189672916666668</v>
      </c>
      <c r="O21" s="40">
        <f>COUNTIF(Vertices[Eigenvector Centrality],"&gt;= "&amp;N21)-COUNTIF(Vertices[Eigenvector Centrality],"&gt;="&amp;N22)</f>
        <v>0</v>
      </c>
      <c r="P21" s="39">
        <f t="shared" si="7"/>
        <v>2.0842865416666663</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154</v>
      </c>
      <c r="B22" s="34">
        <v>14</v>
      </c>
      <c r="D22" s="32">
        <f t="shared" si="1"/>
        <v>0</v>
      </c>
      <c r="E22" s="3">
        <f>COUNTIF(Vertices[Degree],"&gt;= "&amp;D22)-COUNTIF(Vertices[Degree],"&gt;="&amp;D23)</f>
        <v>0</v>
      </c>
      <c r="F22" s="37">
        <f t="shared" si="2"/>
        <v>4.583333333333333</v>
      </c>
      <c r="G22" s="38">
        <f>COUNTIF(Vertices[In-Degree],"&gt;= "&amp;F22)-COUNTIF(Vertices[In-Degree],"&gt;="&amp;F23)</f>
        <v>0</v>
      </c>
      <c r="H22" s="37">
        <f t="shared" si="3"/>
        <v>4.583333333333333</v>
      </c>
      <c r="I22" s="38">
        <f>COUNTIF(Vertices[Out-Degree],"&gt;= "&amp;H22)-COUNTIF(Vertices[Out-Degree],"&gt;="&amp;H23)</f>
        <v>0</v>
      </c>
      <c r="J22" s="37">
        <f t="shared" si="4"/>
        <v>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0.08620708333333335</v>
      </c>
      <c r="O22" s="38">
        <f>COUNTIF(Vertices[Eigenvector Centrality],"&gt;= "&amp;N22)-COUNTIF(Vertices[Eigenvector Centrality],"&gt;="&amp;N23)</f>
        <v>1</v>
      </c>
      <c r="P22" s="37">
        <f t="shared" si="7"/>
        <v>2.193985833333333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155</v>
      </c>
      <c r="B23" s="34">
        <v>43</v>
      </c>
      <c r="D23" s="32">
        <f t="shared" si="1"/>
        <v>0</v>
      </c>
      <c r="E23" s="3">
        <f>COUNTIF(Vertices[Degree],"&gt;= "&amp;D23)-COUNTIF(Vertices[Degree],"&gt;="&amp;D24)</f>
        <v>0</v>
      </c>
      <c r="F23" s="39">
        <f t="shared" si="2"/>
        <v>4.8125</v>
      </c>
      <c r="G23" s="40">
        <f>COUNTIF(Vertices[In-Degree],"&gt;= "&amp;F23)-COUNTIF(Vertices[In-Degree],"&gt;="&amp;F24)</f>
        <v>1</v>
      </c>
      <c r="H23" s="39">
        <f t="shared" si="3"/>
        <v>4.8125</v>
      </c>
      <c r="I23" s="40">
        <f>COUNTIF(Vertices[Out-Degree],"&gt;= "&amp;H23)-COUNTIF(Vertices[Out-Degree],"&gt;="&amp;H24)</f>
        <v>1</v>
      </c>
      <c r="J23" s="39">
        <f t="shared" si="4"/>
        <v>65.625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0.09051743750000002</v>
      </c>
      <c r="O23" s="40">
        <f>COUNTIF(Vertices[Eigenvector Centrality],"&gt;= "&amp;N23)-COUNTIF(Vertices[Eigenvector Centrality],"&gt;="&amp;N24)</f>
        <v>0</v>
      </c>
      <c r="P23" s="39">
        <f t="shared" si="7"/>
        <v>2.303685125</v>
      </c>
      <c r="Q23" s="40">
        <f>COUNTIF(Vertices[PageRank],"&gt;= "&amp;P23)-COUNTIF(Vertices[PageRank],"&gt;="&amp;P24)</f>
        <v>2</v>
      </c>
      <c r="R23" s="39">
        <f t="shared" si="8"/>
        <v>0.43749999999999983</v>
      </c>
      <c r="S23" s="44">
        <f>COUNTIF(Vertices[Clustering Coefficient],"&gt;= "&amp;R23)-COUNTIF(Vertices[Clustering Coefficient],"&gt;="&amp;R24)</f>
        <v>0</v>
      </c>
      <c r="T23" s="39" t="e">
        <f ca="1" t="shared" si="9"/>
        <v>#REF!</v>
      </c>
      <c r="U23" s="40" t="e">
        <f ca="1" t="shared" si="0"/>
        <v>#REF!</v>
      </c>
    </row>
    <row r="24" spans="1:21" ht="15">
      <c r="A24" s="120"/>
      <c r="B24" s="120"/>
      <c r="D24" s="32">
        <f t="shared" si="1"/>
        <v>0</v>
      </c>
      <c r="E24" s="3">
        <f>COUNTIF(Vertices[Degree],"&gt;= "&amp;D24)-COUNTIF(Vertices[Degree],"&gt;="&amp;D25)</f>
        <v>0</v>
      </c>
      <c r="F24" s="37">
        <f t="shared" si="2"/>
        <v>5.041666666666667</v>
      </c>
      <c r="G24" s="38">
        <f>COUNTIF(Vertices[In-Degree],"&gt;= "&amp;F24)-COUNTIF(Vertices[In-Degree],"&gt;="&amp;F25)</f>
        <v>0</v>
      </c>
      <c r="H24" s="37">
        <f t="shared" si="3"/>
        <v>5.041666666666667</v>
      </c>
      <c r="I24" s="38">
        <f>COUNTIF(Vertices[Out-Degree],"&gt;= "&amp;H24)-COUNTIF(Vertices[Out-Degree],"&gt;="&amp;H25)</f>
        <v>0</v>
      </c>
      <c r="J24" s="37">
        <f t="shared" si="4"/>
        <v>68.75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0.09482779166666669</v>
      </c>
      <c r="O24" s="38">
        <f>COUNTIF(Vertices[Eigenvector Centrality],"&gt;= "&amp;N24)-COUNTIF(Vertices[Eigenvector Centrality],"&gt;="&amp;N25)</f>
        <v>0</v>
      </c>
      <c r="P24" s="37">
        <f t="shared" si="7"/>
        <v>2.4133844166666667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156</v>
      </c>
      <c r="B25" s="34">
        <v>6</v>
      </c>
      <c r="D25" s="32">
        <f t="shared" si="1"/>
        <v>0</v>
      </c>
      <c r="E25" s="3">
        <f>COUNTIF(Vertices[Degree],"&gt;= "&amp;D25)-COUNTIF(Vertices[Degree],"&gt;="&amp;D26)</f>
        <v>0</v>
      </c>
      <c r="F25" s="39">
        <f t="shared" si="2"/>
        <v>5.270833333333334</v>
      </c>
      <c r="G25" s="40">
        <f>COUNTIF(Vertices[In-Degree],"&gt;= "&amp;F25)-COUNTIF(Vertices[In-Degree],"&gt;="&amp;F26)</f>
        <v>0</v>
      </c>
      <c r="H25" s="39">
        <f t="shared" si="3"/>
        <v>5.270833333333334</v>
      </c>
      <c r="I25" s="40">
        <f>COUNTIF(Vertices[Out-Degree],"&gt;= "&amp;H25)-COUNTIF(Vertices[Out-Degree],"&gt;="&amp;H26)</f>
        <v>0</v>
      </c>
      <c r="J25" s="39">
        <f t="shared" si="4"/>
        <v>71.875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0.09913814583333336</v>
      </c>
      <c r="O25" s="40">
        <f>COUNTIF(Vertices[Eigenvector Centrality],"&gt;= "&amp;N25)-COUNTIF(Vertices[Eigenvector Centrality],"&gt;="&amp;N26)</f>
        <v>0</v>
      </c>
      <c r="P25" s="39">
        <f t="shared" si="7"/>
        <v>2.5230837083333335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157</v>
      </c>
      <c r="B26" s="34">
        <v>1.795782</v>
      </c>
      <c r="D26" s="32">
        <f t="shared" si="1"/>
        <v>0</v>
      </c>
      <c r="E26" s="3">
        <f>COUNTIF(Vertices[Degree],"&gt;= "&amp;D26)-COUNTIF(Vertices[Degree],"&gt;="&amp;D28)</f>
        <v>0</v>
      </c>
      <c r="F26" s="37">
        <f t="shared" si="2"/>
        <v>5.500000000000001</v>
      </c>
      <c r="G26" s="38">
        <f>COUNTIF(Vertices[In-Degree],"&gt;= "&amp;F26)-COUNTIF(Vertices[In-Degree],"&gt;="&amp;F28)</f>
        <v>0</v>
      </c>
      <c r="H26" s="37">
        <f t="shared" si="3"/>
        <v>5.500000000000001</v>
      </c>
      <c r="I26" s="38">
        <f>COUNTIF(Vertices[Out-Degree],"&gt;= "&amp;H26)-COUNTIF(Vertices[Out-Degree],"&gt;="&amp;H28)</f>
        <v>0</v>
      </c>
      <c r="J26" s="37">
        <f t="shared" si="4"/>
        <v>75</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0.10344850000000003</v>
      </c>
      <c r="O26" s="38">
        <f>COUNTIF(Vertices[Eigenvector Centrality],"&gt;= "&amp;N26)-COUNTIF(Vertices[Eigenvector Centrality],"&gt;="&amp;N28)</f>
        <v>0</v>
      </c>
      <c r="P26" s="37">
        <f t="shared" si="7"/>
        <v>2.6327830000000003</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0"/>
      <c r="B27" s="120"/>
      <c r="D27" s="32"/>
      <c r="E27" s="3">
        <f>COUNTIF(Vertices[Degree],"&gt;= "&amp;D27)-COUNTIF(Vertices[Degree],"&gt;="&amp;D28)</f>
        <v>0</v>
      </c>
      <c r="F27" s="62"/>
      <c r="G27" s="63">
        <f>COUNTIF(Vertices[In-Degree],"&gt;= "&amp;F27)-COUNTIF(Vertices[In-Degree],"&gt;="&amp;F28)</f>
        <v>-4</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-5</v>
      </c>
      <c r="T27" s="62"/>
      <c r="U27" s="63">
        <f ca="1">COUNTIF(Vertices[Clustering Coefficient],"&gt;= "&amp;T27)-COUNTIF(Vertices[Clustering Coefficient],"&gt;="&amp;T28)</f>
        <v>0</v>
      </c>
    </row>
    <row r="28" spans="1:21" ht="15">
      <c r="A28" s="34" t="s">
        <v>158</v>
      </c>
      <c r="B28" s="34">
        <v>0.0071540880503144656</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5.729166666666668</v>
      </c>
      <c r="I28" s="40">
        <f>COUNTIF(Vertices[Out-Degree],"&gt;= "&amp;H28)-COUNTIF(Vertices[Out-Degree],"&gt;="&amp;H42)</f>
        <v>0</v>
      </c>
      <c r="J28" s="39">
        <f>J26+($J$50-$J$2)/BinDivisor</f>
        <v>78.125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0.1077588541666667</v>
      </c>
      <c r="O28" s="40">
        <f>COUNTIF(Vertices[Eigenvector Centrality],"&gt;= "&amp;N28)-COUNTIF(Vertices[Eigenvector Centrality],"&gt;="&amp;N42)</f>
        <v>0</v>
      </c>
      <c r="P28" s="39">
        <f>P26+($P$50-$P$2)/BinDivisor</f>
        <v>2.742482291666667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1425</v>
      </c>
      <c r="B29" s="34">
        <v>0.473399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0"/>
      <c r="B30" s="12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1426</v>
      </c>
      <c r="B31" s="34" t="s">
        <v>1440</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1427</v>
      </c>
      <c r="B33" s="34" t="s">
        <v>1947</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0"/>
      <c r="B34" s="120"/>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1428</v>
      </c>
      <c r="B35" s="34" t="s">
        <v>1923</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1429</v>
      </c>
      <c r="B36" s="34" t="s">
        <v>1924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409.5">
      <c r="A37" s="34" t="s">
        <v>1430</v>
      </c>
      <c r="B37" s="52" t="s">
        <v>1925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1431</v>
      </c>
      <c r="B38" s="34" t="s">
        <v>1926</v>
      </c>
      <c r="D38" s="32"/>
      <c r="E38" s="3">
        <f>COUNTIF(Vertices[Degree],"&gt;= "&amp;D38)-COUNTIF(Vertices[Degree],"&gt;="&amp;D42)</f>
        <v>0</v>
      </c>
      <c r="F38" s="62"/>
      <c r="G38" s="63">
        <f>COUNTIF(Vertices[In-Degree],"&gt;= "&amp;F38)-COUNTIF(Vertices[In-Degree],"&gt;="&amp;F42)</f>
        <v>-4</v>
      </c>
      <c r="H38" s="62"/>
      <c r="I38" s="63">
        <f>COUNTIF(Vertices[Out-Degree],"&gt;= "&amp;H38)-COUNTIF(Vertices[Out-Degree],"&gt;="&amp;H42)</f>
        <v>-4</v>
      </c>
      <c r="J38" s="62"/>
      <c r="K38" s="63">
        <f>COUNTIF(Vertices[Betweenness Centrality],"&gt;= "&amp;J38)-COUNTIF(Vertices[Betweenness Centrality],"&gt;="&amp;J42)</f>
        <v>-2</v>
      </c>
      <c r="L38" s="62"/>
      <c r="M38" s="63">
        <f>COUNTIF(Vertices[Closeness Centrality],"&gt;= "&amp;L38)-COUNTIF(Vertices[Closeness Centrality],"&gt;="&amp;L42)</f>
        <v>-6</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-5</v>
      </c>
      <c r="T38" s="62"/>
      <c r="U38" s="63">
        <f ca="1">COUNTIF(Vertices[Clustering Coefficient],"&gt;= "&amp;T38)-COUNTIF(Vertices[Clustering Coefficient],"&gt;="&amp;T42)</f>
        <v>0</v>
      </c>
    </row>
    <row r="39" spans="1:21" ht="15">
      <c r="A39" s="34" t="s">
        <v>1432</v>
      </c>
      <c r="B39" s="34" t="s">
        <v>1927</v>
      </c>
      <c r="D39" s="32"/>
      <c r="E39" s="3">
        <f>COUNTIF(Vertices[Degree],"&gt;= "&amp;D39)-COUNTIF(Vertices[Degree],"&gt;="&amp;D42)</f>
        <v>0</v>
      </c>
      <c r="F39" s="62"/>
      <c r="G39" s="63">
        <f>COUNTIF(Vertices[In-Degree],"&gt;= "&amp;F39)-COUNTIF(Vertices[In-Degree],"&gt;="&amp;F42)</f>
        <v>-4</v>
      </c>
      <c r="H39" s="62"/>
      <c r="I39" s="63">
        <f>COUNTIF(Vertices[Out-Degree],"&gt;= "&amp;H39)-COUNTIF(Vertices[Out-Degree],"&gt;="&amp;H42)</f>
        <v>-4</v>
      </c>
      <c r="J39" s="62"/>
      <c r="K39" s="63">
        <f>COUNTIF(Vertices[Betweenness Centrality],"&gt;= "&amp;J39)-COUNTIF(Vertices[Betweenness Centrality],"&gt;="&amp;J42)</f>
        <v>-2</v>
      </c>
      <c r="L39" s="62"/>
      <c r="M39" s="63">
        <f>COUNTIF(Vertices[Closeness Centrality],"&gt;= "&amp;L39)-COUNTIF(Vertices[Closeness Centrality],"&gt;="&amp;L42)</f>
        <v>-6</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-5</v>
      </c>
      <c r="T39" s="62"/>
      <c r="U39" s="63">
        <f ca="1">COUNTIF(Vertices[Clustering Coefficient],"&gt;= "&amp;T39)-COUNTIF(Vertices[Clustering Coefficient],"&gt;="&amp;T42)</f>
        <v>0</v>
      </c>
    </row>
    <row r="40" spans="1:21" ht="15">
      <c r="A40" s="34" t="s">
        <v>1433</v>
      </c>
      <c r="B40" s="34" t="s">
        <v>1029</v>
      </c>
      <c r="D40" s="32"/>
      <c r="E40" s="3">
        <f>COUNTIF(Vertices[Degree],"&gt;= "&amp;D40)-COUNTIF(Vertices[Degree],"&gt;="&amp;D42)</f>
        <v>0</v>
      </c>
      <c r="F40" s="62"/>
      <c r="G40" s="63">
        <f>COUNTIF(Vertices[In-Degree],"&gt;= "&amp;F40)-COUNTIF(Vertices[In-Degree],"&gt;="&amp;F42)</f>
        <v>-4</v>
      </c>
      <c r="H40" s="62"/>
      <c r="I40" s="63">
        <f>COUNTIF(Vertices[Out-Degree],"&gt;= "&amp;H40)-COUNTIF(Vertices[Out-Degree],"&gt;="&amp;H42)</f>
        <v>-4</v>
      </c>
      <c r="J40" s="62"/>
      <c r="K40" s="63">
        <f>COUNTIF(Vertices[Betweenness Centrality],"&gt;= "&amp;J40)-COUNTIF(Vertices[Betweenness Centrality],"&gt;="&amp;J42)</f>
        <v>-2</v>
      </c>
      <c r="L40" s="62"/>
      <c r="M40" s="63">
        <f>COUNTIF(Vertices[Closeness Centrality],"&gt;= "&amp;L40)-COUNTIF(Vertices[Closeness Centrality],"&gt;="&amp;L42)</f>
        <v>-6</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-5</v>
      </c>
      <c r="T40" s="62"/>
      <c r="U40" s="63">
        <f ca="1">COUNTIF(Vertices[Clustering Coefficient],"&gt;= "&amp;T40)-COUNTIF(Vertices[Clustering Coefficient],"&gt;="&amp;T42)</f>
        <v>0</v>
      </c>
    </row>
    <row r="41" spans="1:21" ht="15">
      <c r="A41" s="34" t="s">
        <v>1434</v>
      </c>
      <c r="B41" s="34" t="s">
        <v>1029</v>
      </c>
      <c r="D41" s="32"/>
      <c r="E41" s="3">
        <f>COUNTIF(Vertices[Degree],"&gt;= "&amp;D41)-COUNTIF(Vertices[Degree],"&gt;="&amp;D42)</f>
        <v>0</v>
      </c>
      <c r="F41" s="62"/>
      <c r="G41" s="63">
        <f>COUNTIF(Vertices[In-Degree],"&gt;= "&amp;F41)-COUNTIF(Vertices[In-Degree],"&gt;="&amp;F42)</f>
        <v>-4</v>
      </c>
      <c r="H41" s="62"/>
      <c r="I41" s="63">
        <f>COUNTIF(Vertices[Out-Degree],"&gt;= "&amp;H41)-COUNTIF(Vertices[Out-Degree],"&gt;="&amp;H42)</f>
        <v>-4</v>
      </c>
      <c r="J41" s="62"/>
      <c r="K41" s="63">
        <f>COUNTIF(Vertices[Betweenness Centrality],"&gt;= "&amp;J41)-COUNTIF(Vertices[Betweenness Centrality],"&gt;="&amp;J42)</f>
        <v>-2</v>
      </c>
      <c r="L41" s="62"/>
      <c r="M41" s="63">
        <f>COUNTIF(Vertices[Closeness Centrality],"&gt;= "&amp;L41)-COUNTIF(Vertices[Closeness Centrality],"&gt;="&amp;L42)</f>
        <v>-6</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-5</v>
      </c>
      <c r="T41" s="62"/>
      <c r="U41" s="63">
        <f ca="1">COUNTIF(Vertices[Clustering Coefficient],"&gt;= "&amp;T41)-COUNTIF(Vertices[Clustering Coefficient],"&gt;="&amp;T42)</f>
        <v>0</v>
      </c>
    </row>
    <row r="42" spans="1:21" ht="15">
      <c r="A42" s="34" t="s">
        <v>1435</v>
      </c>
      <c r="B42" s="34" t="s">
        <v>1029</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5.958333333333335</v>
      </c>
      <c r="I42" s="38">
        <f>COUNTIF(Vertices[Out-Degree],"&gt;= "&amp;H42)-COUNTIF(Vertices[Out-Degree],"&gt;="&amp;H43)</f>
        <v>0</v>
      </c>
      <c r="J42" s="37">
        <f>J28+($J$50-$J$2)/BinDivisor</f>
        <v>81.25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0.11206920833333336</v>
      </c>
      <c r="O42" s="38">
        <f>COUNTIF(Vertices[Eigenvector Centrality],"&gt;= "&amp;N42)-COUNTIF(Vertices[Eigenvector Centrality],"&gt;="&amp;N43)</f>
        <v>0</v>
      </c>
      <c r="P42" s="37">
        <f>P28+($P$50-$P$2)/BinDivisor</f>
        <v>2.852181583333334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1436</v>
      </c>
      <c r="B43" s="34"/>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6.187500000000002</v>
      </c>
      <c r="I43" s="40">
        <f>COUNTIF(Vertices[Out-Degree],"&gt;= "&amp;H43)-COUNTIF(Vertices[Out-Degree],"&gt;="&amp;H44)</f>
        <v>0</v>
      </c>
      <c r="J43" s="39">
        <f aca="true" t="shared" si="13" ref="J43:J49">J42+($J$50-$J$2)/BinDivisor</f>
        <v>84.375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0.11637956250000003</v>
      </c>
      <c r="O43" s="40">
        <f>COUNTIF(Vertices[Eigenvector Centrality],"&gt;= "&amp;N43)-COUNTIF(Vertices[Eigenvector Centrality],"&gt;="&amp;N44)</f>
        <v>0</v>
      </c>
      <c r="P43" s="39">
        <f aca="true" t="shared" si="16" ref="P43:P49">P42+($P$50-$P$2)/BinDivisor</f>
        <v>2.9618808750000007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21</v>
      </c>
      <c r="B44" s="34"/>
      <c r="D44" s="32">
        <f t="shared" si="10"/>
        <v>0</v>
      </c>
      <c r="E44" s="3">
        <f>COUNTIF(Vertices[Degree],"&gt;= "&amp;D44)-COUNTIF(Vertices[Degree],"&gt;="&amp;D45)</f>
        <v>0</v>
      </c>
      <c r="F44" s="37">
        <f t="shared" si="11"/>
        <v>6.416666666666669</v>
      </c>
      <c r="G44" s="38">
        <f>COUNTIF(Vertices[In-Degree],"&gt;= "&amp;F44)-COUNTIF(Vertices[In-Degree],"&gt;="&amp;F45)</f>
        <v>0</v>
      </c>
      <c r="H44" s="37">
        <f t="shared" si="12"/>
        <v>6.416666666666669</v>
      </c>
      <c r="I44" s="38">
        <f>COUNTIF(Vertices[Out-Degree],"&gt;= "&amp;H44)-COUNTIF(Vertices[Out-Degree],"&gt;="&amp;H45)</f>
        <v>0</v>
      </c>
      <c r="J44" s="37">
        <f t="shared" si="13"/>
        <v>87.5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0.1206899166666667</v>
      </c>
      <c r="O44" s="38">
        <f>COUNTIF(Vertices[Eigenvector Centrality],"&gt;= "&amp;N44)-COUNTIF(Vertices[Eigenvector Centrality],"&gt;="&amp;N45)</f>
        <v>0</v>
      </c>
      <c r="P44" s="37">
        <f t="shared" si="16"/>
        <v>3.0715801666666676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1437</v>
      </c>
      <c r="B45" s="34" t="s">
        <v>32</v>
      </c>
      <c r="D45" s="32">
        <f t="shared" si="10"/>
        <v>0</v>
      </c>
      <c r="E45" s="3">
        <f>COUNTIF(Vertices[Degree],"&gt;= "&amp;D45)-COUNTIF(Vertices[Degree],"&gt;="&amp;D46)</f>
        <v>0</v>
      </c>
      <c r="F45" s="39">
        <f t="shared" si="11"/>
        <v>6.645833333333336</v>
      </c>
      <c r="G45" s="40">
        <f>COUNTIF(Vertices[In-Degree],"&gt;= "&amp;F45)-COUNTIF(Vertices[In-Degree],"&gt;="&amp;F46)</f>
        <v>0</v>
      </c>
      <c r="H45" s="39">
        <f t="shared" si="12"/>
        <v>6.645833333333336</v>
      </c>
      <c r="I45" s="40">
        <f>COUNTIF(Vertices[Out-Degree],"&gt;= "&amp;H45)-COUNTIF(Vertices[Out-Degree],"&gt;="&amp;H46)</f>
        <v>0</v>
      </c>
      <c r="J45" s="39">
        <f t="shared" si="13"/>
        <v>90.625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0.12500027083333337</v>
      </c>
      <c r="O45" s="40">
        <f>COUNTIF(Vertices[Eigenvector Centrality],"&gt;= "&amp;N45)-COUNTIF(Vertices[Eigenvector Centrality],"&gt;="&amp;N46)</f>
        <v>0</v>
      </c>
      <c r="P45" s="39">
        <f t="shared" si="16"/>
        <v>3.1812794583333344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1438</v>
      </c>
      <c r="B46" s="34"/>
      <c r="D46" s="32">
        <f t="shared" si="10"/>
        <v>0</v>
      </c>
      <c r="E46" s="3">
        <f>COUNTIF(Vertices[Degree],"&gt;= "&amp;D46)-COUNTIF(Vertices[Degree],"&gt;="&amp;D47)</f>
        <v>0</v>
      </c>
      <c r="F46" s="37">
        <f t="shared" si="11"/>
        <v>6.875000000000003</v>
      </c>
      <c r="G46" s="38">
        <f>COUNTIF(Vertices[In-Degree],"&gt;= "&amp;F46)-COUNTIF(Vertices[In-Degree],"&gt;="&amp;F47)</f>
        <v>2</v>
      </c>
      <c r="H46" s="37">
        <f t="shared" si="12"/>
        <v>6.875000000000003</v>
      </c>
      <c r="I46" s="38">
        <f>COUNTIF(Vertices[Out-Degree],"&gt;= "&amp;H46)-COUNTIF(Vertices[Out-Degree],"&gt;="&amp;H47)</f>
        <v>2</v>
      </c>
      <c r="J46" s="37">
        <f t="shared" si="13"/>
        <v>93.75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0.12931062500000004</v>
      </c>
      <c r="O46" s="38">
        <f>COUNTIF(Vertices[Eigenvector Centrality],"&gt;= "&amp;N46)-COUNTIF(Vertices[Eigenvector Centrality],"&gt;="&amp;N47)</f>
        <v>0</v>
      </c>
      <c r="P46" s="37">
        <f t="shared" si="16"/>
        <v>3.290978750000001</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1:21" ht="15">
      <c r="A47" s="34" t="s">
        <v>1439</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7.10416666666667</v>
      </c>
      <c r="I47" s="40">
        <f>COUNTIF(Vertices[Out-Degree],"&gt;= "&amp;H47)-COUNTIF(Vertices[Out-Degree],"&gt;="&amp;H48)</f>
        <v>0</v>
      </c>
      <c r="J47" s="39">
        <f t="shared" si="13"/>
        <v>96.875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0.1336209791666667</v>
      </c>
      <c r="O47" s="40">
        <f>COUNTIF(Vertices[Eigenvector Centrality],"&gt;= "&amp;N47)-COUNTIF(Vertices[Eigenvector Centrality],"&gt;="&amp;N48)</f>
        <v>0</v>
      </c>
      <c r="P47" s="39">
        <f t="shared" si="16"/>
        <v>3.400678041666668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7.333333333333337</v>
      </c>
      <c r="G48" s="38">
        <f>COUNTIF(Vertices[In-Degree],"&gt;= "&amp;F48)-COUNTIF(Vertices[In-Degree],"&gt;="&amp;F49)</f>
        <v>0</v>
      </c>
      <c r="H48" s="37">
        <f t="shared" si="12"/>
        <v>7.333333333333337</v>
      </c>
      <c r="I48" s="38">
        <f>COUNTIF(Vertices[Out-Degree],"&gt;= "&amp;H48)-COUNTIF(Vertices[Out-Degree],"&gt;="&amp;H49)</f>
        <v>0</v>
      </c>
      <c r="J48" s="37">
        <f t="shared" si="13"/>
        <v>100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0.13793133333333338</v>
      </c>
      <c r="O48" s="38">
        <f>COUNTIF(Vertices[Eigenvector Centrality],"&gt;= "&amp;N48)-COUNTIF(Vertices[Eigenvector Centrality],"&gt;="&amp;N49)</f>
        <v>0</v>
      </c>
      <c r="P48" s="37">
        <f t="shared" si="16"/>
        <v>3.510377333333335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7.5625000000000036</v>
      </c>
      <c r="G49" s="40">
        <f>COUNTIF(Vertices[In-Degree],"&gt;= "&amp;F49)-COUNTIF(Vertices[In-Degree],"&gt;="&amp;#REF!)</f>
        <v>2</v>
      </c>
      <c r="H49" s="39">
        <f t="shared" si="12"/>
        <v>7.5625000000000036</v>
      </c>
      <c r="I49" s="40">
        <f>COUNTIF(Vertices[Out-Degree],"&gt;= "&amp;H49)-COUNTIF(Vertices[Out-Degree],"&gt;="&amp;#REF!)</f>
        <v>2</v>
      </c>
      <c r="J49" s="39">
        <f t="shared" si="13"/>
        <v>103.125</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0.14224168750000005</v>
      </c>
      <c r="O49" s="40">
        <f>COUNTIF(Vertices[Eigenvector Centrality],"&gt;= "&amp;N49)-COUNTIF(Vertices[Eigenvector Centrality],"&gt;="&amp;#REF!)</f>
        <v>1</v>
      </c>
      <c r="P49" s="39">
        <f t="shared" si="16"/>
        <v>3.6200766250000016</v>
      </c>
      <c r="Q49" s="40">
        <f>COUNTIF(Vertices[PageRank],"&gt;= "&amp;P49)-COUNTIF(Vertices[PageRank],"&gt;="&amp;#REF!)</f>
        <v>2</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v>
      </c>
      <c r="G50" s="42">
        <f>COUNTIF(Vertices[In-Degree],"&gt;= "&amp;F50)-COUNTIF(Vertices[In-Degree],"&gt;="&amp;#REF!)</f>
        <v>1</v>
      </c>
      <c r="H50" s="41">
        <f>MAX(Vertices[Out-Degree])</f>
        <v>11</v>
      </c>
      <c r="I50" s="42">
        <f>COUNTIF(Vertices[Out-Degree],"&gt;= "&amp;H50)-COUNTIF(Vertices[Out-Degree],"&gt;="&amp;#REF!)</f>
        <v>1</v>
      </c>
      <c r="J50" s="41">
        <f>MAX(Vertices[Betweenness Centrality])</f>
        <v>150</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0.206897</v>
      </c>
      <c r="O50" s="42">
        <f>COUNTIF(Vertices[Eigenvector Centrality],"&gt;= "&amp;N50)-COUNTIF(Vertices[Eigenvector Centrality],"&gt;="&amp;#REF!)</f>
        <v>1</v>
      </c>
      <c r="P50" s="41">
        <f>MAX(Vertices[PageRank])</f>
        <v>5.265566</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1.2125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1.2125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150</v>
      </c>
    </row>
    <row r="110" spans="1:2" ht="15">
      <c r="A110" s="33" t="s">
        <v>102</v>
      </c>
      <c r="B110" s="47">
        <f>_xlfn.IFERROR(AVERAGE(Vertices[Betweenness Centrality]),NoMetricMessage)</f>
        <v>5.225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0.12656883749999998</v>
      </c>
    </row>
    <row r="125" spans="1:2" ht="15">
      <c r="A125" s="33" t="s">
        <v>109</v>
      </c>
      <c r="B125" s="47">
        <f>_xlfn.IFERROR(MEDIAN(Vertices[Closeness Centrality]),NoMetricMessage)</f>
        <v>0.071429</v>
      </c>
    </row>
    <row r="136" spans="1:2" ht="15">
      <c r="A136" s="33" t="s">
        <v>112</v>
      </c>
      <c r="B136" s="47">
        <f>IF(COUNT(Vertices[Eigenvector Centrality])&gt;0,N2,NoMetricMessage)</f>
        <v>0</v>
      </c>
    </row>
    <row r="137" spans="1:2" ht="15">
      <c r="A137" s="33" t="s">
        <v>113</v>
      </c>
      <c r="B137" s="47">
        <f>IF(COUNT(Vertices[Eigenvector Centrality])&gt;0,N50,NoMetricMessage)</f>
        <v>0.206897</v>
      </c>
    </row>
    <row r="138" spans="1:2" ht="15">
      <c r="A138" s="33" t="s">
        <v>114</v>
      </c>
      <c r="B138" s="47">
        <f>_xlfn.IFERROR(AVERAGE(Vertices[Eigenvector Centrality]),NoMetricMessage)</f>
        <v>0.006250006250000004</v>
      </c>
    </row>
    <row r="139" spans="1:2" ht="15">
      <c r="A139" s="33" t="s">
        <v>115</v>
      </c>
      <c r="B139" s="47">
        <f>_xlfn.IFERROR(MEDIAN(Vertices[Eigenvector Centrality]),NoMetricMessage)</f>
        <v>0</v>
      </c>
    </row>
    <row r="150" spans="1:2" ht="15">
      <c r="A150" s="33" t="s">
        <v>140</v>
      </c>
      <c r="B150" s="47">
        <f>IF(COUNT(Vertices[PageRank])&gt;0,P2,NoMetricMessage)</f>
        <v>0</v>
      </c>
    </row>
    <row r="151" spans="1:2" ht="15">
      <c r="A151" s="33" t="s">
        <v>141</v>
      </c>
      <c r="B151" s="47">
        <f>IF(COUNT(Vertices[PageRank])&gt;0,P50,NoMetricMessage)</f>
        <v>5.265566</v>
      </c>
    </row>
    <row r="152" spans="1:2" ht="15">
      <c r="A152" s="33" t="s">
        <v>142</v>
      </c>
      <c r="B152" s="47">
        <f>_xlfn.IFERROR(AVERAGE(Vertices[PageRank]),NoMetricMessage)</f>
        <v>0.7437468000000003</v>
      </c>
    </row>
    <row r="153" spans="1:2" ht="15">
      <c r="A153" s="33" t="s">
        <v>143</v>
      </c>
      <c r="B153" s="47">
        <f>_xlfn.IFERROR(MEDIAN(Vertices[PageRank]),NoMetricMessage)</f>
        <v>0.601123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0.03461061507936508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1928</v>
      </c>
      <c r="R6" t="s">
        <v>129</v>
      </c>
    </row>
    <row r="7" spans="1:11" ht="409.5">
      <c r="A7">
        <v>2</v>
      </c>
      <c r="B7">
        <v>1</v>
      </c>
      <c r="C7">
        <v>0</v>
      </c>
      <c r="D7" t="s">
        <v>60</v>
      </c>
      <c r="E7" t="s">
        <v>60</v>
      </c>
      <c r="F7">
        <v>2</v>
      </c>
      <c r="H7" t="s">
        <v>72</v>
      </c>
      <c r="J7" t="s">
        <v>174</v>
      </c>
      <c r="K7" s="13" t="s">
        <v>1929</v>
      </c>
    </row>
    <row r="8" spans="1:11" ht="409.5">
      <c r="A8"/>
      <c r="B8">
        <v>2</v>
      </c>
      <c r="C8">
        <v>2</v>
      </c>
      <c r="D8" t="s">
        <v>61</v>
      </c>
      <c r="E8" t="s">
        <v>61</v>
      </c>
      <c r="H8" t="s">
        <v>73</v>
      </c>
      <c r="J8" t="s">
        <v>175</v>
      </c>
      <c r="K8" s="13" t="s">
        <v>1930</v>
      </c>
    </row>
    <row r="9" spans="1:11" ht="409.5">
      <c r="A9"/>
      <c r="B9">
        <v>3</v>
      </c>
      <c r="C9">
        <v>4</v>
      </c>
      <c r="D9" t="s">
        <v>62</v>
      </c>
      <c r="E9" t="s">
        <v>62</v>
      </c>
      <c r="H9" t="s">
        <v>74</v>
      </c>
      <c r="J9" t="s">
        <v>176</v>
      </c>
      <c r="K9" s="13" t="s">
        <v>1931</v>
      </c>
    </row>
    <row r="10" spans="1:11" ht="15">
      <c r="A10"/>
      <c r="B10">
        <v>4</v>
      </c>
      <c r="D10" t="s">
        <v>63</v>
      </c>
      <c r="E10" t="s">
        <v>63</v>
      </c>
      <c r="H10" t="s">
        <v>75</v>
      </c>
      <c r="J10" t="s">
        <v>177</v>
      </c>
      <c r="K10" t="s">
        <v>1932</v>
      </c>
    </row>
    <row r="11" spans="1:11" ht="15">
      <c r="A11"/>
      <c r="B11">
        <v>5</v>
      </c>
      <c r="D11" t="s">
        <v>46</v>
      </c>
      <c r="E11">
        <v>1</v>
      </c>
      <c r="H11" t="s">
        <v>76</v>
      </c>
      <c r="J11" t="s">
        <v>178</v>
      </c>
      <c r="K11" t="s">
        <v>1933</v>
      </c>
    </row>
    <row r="12" spans="1:11" ht="15">
      <c r="A12"/>
      <c r="B12"/>
      <c r="D12" t="s">
        <v>64</v>
      </c>
      <c r="E12">
        <v>2</v>
      </c>
      <c r="H12">
        <v>0</v>
      </c>
      <c r="J12" t="s">
        <v>179</v>
      </c>
      <c r="K12" t="s">
        <v>1934</v>
      </c>
    </row>
    <row r="13" spans="1:11" ht="15">
      <c r="A13"/>
      <c r="B13"/>
      <c r="D13">
        <v>1</v>
      </c>
      <c r="E13">
        <v>3</v>
      </c>
      <c r="H13">
        <v>1</v>
      </c>
      <c r="J13" t="s">
        <v>180</v>
      </c>
      <c r="K13" t="s">
        <v>1935</v>
      </c>
    </row>
    <row r="14" spans="4:11" ht="15">
      <c r="D14">
        <v>2</v>
      </c>
      <c r="E14">
        <v>4</v>
      </c>
      <c r="H14">
        <v>2</v>
      </c>
      <c r="J14" t="s">
        <v>181</v>
      </c>
      <c r="K14" t="s">
        <v>1936</v>
      </c>
    </row>
    <row r="15" spans="4:11" ht="15">
      <c r="D15">
        <v>3</v>
      </c>
      <c r="E15">
        <v>5</v>
      </c>
      <c r="H15">
        <v>3</v>
      </c>
      <c r="J15" t="s">
        <v>182</v>
      </c>
      <c r="K15" t="s">
        <v>1937</v>
      </c>
    </row>
    <row r="16" spans="4:11" ht="15">
      <c r="D16">
        <v>4</v>
      </c>
      <c r="E16">
        <v>6</v>
      </c>
      <c r="H16">
        <v>4</v>
      </c>
      <c r="J16" t="s">
        <v>183</v>
      </c>
      <c r="K16" t="s">
        <v>1938</v>
      </c>
    </row>
    <row r="17" spans="4:11" ht="15">
      <c r="D17">
        <v>5</v>
      </c>
      <c r="E17">
        <v>7</v>
      </c>
      <c r="H17">
        <v>5</v>
      </c>
      <c r="J17" t="s">
        <v>184</v>
      </c>
      <c r="K17" t="s">
        <v>1939</v>
      </c>
    </row>
    <row r="18" spans="4:11" ht="15">
      <c r="D18">
        <v>6</v>
      </c>
      <c r="E18">
        <v>8</v>
      </c>
      <c r="H18">
        <v>6</v>
      </c>
      <c r="J18" t="s">
        <v>185</v>
      </c>
      <c r="K18" t="s">
        <v>1940</v>
      </c>
    </row>
    <row r="19" spans="4:11" ht="15">
      <c r="D19">
        <v>7</v>
      </c>
      <c r="E19">
        <v>9</v>
      </c>
      <c r="H19">
        <v>7</v>
      </c>
      <c r="J19" t="s">
        <v>186</v>
      </c>
      <c r="K19" t="s">
        <v>1941</v>
      </c>
    </row>
    <row r="20" spans="4:11" ht="409.5">
      <c r="D20">
        <v>8</v>
      </c>
      <c r="H20">
        <v>8</v>
      </c>
      <c r="J20" t="s">
        <v>187</v>
      </c>
      <c r="K20" s="13" t="s">
        <v>1942</v>
      </c>
    </row>
    <row r="21" spans="4:11" ht="409.5">
      <c r="D21">
        <v>9</v>
      </c>
      <c r="H21">
        <v>9</v>
      </c>
      <c r="J21" t="s">
        <v>188</v>
      </c>
      <c r="K21" s="13" t="s">
        <v>1943</v>
      </c>
    </row>
    <row r="22" spans="4:11" ht="409.5">
      <c r="D22">
        <v>10</v>
      </c>
      <c r="J22" t="s">
        <v>189</v>
      </c>
      <c r="K22" s="13" t="s">
        <v>1944</v>
      </c>
    </row>
    <row r="23" spans="4:11" ht="15">
      <c r="D23">
        <v>11</v>
      </c>
      <c r="J23" t="s">
        <v>190</v>
      </c>
      <c r="K23">
        <v>19</v>
      </c>
    </row>
    <row r="24" spans="10:11" ht="409.5">
      <c r="J24" t="s">
        <v>193</v>
      </c>
      <c r="K24" s="13" t="s">
        <v>1945</v>
      </c>
    </row>
    <row r="25" spans="10:11" ht="15">
      <c r="J25" t="s">
        <v>194</v>
      </c>
      <c r="K25" t="s">
        <v>1921</v>
      </c>
    </row>
    <row r="26" spans="10:11" ht="409.5">
      <c r="J26" t="s">
        <v>195</v>
      </c>
      <c r="K26" s="13" t="s">
        <v>1922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3EA9D-5387-4504-A954-97E8566611E4}">
  <dimension ref="A1:G5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1068</v>
      </c>
      <c r="B1" s="13" t="s">
        <v>1391</v>
      </c>
      <c r="C1" s="13" t="s">
        <v>1395</v>
      </c>
      <c r="D1" s="13" t="s">
        <v>144</v>
      </c>
      <c r="E1" s="13" t="s">
        <v>1397</v>
      </c>
      <c r="F1" s="13" t="s">
        <v>1398</v>
      </c>
      <c r="G1" s="13" t="s">
        <v>1399</v>
      </c>
    </row>
    <row r="2" spans="1:7" ht="15">
      <c r="A2" s="79" t="s">
        <v>1069</v>
      </c>
      <c r="B2" s="79" t="s">
        <v>1392</v>
      </c>
      <c r="C2" s="115"/>
      <c r="D2" s="79"/>
      <c r="E2" s="79"/>
      <c r="F2" s="79"/>
      <c r="G2" s="79"/>
    </row>
    <row r="3" spans="1:7" ht="15">
      <c r="A3" s="79" t="s">
        <v>1070</v>
      </c>
      <c r="B3" s="79" t="s">
        <v>1393</v>
      </c>
      <c r="C3" s="115"/>
      <c r="D3" s="79"/>
      <c r="E3" s="79"/>
      <c r="F3" s="79"/>
      <c r="G3" s="79"/>
    </row>
    <row r="4" spans="1:7" ht="15">
      <c r="A4" s="79" t="s">
        <v>1071</v>
      </c>
      <c r="B4" s="79" t="s">
        <v>1394</v>
      </c>
      <c r="C4" s="115"/>
      <c r="D4" s="79"/>
      <c r="E4" s="79"/>
      <c r="F4" s="79"/>
      <c r="G4" s="79"/>
    </row>
    <row r="5" spans="1:7" ht="15">
      <c r="A5" s="79" t="s">
        <v>1072</v>
      </c>
      <c r="B5" s="79">
        <v>126</v>
      </c>
      <c r="C5" s="115">
        <v>0.0328125</v>
      </c>
      <c r="D5" s="79"/>
      <c r="E5" s="79"/>
      <c r="F5" s="79"/>
      <c r="G5" s="79"/>
    </row>
    <row r="6" spans="1:7" ht="15">
      <c r="A6" s="79" t="s">
        <v>1073</v>
      </c>
      <c r="B6" s="79">
        <v>13</v>
      </c>
      <c r="C6" s="115">
        <v>0.0033854166666666668</v>
      </c>
      <c r="D6" s="79"/>
      <c r="E6" s="79"/>
      <c r="F6" s="79"/>
      <c r="G6" s="79"/>
    </row>
    <row r="7" spans="1:7" ht="15">
      <c r="A7" s="79" t="s">
        <v>1074</v>
      </c>
      <c r="B7" s="79">
        <v>0</v>
      </c>
      <c r="C7" s="115">
        <v>0</v>
      </c>
      <c r="D7" s="79"/>
      <c r="E7" s="79"/>
      <c r="F7" s="79"/>
      <c r="G7" s="79"/>
    </row>
    <row r="8" spans="1:7" ht="15">
      <c r="A8" s="79" t="s">
        <v>1075</v>
      </c>
      <c r="B8" s="79">
        <v>3701</v>
      </c>
      <c r="C8" s="115">
        <v>0.9638020833333333</v>
      </c>
      <c r="D8" s="79"/>
      <c r="E8" s="79"/>
      <c r="F8" s="79"/>
      <c r="G8" s="79"/>
    </row>
    <row r="9" spans="1:7" ht="15">
      <c r="A9" s="79" t="s">
        <v>1076</v>
      </c>
      <c r="B9" s="79">
        <v>3840</v>
      </c>
      <c r="C9" s="115">
        <v>1</v>
      </c>
      <c r="D9" s="79"/>
      <c r="E9" s="79"/>
      <c r="F9" s="79"/>
      <c r="G9" s="79"/>
    </row>
    <row r="10" spans="1:7" ht="15">
      <c r="A10" s="114" t="s">
        <v>1077</v>
      </c>
      <c r="B10" s="114">
        <v>52</v>
      </c>
      <c r="C10" s="116">
        <v>0.02256768824313969</v>
      </c>
      <c r="D10" s="114" t="s">
        <v>1396</v>
      </c>
      <c r="E10" s="114" t="b">
        <v>0</v>
      </c>
      <c r="F10" s="114" t="b">
        <v>0</v>
      </c>
      <c r="G10" s="114" t="b">
        <v>0</v>
      </c>
    </row>
    <row r="11" spans="1:7" ht="15">
      <c r="A11" s="114" t="s">
        <v>1078</v>
      </c>
      <c r="B11" s="114">
        <v>23</v>
      </c>
      <c r="C11" s="116">
        <v>0.013409051038534925</v>
      </c>
      <c r="D11" s="114" t="s">
        <v>1396</v>
      </c>
      <c r="E11" s="114" t="b">
        <v>0</v>
      </c>
      <c r="F11" s="114" t="b">
        <v>0</v>
      </c>
      <c r="G11" s="114" t="b">
        <v>0</v>
      </c>
    </row>
    <row r="12" spans="1:7" ht="15">
      <c r="A12" s="114" t="s">
        <v>1079</v>
      </c>
      <c r="B12" s="114">
        <v>17</v>
      </c>
      <c r="C12" s="116">
        <v>0.011684865352172133</v>
      </c>
      <c r="D12" s="114" t="s">
        <v>1396</v>
      </c>
      <c r="E12" s="114" t="b">
        <v>0</v>
      </c>
      <c r="F12" s="114" t="b">
        <v>0</v>
      </c>
      <c r="G12" s="114" t="b">
        <v>0</v>
      </c>
    </row>
    <row r="13" spans="1:7" ht="15">
      <c r="A13" s="114" t="s">
        <v>1080</v>
      </c>
      <c r="B13" s="114">
        <v>14</v>
      </c>
      <c r="C13" s="116">
        <v>0.010189316257721022</v>
      </c>
      <c r="D13" s="114" t="s">
        <v>1396</v>
      </c>
      <c r="E13" s="114" t="b">
        <v>0</v>
      </c>
      <c r="F13" s="114" t="b">
        <v>0</v>
      </c>
      <c r="G13" s="114" t="b">
        <v>0</v>
      </c>
    </row>
    <row r="14" spans="1:7" ht="15">
      <c r="A14" s="114" t="s">
        <v>1081</v>
      </c>
      <c r="B14" s="114">
        <v>14</v>
      </c>
      <c r="C14" s="116">
        <v>0.010869797272815613</v>
      </c>
      <c r="D14" s="114" t="s">
        <v>1396</v>
      </c>
      <c r="E14" s="114" t="b">
        <v>0</v>
      </c>
      <c r="F14" s="114" t="b">
        <v>0</v>
      </c>
      <c r="G14" s="114" t="b">
        <v>0</v>
      </c>
    </row>
    <row r="15" spans="1:7" ht="15">
      <c r="A15" s="114" t="s">
        <v>1082</v>
      </c>
      <c r="B15" s="114">
        <v>14</v>
      </c>
      <c r="C15" s="116">
        <v>0.00937152768701261</v>
      </c>
      <c r="D15" s="114" t="s">
        <v>1396</v>
      </c>
      <c r="E15" s="114" t="b">
        <v>0</v>
      </c>
      <c r="F15" s="114" t="b">
        <v>0</v>
      </c>
      <c r="G15" s="114" t="b">
        <v>0</v>
      </c>
    </row>
    <row r="16" spans="1:7" ht="15">
      <c r="A16" s="114" t="s">
        <v>1083</v>
      </c>
      <c r="B16" s="114">
        <v>12</v>
      </c>
      <c r="C16" s="116">
        <v>0.009010728217182188</v>
      </c>
      <c r="D16" s="114" t="s">
        <v>1396</v>
      </c>
      <c r="E16" s="114" t="b">
        <v>0</v>
      </c>
      <c r="F16" s="114" t="b">
        <v>0</v>
      </c>
      <c r="G16" s="114" t="b">
        <v>0</v>
      </c>
    </row>
    <row r="17" spans="1:7" ht="15">
      <c r="A17" s="114" t="s">
        <v>1084</v>
      </c>
      <c r="B17" s="114">
        <v>12</v>
      </c>
      <c r="C17" s="116">
        <v>0.010047439605820739</v>
      </c>
      <c r="D17" s="114" t="s">
        <v>1396</v>
      </c>
      <c r="E17" s="114" t="b">
        <v>0</v>
      </c>
      <c r="F17" s="114" t="b">
        <v>0</v>
      </c>
      <c r="G17" s="114" t="b">
        <v>0</v>
      </c>
    </row>
    <row r="18" spans="1:7" ht="15">
      <c r="A18" s="114" t="s">
        <v>1085</v>
      </c>
      <c r="B18" s="114">
        <v>11</v>
      </c>
      <c r="C18" s="116">
        <v>0.008259834199083672</v>
      </c>
      <c r="D18" s="114" t="s">
        <v>1396</v>
      </c>
      <c r="E18" s="114" t="b">
        <v>0</v>
      </c>
      <c r="F18" s="114" t="b">
        <v>0</v>
      </c>
      <c r="G18" s="114" t="b">
        <v>0</v>
      </c>
    </row>
    <row r="19" spans="1:7" ht="15">
      <c r="A19" s="114" t="s">
        <v>1086</v>
      </c>
      <c r="B19" s="114">
        <v>11</v>
      </c>
      <c r="C19" s="116">
        <v>0.008259834199083672</v>
      </c>
      <c r="D19" s="114" t="s">
        <v>1396</v>
      </c>
      <c r="E19" s="114" t="b">
        <v>1</v>
      </c>
      <c r="F19" s="114" t="b">
        <v>0</v>
      </c>
      <c r="G19" s="114" t="b">
        <v>0</v>
      </c>
    </row>
    <row r="20" spans="1:7" ht="15">
      <c r="A20" s="114" t="s">
        <v>1087</v>
      </c>
      <c r="B20" s="114">
        <v>10</v>
      </c>
      <c r="C20" s="116">
        <v>0.007508940180985157</v>
      </c>
      <c r="D20" s="114" t="s">
        <v>1396</v>
      </c>
      <c r="E20" s="114" t="b">
        <v>0</v>
      </c>
      <c r="F20" s="114" t="b">
        <v>0</v>
      </c>
      <c r="G20" s="114" t="b">
        <v>0</v>
      </c>
    </row>
    <row r="21" spans="1:7" ht="15">
      <c r="A21" s="114" t="s">
        <v>1088</v>
      </c>
      <c r="B21" s="114">
        <v>10</v>
      </c>
      <c r="C21" s="116">
        <v>0.007508940180985157</v>
      </c>
      <c r="D21" s="114" t="s">
        <v>1396</v>
      </c>
      <c r="E21" s="114" t="b">
        <v>0</v>
      </c>
      <c r="F21" s="114" t="b">
        <v>0</v>
      </c>
      <c r="G21" s="114" t="b">
        <v>0</v>
      </c>
    </row>
    <row r="22" spans="1:7" ht="15">
      <c r="A22" s="114" t="s">
        <v>1089</v>
      </c>
      <c r="B22" s="114">
        <v>10</v>
      </c>
      <c r="C22" s="116">
        <v>0.008049431051080285</v>
      </c>
      <c r="D22" s="114" t="s">
        <v>1396</v>
      </c>
      <c r="E22" s="114" t="b">
        <v>0</v>
      </c>
      <c r="F22" s="114" t="b">
        <v>0</v>
      </c>
      <c r="G22" s="114" t="b">
        <v>0</v>
      </c>
    </row>
    <row r="23" spans="1:7" ht="15">
      <c r="A23" s="114" t="s">
        <v>1090</v>
      </c>
      <c r="B23" s="114">
        <v>10</v>
      </c>
      <c r="C23" s="116">
        <v>0.008049431051080285</v>
      </c>
      <c r="D23" s="114" t="s">
        <v>1396</v>
      </c>
      <c r="E23" s="114" t="b">
        <v>0</v>
      </c>
      <c r="F23" s="114" t="b">
        <v>0</v>
      </c>
      <c r="G23" s="114" t="b">
        <v>0</v>
      </c>
    </row>
    <row r="24" spans="1:7" ht="15">
      <c r="A24" s="114" t="s">
        <v>1091</v>
      </c>
      <c r="B24" s="114">
        <v>10</v>
      </c>
      <c r="C24" s="116">
        <v>0.007508940180985157</v>
      </c>
      <c r="D24" s="114" t="s">
        <v>1396</v>
      </c>
      <c r="E24" s="114" t="b">
        <v>0</v>
      </c>
      <c r="F24" s="114" t="b">
        <v>0</v>
      </c>
      <c r="G24" s="114" t="b">
        <v>0</v>
      </c>
    </row>
    <row r="25" spans="1:7" ht="15">
      <c r="A25" s="114" t="s">
        <v>1092</v>
      </c>
      <c r="B25" s="114">
        <v>10</v>
      </c>
      <c r="C25" s="116">
        <v>0.009187858171302955</v>
      </c>
      <c r="D25" s="114" t="s">
        <v>1396</v>
      </c>
      <c r="E25" s="114" t="b">
        <v>0</v>
      </c>
      <c r="F25" s="114" t="b">
        <v>0</v>
      </c>
      <c r="G25" s="114" t="b">
        <v>0</v>
      </c>
    </row>
    <row r="26" spans="1:7" ht="15">
      <c r="A26" s="114" t="s">
        <v>1093</v>
      </c>
      <c r="B26" s="114">
        <v>9</v>
      </c>
      <c r="C26" s="116">
        <v>0.008269072354172659</v>
      </c>
      <c r="D26" s="114" t="s">
        <v>1396</v>
      </c>
      <c r="E26" s="114" t="b">
        <v>0</v>
      </c>
      <c r="F26" s="114" t="b">
        <v>0</v>
      </c>
      <c r="G26" s="114" t="b">
        <v>0</v>
      </c>
    </row>
    <row r="27" spans="1:7" ht="15">
      <c r="A27" s="114" t="s">
        <v>1094</v>
      </c>
      <c r="B27" s="114">
        <v>8</v>
      </c>
      <c r="C27" s="116">
        <v>0.006439544840864228</v>
      </c>
      <c r="D27" s="114" t="s">
        <v>1396</v>
      </c>
      <c r="E27" s="114" t="b">
        <v>0</v>
      </c>
      <c r="F27" s="114" t="b">
        <v>0</v>
      </c>
      <c r="G27" s="114" t="b">
        <v>0</v>
      </c>
    </row>
    <row r="28" spans="1:7" ht="15">
      <c r="A28" s="114" t="s">
        <v>1095</v>
      </c>
      <c r="B28" s="114">
        <v>8</v>
      </c>
      <c r="C28" s="116">
        <v>0.007782679233118467</v>
      </c>
      <c r="D28" s="114" t="s">
        <v>1396</v>
      </c>
      <c r="E28" s="114" t="b">
        <v>0</v>
      </c>
      <c r="F28" s="114" t="b">
        <v>0</v>
      </c>
      <c r="G28" s="114" t="b">
        <v>0</v>
      </c>
    </row>
    <row r="29" spans="1:7" ht="15">
      <c r="A29" s="114" t="s">
        <v>1096</v>
      </c>
      <c r="B29" s="114">
        <v>8</v>
      </c>
      <c r="C29" s="116">
        <v>0.007350286537042365</v>
      </c>
      <c r="D29" s="114" t="s">
        <v>1396</v>
      </c>
      <c r="E29" s="114" t="b">
        <v>0</v>
      </c>
      <c r="F29" s="114" t="b">
        <v>0</v>
      </c>
      <c r="G29" s="114" t="b">
        <v>0</v>
      </c>
    </row>
    <row r="30" spans="1:7" ht="15">
      <c r="A30" s="114" t="s">
        <v>1097</v>
      </c>
      <c r="B30" s="114">
        <v>7</v>
      </c>
      <c r="C30" s="116">
        <v>0.006122371482693232</v>
      </c>
      <c r="D30" s="114" t="s">
        <v>1396</v>
      </c>
      <c r="E30" s="114" t="b">
        <v>0</v>
      </c>
      <c r="F30" s="114" t="b">
        <v>0</v>
      </c>
      <c r="G30" s="114" t="b">
        <v>0</v>
      </c>
    </row>
    <row r="31" spans="1:7" ht="15">
      <c r="A31" s="114" t="s">
        <v>1098</v>
      </c>
      <c r="B31" s="114">
        <v>7</v>
      </c>
      <c r="C31" s="116">
        <v>0.006431500719912069</v>
      </c>
      <c r="D31" s="114" t="s">
        <v>1396</v>
      </c>
      <c r="E31" s="114" t="b">
        <v>0</v>
      </c>
      <c r="F31" s="114" t="b">
        <v>0</v>
      </c>
      <c r="G31" s="114" t="b">
        <v>0</v>
      </c>
    </row>
    <row r="32" spans="1:7" ht="15">
      <c r="A32" s="114" t="s">
        <v>1099</v>
      </c>
      <c r="B32" s="114">
        <v>7</v>
      </c>
      <c r="C32" s="116">
        <v>0.005861006436728764</v>
      </c>
      <c r="D32" s="114" t="s">
        <v>1396</v>
      </c>
      <c r="E32" s="114" t="b">
        <v>0</v>
      </c>
      <c r="F32" s="114" t="b">
        <v>0</v>
      </c>
      <c r="G32" s="114" t="b">
        <v>0</v>
      </c>
    </row>
    <row r="33" spans="1:7" ht="15">
      <c r="A33" s="114" t="s">
        <v>1100</v>
      </c>
      <c r="B33" s="114">
        <v>7</v>
      </c>
      <c r="C33" s="116">
        <v>0.005861006436728764</v>
      </c>
      <c r="D33" s="114" t="s">
        <v>1396</v>
      </c>
      <c r="E33" s="114" t="b">
        <v>0</v>
      </c>
      <c r="F33" s="114" t="b">
        <v>0</v>
      </c>
      <c r="G33" s="114" t="b">
        <v>0</v>
      </c>
    </row>
    <row r="34" spans="1:7" ht="15">
      <c r="A34" s="114" t="s">
        <v>1101</v>
      </c>
      <c r="B34" s="114">
        <v>7</v>
      </c>
      <c r="C34" s="116">
        <v>0.006809844328978658</v>
      </c>
      <c r="D34" s="114" t="s">
        <v>1396</v>
      </c>
      <c r="E34" s="114" t="b">
        <v>0</v>
      </c>
      <c r="F34" s="114" t="b">
        <v>0</v>
      </c>
      <c r="G34" s="114" t="b">
        <v>0</v>
      </c>
    </row>
    <row r="35" spans="1:7" ht="15">
      <c r="A35" s="114" t="s">
        <v>1102</v>
      </c>
      <c r="B35" s="114">
        <v>7</v>
      </c>
      <c r="C35" s="116">
        <v>0.007297614075915691</v>
      </c>
      <c r="D35" s="114" t="s">
        <v>1396</v>
      </c>
      <c r="E35" s="114" t="b">
        <v>0</v>
      </c>
      <c r="F35" s="114" t="b">
        <v>0</v>
      </c>
      <c r="G35" s="114" t="b">
        <v>0</v>
      </c>
    </row>
    <row r="36" spans="1:7" ht="15">
      <c r="A36" s="114" t="s">
        <v>1103</v>
      </c>
      <c r="B36" s="114">
        <v>7</v>
      </c>
      <c r="C36" s="116">
        <v>0.006431500719912069</v>
      </c>
      <c r="D36" s="114" t="s">
        <v>1396</v>
      </c>
      <c r="E36" s="114" t="b">
        <v>0</v>
      </c>
      <c r="F36" s="114" t="b">
        <v>0</v>
      </c>
      <c r="G36" s="114" t="b">
        <v>0</v>
      </c>
    </row>
    <row r="37" spans="1:7" ht="15">
      <c r="A37" s="114" t="s">
        <v>1104</v>
      </c>
      <c r="B37" s="114">
        <v>6</v>
      </c>
      <c r="C37" s="116">
        <v>0.0058370094248388505</v>
      </c>
      <c r="D37" s="114" t="s">
        <v>1396</v>
      </c>
      <c r="E37" s="114" t="b">
        <v>0</v>
      </c>
      <c r="F37" s="114" t="b">
        <v>0</v>
      </c>
      <c r="G37" s="114" t="b">
        <v>0</v>
      </c>
    </row>
    <row r="38" spans="1:7" ht="15">
      <c r="A38" s="114" t="s">
        <v>1105</v>
      </c>
      <c r="B38" s="114">
        <v>6</v>
      </c>
      <c r="C38" s="116">
        <v>0.00684436021902953</v>
      </c>
      <c r="D38" s="114" t="s">
        <v>1396</v>
      </c>
      <c r="E38" s="114" t="b">
        <v>0</v>
      </c>
      <c r="F38" s="114" t="b">
        <v>0</v>
      </c>
      <c r="G38" s="114" t="b">
        <v>0</v>
      </c>
    </row>
    <row r="39" spans="1:7" ht="15">
      <c r="A39" s="114" t="s">
        <v>1106</v>
      </c>
      <c r="B39" s="114">
        <v>6</v>
      </c>
      <c r="C39" s="116">
        <v>0.0058370094248388505</v>
      </c>
      <c r="D39" s="114" t="s">
        <v>1396</v>
      </c>
      <c r="E39" s="114" t="b">
        <v>0</v>
      </c>
      <c r="F39" s="114" t="b">
        <v>0</v>
      </c>
      <c r="G39" s="114" t="b">
        <v>0</v>
      </c>
    </row>
    <row r="40" spans="1:7" ht="15">
      <c r="A40" s="114" t="s">
        <v>1107</v>
      </c>
      <c r="B40" s="114">
        <v>6</v>
      </c>
      <c r="C40" s="116">
        <v>0.005512714902781773</v>
      </c>
      <c r="D40" s="114" t="s">
        <v>1396</v>
      </c>
      <c r="E40" s="114" t="b">
        <v>0</v>
      </c>
      <c r="F40" s="114" t="b">
        <v>0</v>
      </c>
      <c r="G40" s="114" t="b">
        <v>0</v>
      </c>
    </row>
    <row r="41" spans="1:7" ht="15">
      <c r="A41" s="114" t="s">
        <v>1108</v>
      </c>
      <c r="B41" s="114">
        <v>6</v>
      </c>
      <c r="C41" s="116">
        <v>0.00684436021902953</v>
      </c>
      <c r="D41" s="114" t="s">
        <v>1396</v>
      </c>
      <c r="E41" s="114" t="b">
        <v>0</v>
      </c>
      <c r="F41" s="114" t="b">
        <v>0</v>
      </c>
      <c r="G41" s="114" t="b">
        <v>0</v>
      </c>
    </row>
    <row r="42" spans="1:7" ht="15">
      <c r="A42" s="114" t="s">
        <v>1109</v>
      </c>
      <c r="B42" s="114">
        <v>6</v>
      </c>
      <c r="C42" s="116">
        <v>0.0058370094248388505</v>
      </c>
      <c r="D42" s="114" t="s">
        <v>1396</v>
      </c>
      <c r="E42" s="114" t="b">
        <v>0</v>
      </c>
      <c r="F42" s="114" t="b">
        <v>0</v>
      </c>
      <c r="G42" s="114" t="b">
        <v>0</v>
      </c>
    </row>
    <row r="43" spans="1:7" ht="15">
      <c r="A43" s="114" t="s">
        <v>1110</v>
      </c>
      <c r="B43" s="114">
        <v>6</v>
      </c>
      <c r="C43" s="116">
        <v>0.005512714902781773</v>
      </c>
      <c r="D43" s="114" t="s">
        <v>1396</v>
      </c>
      <c r="E43" s="114" t="b">
        <v>0</v>
      </c>
      <c r="F43" s="114" t="b">
        <v>0</v>
      </c>
      <c r="G43" s="114" t="b">
        <v>0</v>
      </c>
    </row>
    <row r="44" spans="1:7" ht="15">
      <c r="A44" s="114" t="s">
        <v>1111</v>
      </c>
      <c r="B44" s="114">
        <v>6</v>
      </c>
      <c r="C44" s="116">
        <v>0.005247746985165628</v>
      </c>
      <c r="D44" s="114" t="s">
        <v>1396</v>
      </c>
      <c r="E44" s="114" t="b">
        <v>0</v>
      </c>
      <c r="F44" s="114" t="b">
        <v>0</v>
      </c>
      <c r="G44" s="114" t="b">
        <v>0</v>
      </c>
    </row>
    <row r="45" spans="1:7" ht="15">
      <c r="A45" s="114" t="s">
        <v>1112</v>
      </c>
      <c r="B45" s="114">
        <v>6</v>
      </c>
      <c r="C45" s="116">
        <v>0.006255097779356307</v>
      </c>
      <c r="D45" s="114" t="s">
        <v>1396</v>
      </c>
      <c r="E45" s="114" t="b">
        <v>0</v>
      </c>
      <c r="F45" s="114" t="b">
        <v>0</v>
      </c>
      <c r="G45" s="114" t="b">
        <v>0</v>
      </c>
    </row>
    <row r="46" spans="1:7" ht="15">
      <c r="A46" s="114" t="s">
        <v>1113</v>
      </c>
      <c r="B46" s="114">
        <v>5</v>
      </c>
      <c r="C46" s="116">
        <v>0.005212581482796922</v>
      </c>
      <c r="D46" s="114" t="s">
        <v>1396</v>
      </c>
      <c r="E46" s="114" t="b">
        <v>0</v>
      </c>
      <c r="F46" s="114" t="b">
        <v>0</v>
      </c>
      <c r="G46" s="114" t="b">
        <v>0</v>
      </c>
    </row>
    <row r="47" spans="1:7" ht="15">
      <c r="A47" s="114" t="s">
        <v>1114</v>
      </c>
      <c r="B47" s="114">
        <v>5</v>
      </c>
      <c r="C47" s="116">
        <v>0.004864174520699042</v>
      </c>
      <c r="D47" s="114" t="s">
        <v>1396</v>
      </c>
      <c r="E47" s="114" t="b">
        <v>0</v>
      </c>
      <c r="F47" s="114" t="b">
        <v>0</v>
      </c>
      <c r="G47" s="114" t="b">
        <v>0</v>
      </c>
    </row>
    <row r="48" spans="1:7" ht="15">
      <c r="A48" s="114" t="s">
        <v>1115</v>
      </c>
      <c r="B48" s="114">
        <v>5</v>
      </c>
      <c r="C48" s="116">
        <v>0.004593929085651477</v>
      </c>
      <c r="D48" s="114" t="s">
        <v>1396</v>
      </c>
      <c r="E48" s="114" t="b">
        <v>0</v>
      </c>
      <c r="F48" s="114" t="b">
        <v>0</v>
      </c>
      <c r="G48" s="114" t="b">
        <v>0</v>
      </c>
    </row>
    <row r="49" spans="1:7" ht="15">
      <c r="A49" s="114" t="s">
        <v>1116</v>
      </c>
      <c r="B49" s="114">
        <v>5</v>
      </c>
      <c r="C49" s="116">
        <v>0.004593929085651477</v>
      </c>
      <c r="D49" s="114" t="s">
        <v>1396</v>
      </c>
      <c r="E49" s="114" t="b">
        <v>0</v>
      </c>
      <c r="F49" s="114" t="b">
        <v>0</v>
      </c>
      <c r="G49" s="114" t="b">
        <v>0</v>
      </c>
    </row>
    <row r="50" spans="1:7" ht="15">
      <c r="A50" s="114" t="s">
        <v>1117</v>
      </c>
      <c r="B50" s="114">
        <v>5</v>
      </c>
      <c r="C50" s="116">
        <v>0.005212581482796922</v>
      </c>
      <c r="D50" s="114" t="s">
        <v>1396</v>
      </c>
      <c r="E50" s="114" t="b">
        <v>0</v>
      </c>
      <c r="F50" s="114" t="b">
        <v>0</v>
      </c>
      <c r="G50" s="114" t="b">
        <v>0</v>
      </c>
    </row>
    <row r="51" spans="1:7" ht="15">
      <c r="A51" s="114" t="s">
        <v>1118</v>
      </c>
      <c r="B51" s="114">
        <v>5</v>
      </c>
      <c r="C51" s="116">
        <v>0.004864174520699042</v>
      </c>
      <c r="D51" s="114" t="s">
        <v>1396</v>
      </c>
      <c r="E51" s="114" t="b">
        <v>0</v>
      </c>
      <c r="F51" s="114" t="b">
        <v>0</v>
      </c>
      <c r="G51" s="114" t="b">
        <v>0</v>
      </c>
    </row>
    <row r="52" spans="1:7" ht="15">
      <c r="A52" s="114" t="s">
        <v>1119</v>
      </c>
      <c r="B52" s="114">
        <v>5</v>
      </c>
      <c r="C52" s="116">
        <v>0.005703633515857941</v>
      </c>
      <c r="D52" s="114" t="s">
        <v>1396</v>
      </c>
      <c r="E52" s="114" t="b">
        <v>0</v>
      </c>
      <c r="F52" s="114" t="b">
        <v>0</v>
      </c>
      <c r="G52" s="114" t="b">
        <v>0</v>
      </c>
    </row>
    <row r="53" spans="1:7" ht="15">
      <c r="A53" s="114" t="s">
        <v>1120</v>
      </c>
      <c r="B53" s="114">
        <v>5</v>
      </c>
      <c r="C53" s="116">
        <v>0.004593929085651477</v>
      </c>
      <c r="D53" s="114" t="s">
        <v>1396</v>
      </c>
      <c r="E53" s="114" t="b">
        <v>0</v>
      </c>
      <c r="F53" s="114" t="b">
        <v>0</v>
      </c>
      <c r="G53" s="114" t="b">
        <v>0</v>
      </c>
    </row>
    <row r="54" spans="1:7" ht="15">
      <c r="A54" s="114" t="s">
        <v>1121</v>
      </c>
      <c r="B54" s="114">
        <v>5</v>
      </c>
      <c r="C54" s="116">
        <v>0.004864174520699042</v>
      </c>
      <c r="D54" s="114" t="s">
        <v>1396</v>
      </c>
      <c r="E54" s="114" t="b">
        <v>0</v>
      </c>
      <c r="F54" s="114" t="b">
        <v>0</v>
      </c>
      <c r="G54" s="114" t="b">
        <v>0</v>
      </c>
    </row>
    <row r="55" spans="1:7" ht="15">
      <c r="A55" s="114" t="s">
        <v>1122</v>
      </c>
      <c r="B55" s="114">
        <v>5</v>
      </c>
      <c r="C55" s="116">
        <v>0.004864174520699042</v>
      </c>
      <c r="D55" s="114" t="s">
        <v>1396</v>
      </c>
      <c r="E55" s="114" t="b">
        <v>0</v>
      </c>
      <c r="F55" s="114" t="b">
        <v>0</v>
      </c>
      <c r="G55" s="114" t="b">
        <v>0</v>
      </c>
    </row>
    <row r="56" spans="1:7" ht="15">
      <c r="A56" s="114" t="s">
        <v>1123</v>
      </c>
      <c r="B56" s="114">
        <v>5</v>
      </c>
      <c r="C56" s="116">
        <v>0.004593929085651477</v>
      </c>
      <c r="D56" s="114" t="s">
        <v>1396</v>
      </c>
      <c r="E56" s="114" t="b">
        <v>0</v>
      </c>
      <c r="F56" s="114" t="b">
        <v>0</v>
      </c>
      <c r="G56" s="114" t="b">
        <v>0</v>
      </c>
    </row>
    <row r="57" spans="1:7" ht="15">
      <c r="A57" s="114" t="s">
        <v>1124</v>
      </c>
      <c r="B57" s="114">
        <v>5</v>
      </c>
      <c r="C57" s="116">
        <v>0.004864174520699042</v>
      </c>
      <c r="D57" s="114" t="s">
        <v>1396</v>
      </c>
      <c r="E57" s="114" t="b">
        <v>0</v>
      </c>
      <c r="F57" s="114" t="b">
        <v>0</v>
      </c>
      <c r="G57" s="114" t="b">
        <v>0</v>
      </c>
    </row>
    <row r="58" spans="1:7" ht="15">
      <c r="A58" s="114" t="s">
        <v>1125</v>
      </c>
      <c r="B58" s="114">
        <v>5</v>
      </c>
      <c r="C58" s="116">
        <v>0.004593929085651477</v>
      </c>
      <c r="D58" s="114" t="s">
        <v>1396</v>
      </c>
      <c r="E58" s="114" t="b">
        <v>0</v>
      </c>
      <c r="F58" s="114" t="b">
        <v>0</v>
      </c>
      <c r="G58" s="114" t="b">
        <v>0</v>
      </c>
    </row>
    <row r="59" spans="1:7" ht="15">
      <c r="A59" s="114" t="s">
        <v>1126</v>
      </c>
      <c r="B59" s="114">
        <v>5</v>
      </c>
      <c r="C59" s="116">
        <v>0.004864174520699042</v>
      </c>
      <c r="D59" s="114" t="s">
        <v>1396</v>
      </c>
      <c r="E59" s="114" t="b">
        <v>0</v>
      </c>
      <c r="F59" s="114" t="b">
        <v>0</v>
      </c>
      <c r="G59" s="114" t="b">
        <v>0</v>
      </c>
    </row>
    <row r="60" spans="1:7" ht="15">
      <c r="A60" s="114" t="s">
        <v>1127</v>
      </c>
      <c r="B60" s="114">
        <v>5</v>
      </c>
      <c r="C60" s="116">
        <v>0.004864174520699042</v>
      </c>
      <c r="D60" s="114" t="s">
        <v>1396</v>
      </c>
      <c r="E60" s="114" t="b">
        <v>0</v>
      </c>
      <c r="F60" s="114" t="b">
        <v>0</v>
      </c>
      <c r="G60" s="114" t="b">
        <v>0</v>
      </c>
    </row>
    <row r="61" spans="1:7" ht="15">
      <c r="A61" s="114" t="s">
        <v>1128</v>
      </c>
      <c r="B61" s="114">
        <v>4</v>
      </c>
      <c r="C61" s="116">
        <v>0.0038913396165592335</v>
      </c>
      <c r="D61" s="114" t="s">
        <v>1396</v>
      </c>
      <c r="E61" s="114" t="b">
        <v>0</v>
      </c>
      <c r="F61" s="114" t="b">
        <v>0</v>
      </c>
      <c r="G61" s="114" t="b">
        <v>0</v>
      </c>
    </row>
    <row r="62" spans="1:7" ht="15">
      <c r="A62" s="114" t="s">
        <v>1129</v>
      </c>
      <c r="B62" s="114">
        <v>4</v>
      </c>
      <c r="C62" s="116">
        <v>0.004170065186237538</v>
      </c>
      <c r="D62" s="114" t="s">
        <v>1396</v>
      </c>
      <c r="E62" s="114" t="b">
        <v>0</v>
      </c>
      <c r="F62" s="114" t="b">
        <v>0</v>
      </c>
      <c r="G62" s="114" t="b">
        <v>0</v>
      </c>
    </row>
    <row r="63" spans="1:7" ht="15">
      <c r="A63" s="114" t="s">
        <v>1130</v>
      </c>
      <c r="B63" s="114">
        <v>4</v>
      </c>
      <c r="C63" s="116">
        <v>0.0038913396165592335</v>
      </c>
      <c r="D63" s="114" t="s">
        <v>1396</v>
      </c>
      <c r="E63" s="114" t="b">
        <v>0</v>
      </c>
      <c r="F63" s="114" t="b">
        <v>0</v>
      </c>
      <c r="G63" s="114" t="b">
        <v>0</v>
      </c>
    </row>
    <row r="64" spans="1:7" ht="15">
      <c r="A64" s="114" t="s">
        <v>1131</v>
      </c>
      <c r="B64" s="114">
        <v>4</v>
      </c>
      <c r="C64" s="116">
        <v>0.004562906812686353</v>
      </c>
      <c r="D64" s="114" t="s">
        <v>1396</v>
      </c>
      <c r="E64" s="114" t="b">
        <v>0</v>
      </c>
      <c r="F64" s="114" t="b">
        <v>0</v>
      </c>
      <c r="G64" s="114" t="b">
        <v>0</v>
      </c>
    </row>
    <row r="65" spans="1:7" ht="15">
      <c r="A65" s="114" t="s">
        <v>1132</v>
      </c>
      <c r="B65" s="114">
        <v>4</v>
      </c>
      <c r="C65" s="116">
        <v>0.0038913396165592335</v>
      </c>
      <c r="D65" s="114" t="s">
        <v>1396</v>
      </c>
      <c r="E65" s="114" t="b">
        <v>0</v>
      </c>
      <c r="F65" s="114" t="b">
        <v>0</v>
      </c>
      <c r="G65" s="114" t="b">
        <v>0</v>
      </c>
    </row>
    <row r="66" spans="1:7" ht="15">
      <c r="A66" s="114" t="s">
        <v>1133</v>
      </c>
      <c r="B66" s="114">
        <v>4</v>
      </c>
      <c r="C66" s="116">
        <v>0.004170065186237538</v>
      </c>
      <c r="D66" s="114" t="s">
        <v>1396</v>
      </c>
      <c r="E66" s="114" t="b">
        <v>0</v>
      </c>
      <c r="F66" s="114" t="b">
        <v>0</v>
      </c>
      <c r="G66" s="114" t="b">
        <v>0</v>
      </c>
    </row>
    <row r="67" spans="1:7" ht="15">
      <c r="A67" s="114" t="s">
        <v>1134</v>
      </c>
      <c r="B67" s="114">
        <v>4</v>
      </c>
      <c r="C67" s="116">
        <v>0.004562906812686353</v>
      </c>
      <c r="D67" s="114" t="s">
        <v>1396</v>
      </c>
      <c r="E67" s="114" t="b">
        <v>0</v>
      </c>
      <c r="F67" s="114" t="b">
        <v>0</v>
      </c>
      <c r="G67" s="114" t="b">
        <v>0</v>
      </c>
    </row>
    <row r="68" spans="1:7" ht="15">
      <c r="A68" s="114" t="s">
        <v>1135</v>
      </c>
      <c r="B68" s="114">
        <v>4</v>
      </c>
      <c r="C68" s="116">
        <v>0.004170065186237538</v>
      </c>
      <c r="D68" s="114" t="s">
        <v>1396</v>
      </c>
      <c r="E68" s="114" t="b">
        <v>0</v>
      </c>
      <c r="F68" s="114" t="b">
        <v>0</v>
      </c>
      <c r="G68" s="114" t="b">
        <v>0</v>
      </c>
    </row>
    <row r="69" spans="1:7" ht="15">
      <c r="A69" s="114" t="s">
        <v>1136</v>
      </c>
      <c r="B69" s="114">
        <v>4</v>
      </c>
      <c r="C69" s="116">
        <v>0.0038913396165592335</v>
      </c>
      <c r="D69" s="114" t="s">
        <v>1396</v>
      </c>
      <c r="E69" s="114" t="b">
        <v>0</v>
      </c>
      <c r="F69" s="114" t="b">
        <v>0</v>
      </c>
      <c r="G69" s="114" t="b">
        <v>0</v>
      </c>
    </row>
    <row r="70" spans="1:7" ht="15">
      <c r="A70" s="114" t="s">
        <v>1137</v>
      </c>
      <c r="B70" s="114">
        <v>4</v>
      </c>
      <c r="C70" s="116">
        <v>0.004562906812686353</v>
      </c>
      <c r="D70" s="114" t="s">
        <v>1396</v>
      </c>
      <c r="E70" s="114" t="b">
        <v>0</v>
      </c>
      <c r="F70" s="114" t="b">
        <v>0</v>
      </c>
      <c r="G70" s="114" t="b">
        <v>0</v>
      </c>
    </row>
    <row r="71" spans="1:7" ht="15">
      <c r="A71" s="114" t="s">
        <v>1138</v>
      </c>
      <c r="B71" s="114">
        <v>4</v>
      </c>
      <c r="C71" s="116">
        <v>0.0038913396165592335</v>
      </c>
      <c r="D71" s="114" t="s">
        <v>1396</v>
      </c>
      <c r="E71" s="114" t="b">
        <v>0</v>
      </c>
      <c r="F71" s="114" t="b">
        <v>0</v>
      </c>
      <c r="G71" s="114" t="b">
        <v>0</v>
      </c>
    </row>
    <row r="72" spans="1:7" ht="15">
      <c r="A72" s="114" t="s">
        <v>1139</v>
      </c>
      <c r="B72" s="114">
        <v>4</v>
      </c>
      <c r="C72" s="116">
        <v>0.0038913396165592335</v>
      </c>
      <c r="D72" s="114" t="s">
        <v>1396</v>
      </c>
      <c r="E72" s="114" t="b">
        <v>0</v>
      </c>
      <c r="F72" s="114" t="b">
        <v>0</v>
      </c>
      <c r="G72" s="114" t="b">
        <v>0</v>
      </c>
    </row>
    <row r="73" spans="1:7" ht="15">
      <c r="A73" s="114" t="s">
        <v>1140</v>
      </c>
      <c r="B73" s="114">
        <v>4</v>
      </c>
      <c r="C73" s="116">
        <v>0.0038913396165592335</v>
      </c>
      <c r="D73" s="114" t="s">
        <v>1396</v>
      </c>
      <c r="E73" s="114" t="b">
        <v>0</v>
      </c>
      <c r="F73" s="114" t="b">
        <v>0</v>
      </c>
      <c r="G73" s="114" t="b">
        <v>0</v>
      </c>
    </row>
    <row r="74" spans="1:7" ht="15">
      <c r="A74" s="114" t="s">
        <v>1141</v>
      </c>
      <c r="B74" s="114">
        <v>4</v>
      </c>
      <c r="C74" s="116">
        <v>0.0038913396165592335</v>
      </c>
      <c r="D74" s="114" t="s">
        <v>1396</v>
      </c>
      <c r="E74" s="114" t="b">
        <v>0</v>
      </c>
      <c r="F74" s="114" t="b">
        <v>0</v>
      </c>
      <c r="G74" s="114" t="b">
        <v>0</v>
      </c>
    </row>
    <row r="75" spans="1:7" ht="15">
      <c r="A75" s="114" t="s">
        <v>1142</v>
      </c>
      <c r="B75" s="114">
        <v>4</v>
      </c>
      <c r="C75" s="116">
        <v>0.0038913396165592335</v>
      </c>
      <c r="D75" s="114" t="s">
        <v>1396</v>
      </c>
      <c r="E75" s="114" t="b">
        <v>0</v>
      </c>
      <c r="F75" s="114" t="b">
        <v>0</v>
      </c>
      <c r="G75" s="114" t="b">
        <v>0</v>
      </c>
    </row>
    <row r="76" spans="1:7" ht="15">
      <c r="A76" s="114" t="s">
        <v>1143</v>
      </c>
      <c r="B76" s="114">
        <v>4</v>
      </c>
      <c r="C76" s="116">
        <v>0.0038913396165592335</v>
      </c>
      <c r="D76" s="114" t="s">
        <v>1396</v>
      </c>
      <c r="E76" s="114" t="b">
        <v>0</v>
      </c>
      <c r="F76" s="114" t="b">
        <v>0</v>
      </c>
      <c r="G76" s="114" t="b">
        <v>0</v>
      </c>
    </row>
    <row r="77" spans="1:7" ht="15">
      <c r="A77" s="114" t="s">
        <v>1144</v>
      </c>
      <c r="B77" s="114">
        <v>4</v>
      </c>
      <c r="C77" s="116">
        <v>0.0038913396165592335</v>
      </c>
      <c r="D77" s="114" t="s">
        <v>1396</v>
      </c>
      <c r="E77" s="114" t="b">
        <v>0</v>
      </c>
      <c r="F77" s="114" t="b">
        <v>0</v>
      </c>
      <c r="G77" s="114" t="b">
        <v>0</v>
      </c>
    </row>
    <row r="78" spans="1:7" ht="15">
      <c r="A78" s="114" t="s">
        <v>1145</v>
      </c>
      <c r="B78" s="114">
        <v>4</v>
      </c>
      <c r="C78" s="116">
        <v>0.004562906812686353</v>
      </c>
      <c r="D78" s="114" t="s">
        <v>1396</v>
      </c>
      <c r="E78" s="114" t="b">
        <v>0</v>
      </c>
      <c r="F78" s="114" t="b">
        <v>0</v>
      </c>
      <c r="G78" s="114" t="b">
        <v>0</v>
      </c>
    </row>
    <row r="79" spans="1:7" ht="15">
      <c r="A79" s="114" t="s">
        <v>1146</v>
      </c>
      <c r="B79" s="114">
        <v>4</v>
      </c>
      <c r="C79" s="116">
        <v>0.004562906812686353</v>
      </c>
      <c r="D79" s="114" t="s">
        <v>1396</v>
      </c>
      <c r="E79" s="114" t="b">
        <v>0</v>
      </c>
      <c r="F79" s="114" t="b">
        <v>0</v>
      </c>
      <c r="G79" s="114" t="b">
        <v>0</v>
      </c>
    </row>
    <row r="80" spans="1:7" ht="15">
      <c r="A80" s="114" t="s">
        <v>1147</v>
      </c>
      <c r="B80" s="114">
        <v>4</v>
      </c>
      <c r="C80" s="116">
        <v>0.004562906812686353</v>
      </c>
      <c r="D80" s="114" t="s">
        <v>1396</v>
      </c>
      <c r="E80" s="114" t="b">
        <v>0</v>
      </c>
      <c r="F80" s="114" t="b">
        <v>0</v>
      </c>
      <c r="G80" s="114" t="b">
        <v>0</v>
      </c>
    </row>
    <row r="81" spans="1:7" ht="15">
      <c r="A81" s="114" t="s">
        <v>1148</v>
      </c>
      <c r="B81" s="114">
        <v>4</v>
      </c>
      <c r="C81" s="116">
        <v>0.004170065186237538</v>
      </c>
      <c r="D81" s="114" t="s">
        <v>1396</v>
      </c>
      <c r="E81" s="114" t="b">
        <v>0</v>
      </c>
      <c r="F81" s="114" t="b">
        <v>0</v>
      </c>
      <c r="G81" s="114" t="b">
        <v>0</v>
      </c>
    </row>
    <row r="82" spans="1:7" ht="15">
      <c r="A82" s="114" t="s">
        <v>1149</v>
      </c>
      <c r="B82" s="114">
        <v>4</v>
      </c>
      <c r="C82" s="116">
        <v>0.004170065186237538</v>
      </c>
      <c r="D82" s="114" t="s">
        <v>1396</v>
      </c>
      <c r="E82" s="114" t="b">
        <v>0</v>
      </c>
      <c r="F82" s="114" t="b">
        <v>0</v>
      </c>
      <c r="G82" s="114" t="b">
        <v>0</v>
      </c>
    </row>
    <row r="83" spans="1:7" ht="15">
      <c r="A83" s="114" t="s">
        <v>1150</v>
      </c>
      <c r="B83" s="114">
        <v>4</v>
      </c>
      <c r="C83" s="116">
        <v>0.0038913396165592335</v>
      </c>
      <c r="D83" s="114" t="s">
        <v>1396</v>
      </c>
      <c r="E83" s="114" t="b">
        <v>0</v>
      </c>
      <c r="F83" s="114" t="b">
        <v>0</v>
      </c>
      <c r="G83" s="114" t="b">
        <v>0</v>
      </c>
    </row>
    <row r="84" spans="1:7" ht="15">
      <c r="A84" s="114" t="s">
        <v>1151</v>
      </c>
      <c r="B84" s="114">
        <v>4</v>
      </c>
      <c r="C84" s="116">
        <v>0.004170065186237538</v>
      </c>
      <c r="D84" s="114" t="s">
        <v>1396</v>
      </c>
      <c r="E84" s="114" t="b">
        <v>0</v>
      </c>
      <c r="F84" s="114" t="b">
        <v>0</v>
      </c>
      <c r="G84" s="114" t="b">
        <v>0</v>
      </c>
    </row>
    <row r="85" spans="1:7" ht="15">
      <c r="A85" s="114" t="s">
        <v>1152</v>
      </c>
      <c r="B85" s="114">
        <v>4</v>
      </c>
      <c r="C85" s="116">
        <v>0.005234474008813473</v>
      </c>
      <c r="D85" s="114" t="s">
        <v>1396</v>
      </c>
      <c r="E85" s="114" t="b">
        <v>0</v>
      </c>
      <c r="F85" s="114" t="b">
        <v>0</v>
      </c>
      <c r="G85" s="114" t="b">
        <v>0</v>
      </c>
    </row>
    <row r="86" spans="1:7" ht="15">
      <c r="A86" s="114" t="s">
        <v>1153</v>
      </c>
      <c r="B86" s="114">
        <v>4</v>
      </c>
      <c r="C86" s="116">
        <v>0.004562906812686353</v>
      </c>
      <c r="D86" s="114" t="s">
        <v>1396</v>
      </c>
      <c r="E86" s="114" t="b">
        <v>0</v>
      </c>
      <c r="F86" s="114" t="b">
        <v>0</v>
      </c>
      <c r="G86" s="114" t="b">
        <v>0</v>
      </c>
    </row>
    <row r="87" spans="1:7" ht="15">
      <c r="A87" s="114" t="s">
        <v>1154</v>
      </c>
      <c r="B87" s="114">
        <v>4</v>
      </c>
      <c r="C87" s="116">
        <v>0.0038913396165592335</v>
      </c>
      <c r="D87" s="114" t="s">
        <v>1396</v>
      </c>
      <c r="E87" s="114" t="b">
        <v>0</v>
      </c>
      <c r="F87" s="114" t="b">
        <v>0</v>
      </c>
      <c r="G87" s="114" t="b">
        <v>0</v>
      </c>
    </row>
    <row r="88" spans="1:7" ht="15">
      <c r="A88" s="114" t="s">
        <v>1155</v>
      </c>
      <c r="B88" s="114">
        <v>4</v>
      </c>
      <c r="C88" s="116">
        <v>0.0038913396165592335</v>
      </c>
      <c r="D88" s="114" t="s">
        <v>1396</v>
      </c>
      <c r="E88" s="114" t="b">
        <v>0</v>
      </c>
      <c r="F88" s="114" t="b">
        <v>0</v>
      </c>
      <c r="G88" s="114" t="b">
        <v>0</v>
      </c>
    </row>
    <row r="89" spans="1:7" ht="15">
      <c r="A89" s="114" t="s">
        <v>1156</v>
      </c>
      <c r="B89" s="114">
        <v>4</v>
      </c>
      <c r="C89" s="116">
        <v>0.004562906812686353</v>
      </c>
      <c r="D89" s="114" t="s">
        <v>1396</v>
      </c>
      <c r="E89" s="114" t="b">
        <v>0</v>
      </c>
      <c r="F89" s="114" t="b">
        <v>0</v>
      </c>
      <c r="G89" s="114" t="b">
        <v>0</v>
      </c>
    </row>
    <row r="90" spans="1:7" ht="15">
      <c r="A90" s="114" t="s">
        <v>1157</v>
      </c>
      <c r="B90" s="114">
        <v>4</v>
      </c>
      <c r="C90" s="116">
        <v>0.0038913396165592335</v>
      </c>
      <c r="D90" s="114" t="s">
        <v>1396</v>
      </c>
      <c r="E90" s="114" t="b">
        <v>0</v>
      </c>
      <c r="F90" s="114" t="b">
        <v>0</v>
      </c>
      <c r="G90" s="114" t="b">
        <v>0</v>
      </c>
    </row>
    <row r="91" spans="1:7" ht="15">
      <c r="A91" s="114" t="s">
        <v>1158</v>
      </c>
      <c r="B91" s="114">
        <v>4</v>
      </c>
      <c r="C91" s="116">
        <v>0.005234474008813473</v>
      </c>
      <c r="D91" s="114" t="s">
        <v>1396</v>
      </c>
      <c r="E91" s="114" t="b">
        <v>0</v>
      </c>
      <c r="F91" s="114" t="b">
        <v>0</v>
      </c>
      <c r="G91" s="114" t="b">
        <v>0</v>
      </c>
    </row>
    <row r="92" spans="1:7" ht="15">
      <c r="A92" s="114" t="s">
        <v>1159</v>
      </c>
      <c r="B92" s="114">
        <v>4</v>
      </c>
      <c r="C92" s="116">
        <v>0.005234474008813473</v>
      </c>
      <c r="D92" s="114" t="s">
        <v>1396</v>
      </c>
      <c r="E92" s="114" t="b">
        <v>0</v>
      </c>
      <c r="F92" s="114" t="b">
        <v>0</v>
      </c>
      <c r="G92" s="114" t="b">
        <v>0</v>
      </c>
    </row>
    <row r="93" spans="1:7" ht="15">
      <c r="A93" s="114" t="s">
        <v>1160</v>
      </c>
      <c r="B93" s="114">
        <v>3</v>
      </c>
      <c r="C93" s="116">
        <v>0.003422180109514765</v>
      </c>
      <c r="D93" s="114" t="s">
        <v>1396</v>
      </c>
      <c r="E93" s="114" t="b">
        <v>0</v>
      </c>
      <c r="F93" s="114" t="b">
        <v>0</v>
      </c>
      <c r="G93" s="114" t="b">
        <v>0</v>
      </c>
    </row>
    <row r="94" spans="1:7" ht="15">
      <c r="A94" s="114" t="s">
        <v>1161</v>
      </c>
      <c r="B94" s="114">
        <v>3</v>
      </c>
      <c r="C94" s="116">
        <v>0.003422180109514765</v>
      </c>
      <c r="D94" s="114" t="s">
        <v>1396</v>
      </c>
      <c r="E94" s="114" t="b">
        <v>0</v>
      </c>
      <c r="F94" s="114" t="b">
        <v>0</v>
      </c>
      <c r="G94" s="114" t="b">
        <v>0</v>
      </c>
    </row>
    <row r="95" spans="1:7" ht="15">
      <c r="A95" s="114" t="s">
        <v>1162</v>
      </c>
      <c r="B95" s="114">
        <v>3</v>
      </c>
      <c r="C95" s="116">
        <v>0.0031275488896781536</v>
      </c>
      <c r="D95" s="114" t="s">
        <v>1396</v>
      </c>
      <c r="E95" s="114" t="b">
        <v>1</v>
      </c>
      <c r="F95" s="114" t="b">
        <v>0</v>
      </c>
      <c r="G95" s="114" t="b">
        <v>0</v>
      </c>
    </row>
    <row r="96" spans="1:7" ht="15">
      <c r="A96" s="114" t="s">
        <v>1163</v>
      </c>
      <c r="B96" s="114">
        <v>3</v>
      </c>
      <c r="C96" s="116">
        <v>0.0031275488896781536</v>
      </c>
      <c r="D96" s="114" t="s">
        <v>1396</v>
      </c>
      <c r="E96" s="114" t="b">
        <v>0</v>
      </c>
      <c r="F96" s="114" t="b">
        <v>0</v>
      </c>
      <c r="G96" s="114" t="b">
        <v>0</v>
      </c>
    </row>
    <row r="97" spans="1:7" ht="15">
      <c r="A97" s="114" t="s">
        <v>1164</v>
      </c>
      <c r="B97" s="114">
        <v>3</v>
      </c>
      <c r="C97" s="116">
        <v>0.0031275488896781536</v>
      </c>
      <c r="D97" s="114" t="s">
        <v>1396</v>
      </c>
      <c r="E97" s="114" t="b">
        <v>0</v>
      </c>
      <c r="F97" s="114" t="b">
        <v>0</v>
      </c>
      <c r="G97" s="114" t="b">
        <v>0</v>
      </c>
    </row>
    <row r="98" spans="1:7" ht="15">
      <c r="A98" s="114" t="s">
        <v>1165</v>
      </c>
      <c r="B98" s="114">
        <v>3</v>
      </c>
      <c r="C98" s="116">
        <v>0.0031275488896781536</v>
      </c>
      <c r="D98" s="114" t="s">
        <v>1396</v>
      </c>
      <c r="E98" s="114" t="b">
        <v>0</v>
      </c>
      <c r="F98" s="114" t="b">
        <v>0</v>
      </c>
      <c r="G98" s="114" t="b">
        <v>0</v>
      </c>
    </row>
    <row r="99" spans="1:7" ht="15">
      <c r="A99" s="114" t="s">
        <v>1166</v>
      </c>
      <c r="B99" s="114">
        <v>3</v>
      </c>
      <c r="C99" s="116">
        <v>0.003422180109514765</v>
      </c>
      <c r="D99" s="114" t="s">
        <v>1396</v>
      </c>
      <c r="E99" s="114" t="b">
        <v>0</v>
      </c>
      <c r="F99" s="114" t="b">
        <v>0</v>
      </c>
      <c r="G99" s="114" t="b">
        <v>0</v>
      </c>
    </row>
    <row r="100" spans="1:7" ht="15">
      <c r="A100" s="114" t="s">
        <v>1167</v>
      </c>
      <c r="B100" s="114">
        <v>3</v>
      </c>
      <c r="C100" s="116">
        <v>0.0031275488896781536</v>
      </c>
      <c r="D100" s="114" t="s">
        <v>1396</v>
      </c>
      <c r="E100" s="114" t="b">
        <v>0</v>
      </c>
      <c r="F100" s="114" t="b">
        <v>0</v>
      </c>
      <c r="G100" s="114" t="b">
        <v>0</v>
      </c>
    </row>
    <row r="101" spans="1:7" ht="15">
      <c r="A101" s="114" t="s">
        <v>1168</v>
      </c>
      <c r="B101" s="114">
        <v>3</v>
      </c>
      <c r="C101" s="116">
        <v>0.003422180109514765</v>
      </c>
      <c r="D101" s="114" t="s">
        <v>1396</v>
      </c>
      <c r="E101" s="114" t="b">
        <v>0</v>
      </c>
      <c r="F101" s="114" t="b">
        <v>0</v>
      </c>
      <c r="G101" s="114" t="b">
        <v>0</v>
      </c>
    </row>
    <row r="102" spans="1:7" ht="15">
      <c r="A102" s="114" t="s">
        <v>1169</v>
      </c>
      <c r="B102" s="114">
        <v>3</v>
      </c>
      <c r="C102" s="116">
        <v>0.0031275488896781536</v>
      </c>
      <c r="D102" s="114" t="s">
        <v>1396</v>
      </c>
      <c r="E102" s="114" t="b">
        <v>0</v>
      </c>
      <c r="F102" s="114" t="b">
        <v>0</v>
      </c>
      <c r="G102" s="114" t="b">
        <v>0</v>
      </c>
    </row>
    <row r="103" spans="1:7" ht="15">
      <c r="A103" s="114" t="s">
        <v>1170</v>
      </c>
      <c r="B103" s="114">
        <v>3</v>
      </c>
      <c r="C103" s="116">
        <v>0.0031275488896781536</v>
      </c>
      <c r="D103" s="114" t="s">
        <v>1396</v>
      </c>
      <c r="E103" s="114" t="b">
        <v>0</v>
      </c>
      <c r="F103" s="114" t="b">
        <v>0</v>
      </c>
      <c r="G103" s="114" t="b">
        <v>0</v>
      </c>
    </row>
    <row r="104" spans="1:7" ht="15">
      <c r="A104" s="114" t="s">
        <v>1171</v>
      </c>
      <c r="B104" s="114">
        <v>3</v>
      </c>
      <c r="C104" s="116">
        <v>0.0031275488896781536</v>
      </c>
      <c r="D104" s="114" t="s">
        <v>1396</v>
      </c>
      <c r="E104" s="114" t="b">
        <v>0</v>
      </c>
      <c r="F104" s="114" t="b">
        <v>0</v>
      </c>
      <c r="G104" s="114" t="b">
        <v>0</v>
      </c>
    </row>
    <row r="105" spans="1:7" ht="15">
      <c r="A105" s="114" t="s">
        <v>1172</v>
      </c>
      <c r="B105" s="114">
        <v>3</v>
      </c>
      <c r="C105" s="116">
        <v>0.0031275488896781536</v>
      </c>
      <c r="D105" s="114" t="s">
        <v>1396</v>
      </c>
      <c r="E105" s="114" t="b">
        <v>0</v>
      </c>
      <c r="F105" s="114" t="b">
        <v>0</v>
      </c>
      <c r="G105" s="114" t="b">
        <v>0</v>
      </c>
    </row>
    <row r="106" spans="1:7" ht="15">
      <c r="A106" s="114" t="s">
        <v>1173</v>
      </c>
      <c r="B106" s="114">
        <v>3</v>
      </c>
      <c r="C106" s="116">
        <v>0.0031275488896781536</v>
      </c>
      <c r="D106" s="114" t="s">
        <v>1396</v>
      </c>
      <c r="E106" s="114" t="b">
        <v>0</v>
      </c>
      <c r="F106" s="114" t="b">
        <v>0</v>
      </c>
      <c r="G106" s="114" t="b">
        <v>0</v>
      </c>
    </row>
    <row r="107" spans="1:7" ht="15">
      <c r="A107" s="114" t="s">
        <v>1174</v>
      </c>
      <c r="B107" s="114">
        <v>3</v>
      </c>
      <c r="C107" s="116">
        <v>0.0031275488896781536</v>
      </c>
      <c r="D107" s="114" t="s">
        <v>1396</v>
      </c>
      <c r="E107" s="114" t="b">
        <v>0</v>
      </c>
      <c r="F107" s="114" t="b">
        <v>0</v>
      </c>
      <c r="G107" s="114" t="b">
        <v>0</v>
      </c>
    </row>
    <row r="108" spans="1:7" ht="15">
      <c r="A108" s="114" t="s">
        <v>1175</v>
      </c>
      <c r="B108" s="114">
        <v>3</v>
      </c>
      <c r="C108" s="116">
        <v>0.0031275488896781536</v>
      </c>
      <c r="D108" s="114" t="s">
        <v>1396</v>
      </c>
      <c r="E108" s="114" t="b">
        <v>0</v>
      </c>
      <c r="F108" s="114" t="b">
        <v>0</v>
      </c>
      <c r="G108" s="114" t="b">
        <v>0</v>
      </c>
    </row>
    <row r="109" spans="1:7" ht="15">
      <c r="A109" s="114" t="s">
        <v>1176</v>
      </c>
      <c r="B109" s="114">
        <v>3</v>
      </c>
      <c r="C109" s="116">
        <v>0.0031275488896781536</v>
      </c>
      <c r="D109" s="114" t="s">
        <v>1396</v>
      </c>
      <c r="E109" s="114" t="b">
        <v>0</v>
      </c>
      <c r="F109" s="114" t="b">
        <v>0</v>
      </c>
      <c r="G109" s="114" t="b">
        <v>0</v>
      </c>
    </row>
    <row r="110" spans="1:7" ht="15">
      <c r="A110" s="114" t="s">
        <v>1177</v>
      </c>
      <c r="B110" s="114">
        <v>3</v>
      </c>
      <c r="C110" s="116">
        <v>0.0031275488896781536</v>
      </c>
      <c r="D110" s="114" t="s">
        <v>1396</v>
      </c>
      <c r="E110" s="114" t="b">
        <v>0</v>
      </c>
      <c r="F110" s="114" t="b">
        <v>0</v>
      </c>
      <c r="G110" s="114" t="b">
        <v>0</v>
      </c>
    </row>
    <row r="111" spans="1:7" ht="15">
      <c r="A111" s="114" t="s">
        <v>1178</v>
      </c>
      <c r="B111" s="114">
        <v>3</v>
      </c>
      <c r="C111" s="116">
        <v>0.0031275488896781536</v>
      </c>
      <c r="D111" s="114" t="s">
        <v>1396</v>
      </c>
      <c r="E111" s="114" t="b">
        <v>0</v>
      </c>
      <c r="F111" s="114" t="b">
        <v>0</v>
      </c>
      <c r="G111" s="114" t="b">
        <v>0</v>
      </c>
    </row>
    <row r="112" spans="1:7" ht="15">
      <c r="A112" s="114" t="s">
        <v>1179</v>
      </c>
      <c r="B112" s="114">
        <v>3</v>
      </c>
      <c r="C112" s="116">
        <v>0.003925855506610104</v>
      </c>
      <c r="D112" s="114" t="s">
        <v>1396</v>
      </c>
      <c r="E112" s="114" t="b">
        <v>0</v>
      </c>
      <c r="F112" s="114" t="b">
        <v>0</v>
      </c>
      <c r="G112" s="114" t="b">
        <v>0</v>
      </c>
    </row>
    <row r="113" spans="1:7" ht="15">
      <c r="A113" s="114" t="s">
        <v>1180</v>
      </c>
      <c r="B113" s="114">
        <v>3</v>
      </c>
      <c r="C113" s="116">
        <v>0.0031275488896781536</v>
      </c>
      <c r="D113" s="114" t="s">
        <v>1396</v>
      </c>
      <c r="E113" s="114" t="b">
        <v>0</v>
      </c>
      <c r="F113" s="114" t="b">
        <v>0</v>
      </c>
      <c r="G113" s="114" t="b">
        <v>0</v>
      </c>
    </row>
    <row r="114" spans="1:7" ht="15">
      <c r="A114" s="114" t="s">
        <v>1181</v>
      </c>
      <c r="B114" s="114">
        <v>3</v>
      </c>
      <c r="C114" s="116">
        <v>0.0031275488896781536</v>
      </c>
      <c r="D114" s="114" t="s">
        <v>1396</v>
      </c>
      <c r="E114" s="114" t="b">
        <v>0</v>
      </c>
      <c r="F114" s="114" t="b">
        <v>0</v>
      </c>
      <c r="G114" s="114" t="b">
        <v>0</v>
      </c>
    </row>
    <row r="115" spans="1:7" ht="15">
      <c r="A115" s="114" t="s">
        <v>1182</v>
      </c>
      <c r="B115" s="114">
        <v>3</v>
      </c>
      <c r="C115" s="116">
        <v>0.0031275488896781536</v>
      </c>
      <c r="D115" s="114" t="s">
        <v>1396</v>
      </c>
      <c r="E115" s="114" t="b">
        <v>0</v>
      </c>
      <c r="F115" s="114" t="b">
        <v>0</v>
      </c>
      <c r="G115" s="114" t="b">
        <v>0</v>
      </c>
    </row>
    <row r="116" spans="1:7" ht="15">
      <c r="A116" s="114" t="s">
        <v>1183</v>
      </c>
      <c r="B116" s="114">
        <v>3</v>
      </c>
      <c r="C116" s="116">
        <v>0.0031275488896781536</v>
      </c>
      <c r="D116" s="114" t="s">
        <v>1396</v>
      </c>
      <c r="E116" s="114" t="b">
        <v>0</v>
      </c>
      <c r="F116" s="114" t="b">
        <v>0</v>
      </c>
      <c r="G116" s="114" t="b">
        <v>0</v>
      </c>
    </row>
    <row r="117" spans="1:7" ht="15">
      <c r="A117" s="114" t="s">
        <v>1184</v>
      </c>
      <c r="B117" s="114">
        <v>3</v>
      </c>
      <c r="C117" s="116">
        <v>0.0031275488896781536</v>
      </c>
      <c r="D117" s="114" t="s">
        <v>1396</v>
      </c>
      <c r="E117" s="114" t="b">
        <v>0</v>
      </c>
      <c r="F117" s="114" t="b">
        <v>0</v>
      </c>
      <c r="G117" s="114" t="b">
        <v>0</v>
      </c>
    </row>
    <row r="118" spans="1:7" ht="15">
      <c r="A118" s="114" t="s">
        <v>1185</v>
      </c>
      <c r="B118" s="114">
        <v>3</v>
      </c>
      <c r="C118" s="116">
        <v>0.0031275488896781536</v>
      </c>
      <c r="D118" s="114" t="s">
        <v>1396</v>
      </c>
      <c r="E118" s="114" t="b">
        <v>0</v>
      </c>
      <c r="F118" s="114" t="b">
        <v>0</v>
      </c>
      <c r="G118" s="114" t="b">
        <v>0</v>
      </c>
    </row>
    <row r="119" spans="1:7" ht="15">
      <c r="A119" s="114" t="s">
        <v>1186</v>
      </c>
      <c r="B119" s="114">
        <v>3</v>
      </c>
      <c r="C119" s="116">
        <v>0.0031275488896781536</v>
      </c>
      <c r="D119" s="114" t="s">
        <v>1396</v>
      </c>
      <c r="E119" s="114" t="b">
        <v>1</v>
      </c>
      <c r="F119" s="114" t="b">
        <v>0</v>
      </c>
      <c r="G119" s="114" t="b">
        <v>0</v>
      </c>
    </row>
    <row r="120" spans="1:7" ht="15">
      <c r="A120" s="114" t="s">
        <v>1187</v>
      </c>
      <c r="B120" s="114">
        <v>3</v>
      </c>
      <c r="C120" s="116">
        <v>0.003422180109514765</v>
      </c>
      <c r="D120" s="114" t="s">
        <v>1396</v>
      </c>
      <c r="E120" s="114" t="b">
        <v>0</v>
      </c>
      <c r="F120" s="114" t="b">
        <v>0</v>
      </c>
      <c r="G120" s="114" t="b">
        <v>0</v>
      </c>
    </row>
    <row r="121" spans="1:7" ht="15">
      <c r="A121" s="114" t="s">
        <v>1188</v>
      </c>
      <c r="B121" s="114">
        <v>3</v>
      </c>
      <c r="C121" s="116">
        <v>0.003422180109514765</v>
      </c>
      <c r="D121" s="114" t="s">
        <v>1396</v>
      </c>
      <c r="E121" s="114" t="b">
        <v>0</v>
      </c>
      <c r="F121" s="114" t="b">
        <v>0</v>
      </c>
      <c r="G121" s="114" t="b">
        <v>0</v>
      </c>
    </row>
    <row r="122" spans="1:7" ht="15">
      <c r="A122" s="114" t="s">
        <v>1189</v>
      </c>
      <c r="B122" s="114">
        <v>3</v>
      </c>
      <c r="C122" s="116">
        <v>0.0031275488896781536</v>
      </c>
      <c r="D122" s="114" t="s">
        <v>1396</v>
      </c>
      <c r="E122" s="114" t="b">
        <v>1</v>
      </c>
      <c r="F122" s="114" t="b">
        <v>0</v>
      </c>
      <c r="G122" s="114" t="b">
        <v>0</v>
      </c>
    </row>
    <row r="123" spans="1:7" ht="15">
      <c r="A123" s="114" t="s">
        <v>1190</v>
      </c>
      <c r="B123" s="114">
        <v>3</v>
      </c>
      <c r="C123" s="116">
        <v>0.0031275488896781536</v>
      </c>
      <c r="D123" s="114" t="s">
        <v>1396</v>
      </c>
      <c r="E123" s="114" t="b">
        <v>0</v>
      </c>
      <c r="F123" s="114" t="b">
        <v>0</v>
      </c>
      <c r="G123" s="114" t="b">
        <v>0</v>
      </c>
    </row>
    <row r="124" spans="1:7" ht="15">
      <c r="A124" s="114" t="s">
        <v>1191</v>
      </c>
      <c r="B124" s="114">
        <v>3</v>
      </c>
      <c r="C124" s="116">
        <v>0.0031275488896781536</v>
      </c>
      <c r="D124" s="114" t="s">
        <v>1396</v>
      </c>
      <c r="E124" s="114" t="b">
        <v>0</v>
      </c>
      <c r="F124" s="114" t="b">
        <v>0</v>
      </c>
      <c r="G124" s="114" t="b">
        <v>0</v>
      </c>
    </row>
    <row r="125" spans="1:7" ht="15">
      <c r="A125" s="114" t="s">
        <v>1192</v>
      </c>
      <c r="B125" s="114">
        <v>3</v>
      </c>
      <c r="C125" s="116">
        <v>0.0031275488896781536</v>
      </c>
      <c r="D125" s="114" t="s">
        <v>1396</v>
      </c>
      <c r="E125" s="114" t="b">
        <v>0</v>
      </c>
      <c r="F125" s="114" t="b">
        <v>0</v>
      </c>
      <c r="G125" s="114" t="b">
        <v>0</v>
      </c>
    </row>
    <row r="126" spans="1:7" ht="15">
      <c r="A126" s="114" t="s">
        <v>1193</v>
      </c>
      <c r="B126" s="114">
        <v>3</v>
      </c>
      <c r="C126" s="116">
        <v>0.0031275488896781536</v>
      </c>
      <c r="D126" s="114" t="s">
        <v>1396</v>
      </c>
      <c r="E126" s="114" t="b">
        <v>0</v>
      </c>
      <c r="F126" s="114" t="b">
        <v>0</v>
      </c>
      <c r="G126" s="114" t="b">
        <v>0</v>
      </c>
    </row>
    <row r="127" spans="1:7" ht="15">
      <c r="A127" s="114" t="s">
        <v>1194</v>
      </c>
      <c r="B127" s="114">
        <v>3</v>
      </c>
      <c r="C127" s="116">
        <v>0.0031275488896781536</v>
      </c>
      <c r="D127" s="114" t="s">
        <v>1396</v>
      </c>
      <c r="E127" s="114" t="b">
        <v>1</v>
      </c>
      <c r="F127" s="114" t="b">
        <v>0</v>
      </c>
      <c r="G127" s="114" t="b">
        <v>0</v>
      </c>
    </row>
    <row r="128" spans="1:7" ht="15">
      <c r="A128" s="114" t="s">
        <v>1195</v>
      </c>
      <c r="B128" s="114">
        <v>3</v>
      </c>
      <c r="C128" s="116">
        <v>0.0031275488896781536</v>
      </c>
      <c r="D128" s="114" t="s">
        <v>1396</v>
      </c>
      <c r="E128" s="114" t="b">
        <v>0</v>
      </c>
      <c r="F128" s="114" t="b">
        <v>0</v>
      </c>
      <c r="G128" s="114" t="b">
        <v>0</v>
      </c>
    </row>
    <row r="129" spans="1:7" ht="15">
      <c r="A129" s="114" t="s">
        <v>1196</v>
      </c>
      <c r="B129" s="114">
        <v>3</v>
      </c>
      <c r="C129" s="116">
        <v>0.003422180109514765</v>
      </c>
      <c r="D129" s="114" t="s">
        <v>1396</v>
      </c>
      <c r="E129" s="114" t="b">
        <v>0</v>
      </c>
      <c r="F129" s="114" t="b">
        <v>0</v>
      </c>
      <c r="G129" s="114" t="b">
        <v>0</v>
      </c>
    </row>
    <row r="130" spans="1:7" ht="15">
      <c r="A130" s="114" t="s">
        <v>1197</v>
      </c>
      <c r="B130" s="114">
        <v>3</v>
      </c>
      <c r="C130" s="116">
        <v>0.0031275488896781536</v>
      </c>
      <c r="D130" s="114" t="s">
        <v>1396</v>
      </c>
      <c r="E130" s="114" t="b">
        <v>0</v>
      </c>
      <c r="F130" s="114" t="b">
        <v>0</v>
      </c>
      <c r="G130" s="114" t="b">
        <v>0</v>
      </c>
    </row>
    <row r="131" spans="1:7" ht="15">
      <c r="A131" s="114" t="s">
        <v>1198</v>
      </c>
      <c r="B131" s="114">
        <v>3</v>
      </c>
      <c r="C131" s="116">
        <v>0.0031275488896781536</v>
      </c>
      <c r="D131" s="114" t="s">
        <v>1396</v>
      </c>
      <c r="E131" s="114" t="b">
        <v>0</v>
      </c>
      <c r="F131" s="114" t="b">
        <v>0</v>
      </c>
      <c r="G131" s="114" t="b">
        <v>0</v>
      </c>
    </row>
    <row r="132" spans="1:7" ht="15">
      <c r="A132" s="114" t="s">
        <v>1199</v>
      </c>
      <c r="B132" s="114">
        <v>3</v>
      </c>
      <c r="C132" s="116">
        <v>0.003422180109514765</v>
      </c>
      <c r="D132" s="114" t="s">
        <v>1396</v>
      </c>
      <c r="E132" s="114" t="b">
        <v>0</v>
      </c>
      <c r="F132" s="114" t="b">
        <v>0</v>
      </c>
      <c r="G132" s="114" t="b">
        <v>0</v>
      </c>
    </row>
    <row r="133" spans="1:7" ht="15">
      <c r="A133" s="114" t="s">
        <v>1200</v>
      </c>
      <c r="B133" s="114">
        <v>3</v>
      </c>
      <c r="C133" s="116">
        <v>0.003925855506610104</v>
      </c>
      <c r="D133" s="114" t="s">
        <v>1396</v>
      </c>
      <c r="E133" s="114" t="b">
        <v>0</v>
      </c>
      <c r="F133" s="114" t="b">
        <v>0</v>
      </c>
      <c r="G133" s="114" t="b">
        <v>0</v>
      </c>
    </row>
    <row r="134" spans="1:7" ht="15">
      <c r="A134" s="114" t="s">
        <v>1201</v>
      </c>
      <c r="B134" s="114">
        <v>3</v>
      </c>
      <c r="C134" s="116">
        <v>0.0031275488896781536</v>
      </c>
      <c r="D134" s="114" t="s">
        <v>1396</v>
      </c>
      <c r="E134" s="114" t="b">
        <v>0</v>
      </c>
      <c r="F134" s="114" t="b">
        <v>0</v>
      </c>
      <c r="G134" s="114" t="b">
        <v>0</v>
      </c>
    </row>
    <row r="135" spans="1:7" ht="15">
      <c r="A135" s="114" t="s">
        <v>1202</v>
      </c>
      <c r="B135" s="114">
        <v>3</v>
      </c>
      <c r="C135" s="116">
        <v>0.0031275488896781536</v>
      </c>
      <c r="D135" s="114" t="s">
        <v>1396</v>
      </c>
      <c r="E135" s="114" t="b">
        <v>0</v>
      </c>
      <c r="F135" s="114" t="b">
        <v>0</v>
      </c>
      <c r="G135" s="114" t="b">
        <v>0</v>
      </c>
    </row>
    <row r="136" spans="1:7" ht="15">
      <c r="A136" s="114" t="s">
        <v>1203</v>
      </c>
      <c r="B136" s="114">
        <v>3</v>
      </c>
      <c r="C136" s="116">
        <v>0.0031275488896781536</v>
      </c>
      <c r="D136" s="114" t="s">
        <v>1396</v>
      </c>
      <c r="E136" s="114" t="b">
        <v>0</v>
      </c>
      <c r="F136" s="114" t="b">
        <v>0</v>
      </c>
      <c r="G136" s="114" t="b">
        <v>0</v>
      </c>
    </row>
    <row r="137" spans="1:7" ht="15">
      <c r="A137" s="114" t="s">
        <v>1204</v>
      </c>
      <c r="B137" s="114">
        <v>3</v>
      </c>
      <c r="C137" s="116">
        <v>0.0031275488896781536</v>
      </c>
      <c r="D137" s="114" t="s">
        <v>1396</v>
      </c>
      <c r="E137" s="114" t="b">
        <v>1</v>
      </c>
      <c r="F137" s="114" t="b">
        <v>0</v>
      </c>
      <c r="G137" s="114" t="b">
        <v>0</v>
      </c>
    </row>
    <row r="138" spans="1:7" ht="15">
      <c r="A138" s="114" t="s">
        <v>1205</v>
      </c>
      <c r="B138" s="114">
        <v>3</v>
      </c>
      <c r="C138" s="116">
        <v>0.003422180109514765</v>
      </c>
      <c r="D138" s="114" t="s">
        <v>1396</v>
      </c>
      <c r="E138" s="114" t="b">
        <v>0</v>
      </c>
      <c r="F138" s="114" t="b">
        <v>0</v>
      </c>
      <c r="G138" s="114" t="b">
        <v>0</v>
      </c>
    </row>
    <row r="139" spans="1:7" ht="15">
      <c r="A139" s="114" t="s">
        <v>1206</v>
      </c>
      <c r="B139" s="114">
        <v>3</v>
      </c>
      <c r="C139" s="116">
        <v>0.003925855506610104</v>
      </c>
      <c r="D139" s="114" t="s">
        <v>1396</v>
      </c>
      <c r="E139" s="114" t="b">
        <v>0</v>
      </c>
      <c r="F139" s="114" t="b">
        <v>0</v>
      </c>
      <c r="G139" s="114" t="b">
        <v>0</v>
      </c>
    </row>
    <row r="140" spans="1:7" ht="15">
      <c r="A140" s="114" t="s">
        <v>1207</v>
      </c>
      <c r="B140" s="114">
        <v>3</v>
      </c>
      <c r="C140" s="116">
        <v>0.003422180109514765</v>
      </c>
      <c r="D140" s="114" t="s">
        <v>1396</v>
      </c>
      <c r="E140" s="114" t="b">
        <v>0</v>
      </c>
      <c r="F140" s="114" t="b">
        <v>0</v>
      </c>
      <c r="G140" s="114" t="b">
        <v>0</v>
      </c>
    </row>
    <row r="141" spans="1:7" ht="15">
      <c r="A141" s="114" t="s">
        <v>1208</v>
      </c>
      <c r="B141" s="114">
        <v>3</v>
      </c>
      <c r="C141" s="116">
        <v>0.0031275488896781536</v>
      </c>
      <c r="D141" s="114" t="s">
        <v>1396</v>
      </c>
      <c r="E141" s="114" t="b">
        <v>0</v>
      </c>
      <c r="F141" s="114" t="b">
        <v>0</v>
      </c>
      <c r="G141" s="114" t="b">
        <v>0</v>
      </c>
    </row>
    <row r="142" spans="1:7" ht="15">
      <c r="A142" s="114" t="s">
        <v>1209</v>
      </c>
      <c r="B142" s="114">
        <v>3</v>
      </c>
      <c r="C142" s="116">
        <v>0.0031275488896781536</v>
      </c>
      <c r="D142" s="114" t="s">
        <v>1396</v>
      </c>
      <c r="E142" s="114" t="b">
        <v>0</v>
      </c>
      <c r="F142" s="114" t="b">
        <v>0</v>
      </c>
      <c r="G142" s="114" t="b">
        <v>0</v>
      </c>
    </row>
    <row r="143" spans="1:7" ht="15">
      <c r="A143" s="114" t="s">
        <v>1210</v>
      </c>
      <c r="B143" s="114">
        <v>3</v>
      </c>
      <c r="C143" s="116">
        <v>0.0031275488896781536</v>
      </c>
      <c r="D143" s="114" t="s">
        <v>1396</v>
      </c>
      <c r="E143" s="114" t="b">
        <v>0</v>
      </c>
      <c r="F143" s="114" t="b">
        <v>0</v>
      </c>
      <c r="G143" s="114" t="b">
        <v>0</v>
      </c>
    </row>
    <row r="144" spans="1:7" ht="15">
      <c r="A144" s="114" t="s">
        <v>1211</v>
      </c>
      <c r="B144" s="114">
        <v>3</v>
      </c>
      <c r="C144" s="116">
        <v>0.003925855506610104</v>
      </c>
      <c r="D144" s="114" t="s">
        <v>1396</v>
      </c>
      <c r="E144" s="114" t="b">
        <v>0</v>
      </c>
      <c r="F144" s="114" t="b">
        <v>0</v>
      </c>
      <c r="G144" s="114" t="b">
        <v>0</v>
      </c>
    </row>
    <row r="145" spans="1:7" ht="15">
      <c r="A145" s="114" t="s">
        <v>1212</v>
      </c>
      <c r="B145" s="114">
        <v>3</v>
      </c>
      <c r="C145" s="116">
        <v>0.0031275488896781536</v>
      </c>
      <c r="D145" s="114" t="s">
        <v>1396</v>
      </c>
      <c r="E145" s="114" t="b">
        <v>0</v>
      </c>
      <c r="F145" s="114" t="b">
        <v>0</v>
      </c>
      <c r="G145" s="114" t="b">
        <v>0</v>
      </c>
    </row>
    <row r="146" spans="1:7" ht="15">
      <c r="A146" s="114" t="s">
        <v>1213</v>
      </c>
      <c r="B146" s="114">
        <v>3</v>
      </c>
      <c r="C146" s="116">
        <v>0.003422180109514765</v>
      </c>
      <c r="D146" s="114" t="s">
        <v>1396</v>
      </c>
      <c r="E146" s="114" t="b">
        <v>1</v>
      </c>
      <c r="F146" s="114" t="b">
        <v>0</v>
      </c>
      <c r="G146" s="114" t="b">
        <v>0</v>
      </c>
    </row>
    <row r="147" spans="1:7" ht="15">
      <c r="A147" s="114" t="s">
        <v>1214</v>
      </c>
      <c r="B147" s="114">
        <v>2</v>
      </c>
      <c r="C147" s="116">
        <v>0.0026172370044067364</v>
      </c>
      <c r="D147" s="114" t="s">
        <v>1396</v>
      </c>
      <c r="E147" s="114" t="b">
        <v>0</v>
      </c>
      <c r="F147" s="114" t="b">
        <v>0</v>
      </c>
      <c r="G147" s="114" t="b">
        <v>0</v>
      </c>
    </row>
    <row r="148" spans="1:7" ht="15">
      <c r="A148" s="114" t="s">
        <v>1215</v>
      </c>
      <c r="B148" s="114">
        <v>2</v>
      </c>
      <c r="C148" s="116">
        <v>0.0022814534063431767</v>
      </c>
      <c r="D148" s="114" t="s">
        <v>1396</v>
      </c>
      <c r="E148" s="114" t="b">
        <v>0</v>
      </c>
      <c r="F148" s="114" t="b">
        <v>0</v>
      </c>
      <c r="G148" s="114" t="b">
        <v>0</v>
      </c>
    </row>
    <row r="149" spans="1:7" ht="15">
      <c r="A149" s="114" t="s">
        <v>1216</v>
      </c>
      <c r="B149" s="114">
        <v>2</v>
      </c>
      <c r="C149" s="116">
        <v>0.0026172370044067364</v>
      </c>
      <c r="D149" s="114" t="s">
        <v>1396</v>
      </c>
      <c r="E149" s="114" t="b">
        <v>0</v>
      </c>
      <c r="F149" s="114" t="b">
        <v>0</v>
      </c>
      <c r="G149" s="114" t="b">
        <v>0</v>
      </c>
    </row>
    <row r="150" spans="1:7" ht="15">
      <c r="A150" s="114" t="s">
        <v>1217</v>
      </c>
      <c r="B150" s="114">
        <v>2</v>
      </c>
      <c r="C150" s="116">
        <v>0.0022814534063431767</v>
      </c>
      <c r="D150" s="114" t="s">
        <v>1396</v>
      </c>
      <c r="E150" s="114" t="b">
        <v>0</v>
      </c>
      <c r="F150" s="114" t="b">
        <v>0</v>
      </c>
      <c r="G150" s="114" t="b">
        <v>0</v>
      </c>
    </row>
    <row r="151" spans="1:7" ht="15">
      <c r="A151" s="114" t="s">
        <v>1218</v>
      </c>
      <c r="B151" s="114">
        <v>2</v>
      </c>
      <c r="C151" s="116">
        <v>0.0022814534063431767</v>
      </c>
      <c r="D151" s="114" t="s">
        <v>1396</v>
      </c>
      <c r="E151" s="114" t="b">
        <v>0</v>
      </c>
      <c r="F151" s="114" t="b">
        <v>0</v>
      </c>
      <c r="G151" s="114" t="b">
        <v>0</v>
      </c>
    </row>
    <row r="152" spans="1:7" ht="15">
      <c r="A152" s="114" t="s">
        <v>1219</v>
      </c>
      <c r="B152" s="114">
        <v>2</v>
      </c>
      <c r="C152" s="116">
        <v>0.0022814534063431767</v>
      </c>
      <c r="D152" s="114" t="s">
        <v>1396</v>
      </c>
      <c r="E152" s="114" t="b">
        <v>0</v>
      </c>
      <c r="F152" s="114" t="b">
        <v>0</v>
      </c>
      <c r="G152" s="114" t="b">
        <v>0</v>
      </c>
    </row>
    <row r="153" spans="1:7" ht="15">
      <c r="A153" s="114" t="s">
        <v>1220</v>
      </c>
      <c r="B153" s="114">
        <v>2</v>
      </c>
      <c r="C153" s="116">
        <v>0.0022814534063431767</v>
      </c>
      <c r="D153" s="114" t="s">
        <v>1396</v>
      </c>
      <c r="E153" s="114" t="b">
        <v>0</v>
      </c>
      <c r="F153" s="114" t="b">
        <v>0</v>
      </c>
      <c r="G153" s="114" t="b">
        <v>0</v>
      </c>
    </row>
    <row r="154" spans="1:7" ht="15">
      <c r="A154" s="114" t="s">
        <v>1221</v>
      </c>
      <c r="B154" s="114">
        <v>2</v>
      </c>
      <c r="C154" s="116">
        <v>0.0022814534063431767</v>
      </c>
      <c r="D154" s="114" t="s">
        <v>1396</v>
      </c>
      <c r="E154" s="114" t="b">
        <v>0</v>
      </c>
      <c r="F154" s="114" t="b">
        <v>0</v>
      </c>
      <c r="G154" s="114" t="b">
        <v>0</v>
      </c>
    </row>
    <row r="155" spans="1:7" ht="15">
      <c r="A155" s="114" t="s">
        <v>1222</v>
      </c>
      <c r="B155" s="114">
        <v>2</v>
      </c>
      <c r="C155" s="116">
        <v>0.0022814534063431767</v>
      </c>
      <c r="D155" s="114" t="s">
        <v>1396</v>
      </c>
      <c r="E155" s="114" t="b">
        <v>0</v>
      </c>
      <c r="F155" s="114" t="b">
        <v>0</v>
      </c>
      <c r="G155" s="114" t="b">
        <v>0</v>
      </c>
    </row>
    <row r="156" spans="1:7" ht="15">
      <c r="A156" s="114" t="s">
        <v>1223</v>
      </c>
      <c r="B156" s="114">
        <v>2</v>
      </c>
      <c r="C156" s="116">
        <v>0.0022814534063431767</v>
      </c>
      <c r="D156" s="114" t="s">
        <v>1396</v>
      </c>
      <c r="E156" s="114" t="b">
        <v>0</v>
      </c>
      <c r="F156" s="114" t="b">
        <v>0</v>
      </c>
      <c r="G156" s="114" t="b">
        <v>0</v>
      </c>
    </row>
    <row r="157" spans="1:7" ht="15">
      <c r="A157" s="114" t="s">
        <v>1224</v>
      </c>
      <c r="B157" s="114">
        <v>2</v>
      </c>
      <c r="C157" s="116">
        <v>0.0022814534063431767</v>
      </c>
      <c r="D157" s="114" t="s">
        <v>1396</v>
      </c>
      <c r="E157" s="114" t="b">
        <v>0</v>
      </c>
      <c r="F157" s="114" t="b">
        <v>0</v>
      </c>
      <c r="G157" s="114" t="b">
        <v>0</v>
      </c>
    </row>
    <row r="158" spans="1:7" ht="15">
      <c r="A158" s="114" t="s">
        <v>1225</v>
      </c>
      <c r="B158" s="114">
        <v>2</v>
      </c>
      <c r="C158" s="116">
        <v>0.0022814534063431767</v>
      </c>
      <c r="D158" s="114" t="s">
        <v>1396</v>
      </c>
      <c r="E158" s="114" t="b">
        <v>0</v>
      </c>
      <c r="F158" s="114" t="b">
        <v>0</v>
      </c>
      <c r="G158" s="114" t="b">
        <v>0</v>
      </c>
    </row>
    <row r="159" spans="1:7" ht="15">
      <c r="A159" s="114" t="s">
        <v>1226</v>
      </c>
      <c r="B159" s="114">
        <v>2</v>
      </c>
      <c r="C159" s="116">
        <v>0.0022814534063431767</v>
      </c>
      <c r="D159" s="114" t="s">
        <v>1396</v>
      </c>
      <c r="E159" s="114" t="b">
        <v>0</v>
      </c>
      <c r="F159" s="114" t="b">
        <v>0</v>
      </c>
      <c r="G159" s="114" t="b">
        <v>0</v>
      </c>
    </row>
    <row r="160" spans="1:7" ht="15">
      <c r="A160" s="114" t="s">
        <v>1227</v>
      </c>
      <c r="B160" s="114">
        <v>2</v>
      </c>
      <c r="C160" s="116">
        <v>0.0022814534063431767</v>
      </c>
      <c r="D160" s="114" t="s">
        <v>1396</v>
      </c>
      <c r="E160" s="114" t="b">
        <v>0</v>
      </c>
      <c r="F160" s="114" t="b">
        <v>0</v>
      </c>
      <c r="G160" s="114" t="b">
        <v>0</v>
      </c>
    </row>
    <row r="161" spans="1:7" ht="15">
      <c r="A161" s="114" t="s">
        <v>1228</v>
      </c>
      <c r="B161" s="114">
        <v>2</v>
      </c>
      <c r="C161" s="116">
        <v>0.0022814534063431767</v>
      </c>
      <c r="D161" s="114" t="s">
        <v>1396</v>
      </c>
      <c r="E161" s="114" t="b">
        <v>0</v>
      </c>
      <c r="F161" s="114" t="b">
        <v>0</v>
      </c>
      <c r="G161" s="114" t="b">
        <v>0</v>
      </c>
    </row>
    <row r="162" spans="1:7" ht="15">
      <c r="A162" s="114" t="s">
        <v>1229</v>
      </c>
      <c r="B162" s="114">
        <v>2</v>
      </c>
      <c r="C162" s="116">
        <v>0.0022814534063431767</v>
      </c>
      <c r="D162" s="114" t="s">
        <v>1396</v>
      </c>
      <c r="E162" s="114" t="b">
        <v>0</v>
      </c>
      <c r="F162" s="114" t="b">
        <v>0</v>
      </c>
      <c r="G162" s="114" t="b">
        <v>0</v>
      </c>
    </row>
    <row r="163" spans="1:7" ht="15">
      <c r="A163" s="114" t="s">
        <v>1230</v>
      </c>
      <c r="B163" s="114">
        <v>2</v>
      </c>
      <c r="C163" s="116">
        <v>0.0022814534063431767</v>
      </c>
      <c r="D163" s="114" t="s">
        <v>1396</v>
      </c>
      <c r="E163" s="114" t="b">
        <v>0</v>
      </c>
      <c r="F163" s="114" t="b">
        <v>0</v>
      </c>
      <c r="G163" s="114" t="b">
        <v>0</v>
      </c>
    </row>
    <row r="164" spans="1:7" ht="15">
      <c r="A164" s="114" t="s">
        <v>1231</v>
      </c>
      <c r="B164" s="114">
        <v>2</v>
      </c>
      <c r="C164" s="116">
        <v>0.0022814534063431767</v>
      </c>
      <c r="D164" s="114" t="s">
        <v>1396</v>
      </c>
      <c r="E164" s="114" t="b">
        <v>0</v>
      </c>
      <c r="F164" s="114" t="b">
        <v>0</v>
      </c>
      <c r="G164" s="114" t="b">
        <v>0</v>
      </c>
    </row>
    <row r="165" spans="1:7" ht="15">
      <c r="A165" s="114" t="s">
        <v>1232</v>
      </c>
      <c r="B165" s="114">
        <v>2</v>
      </c>
      <c r="C165" s="116">
        <v>0.0022814534063431767</v>
      </c>
      <c r="D165" s="114" t="s">
        <v>1396</v>
      </c>
      <c r="E165" s="114" t="b">
        <v>0</v>
      </c>
      <c r="F165" s="114" t="b">
        <v>0</v>
      </c>
      <c r="G165" s="114" t="b">
        <v>0</v>
      </c>
    </row>
    <row r="166" spans="1:7" ht="15">
      <c r="A166" s="114" t="s">
        <v>1233</v>
      </c>
      <c r="B166" s="114">
        <v>2</v>
      </c>
      <c r="C166" s="116">
        <v>0.0022814534063431767</v>
      </c>
      <c r="D166" s="114" t="s">
        <v>1396</v>
      </c>
      <c r="E166" s="114" t="b">
        <v>0</v>
      </c>
      <c r="F166" s="114" t="b">
        <v>0</v>
      </c>
      <c r="G166" s="114" t="b">
        <v>0</v>
      </c>
    </row>
    <row r="167" spans="1:7" ht="15">
      <c r="A167" s="114" t="s">
        <v>1234</v>
      </c>
      <c r="B167" s="114">
        <v>2</v>
      </c>
      <c r="C167" s="116">
        <v>0.0022814534063431767</v>
      </c>
      <c r="D167" s="114" t="s">
        <v>1396</v>
      </c>
      <c r="E167" s="114" t="b">
        <v>0</v>
      </c>
      <c r="F167" s="114" t="b">
        <v>0</v>
      </c>
      <c r="G167" s="114" t="b">
        <v>0</v>
      </c>
    </row>
    <row r="168" spans="1:7" ht="15">
      <c r="A168" s="114" t="s">
        <v>1235</v>
      </c>
      <c r="B168" s="114">
        <v>2</v>
      </c>
      <c r="C168" s="116">
        <v>0.0022814534063431767</v>
      </c>
      <c r="D168" s="114" t="s">
        <v>1396</v>
      </c>
      <c r="E168" s="114" t="b">
        <v>0</v>
      </c>
      <c r="F168" s="114" t="b">
        <v>0</v>
      </c>
      <c r="G168" s="114" t="b">
        <v>0</v>
      </c>
    </row>
    <row r="169" spans="1:7" ht="15">
      <c r="A169" s="114" t="s">
        <v>1236</v>
      </c>
      <c r="B169" s="114">
        <v>2</v>
      </c>
      <c r="C169" s="116">
        <v>0.0026172370044067364</v>
      </c>
      <c r="D169" s="114" t="s">
        <v>1396</v>
      </c>
      <c r="E169" s="114" t="b">
        <v>0</v>
      </c>
      <c r="F169" s="114" t="b">
        <v>0</v>
      </c>
      <c r="G169" s="114" t="b">
        <v>0</v>
      </c>
    </row>
    <row r="170" spans="1:7" ht="15">
      <c r="A170" s="114" t="s">
        <v>1237</v>
      </c>
      <c r="B170" s="114">
        <v>2</v>
      </c>
      <c r="C170" s="116">
        <v>0.0022814534063431767</v>
      </c>
      <c r="D170" s="114" t="s">
        <v>1396</v>
      </c>
      <c r="E170" s="114" t="b">
        <v>0</v>
      </c>
      <c r="F170" s="114" t="b">
        <v>0</v>
      </c>
      <c r="G170" s="114" t="b">
        <v>0</v>
      </c>
    </row>
    <row r="171" spans="1:7" ht="15">
      <c r="A171" s="114" t="s">
        <v>1238</v>
      </c>
      <c r="B171" s="114">
        <v>2</v>
      </c>
      <c r="C171" s="116">
        <v>0.0022814534063431767</v>
      </c>
      <c r="D171" s="114" t="s">
        <v>1396</v>
      </c>
      <c r="E171" s="114" t="b">
        <v>0</v>
      </c>
      <c r="F171" s="114" t="b">
        <v>0</v>
      </c>
      <c r="G171" s="114" t="b">
        <v>0</v>
      </c>
    </row>
    <row r="172" spans="1:7" ht="15">
      <c r="A172" s="114" t="s">
        <v>1239</v>
      </c>
      <c r="B172" s="114">
        <v>2</v>
      </c>
      <c r="C172" s="116">
        <v>0.0026172370044067364</v>
      </c>
      <c r="D172" s="114" t="s">
        <v>1396</v>
      </c>
      <c r="E172" s="114" t="b">
        <v>0</v>
      </c>
      <c r="F172" s="114" t="b">
        <v>0</v>
      </c>
      <c r="G172" s="114" t="b">
        <v>0</v>
      </c>
    </row>
    <row r="173" spans="1:7" ht="15">
      <c r="A173" s="114" t="s">
        <v>1240</v>
      </c>
      <c r="B173" s="114">
        <v>2</v>
      </c>
      <c r="C173" s="116">
        <v>0.0022814534063431767</v>
      </c>
      <c r="D173" s="114" t="s">
        <v>1396</v>
      </c>
      <c r="E173" s="114" t="b">
        <v>0</v>
      </c>
      <c r="F173" s="114" t="b">
        <v>0</v>
      </c>
      <c r="G173" s="114" t="b">
        <v>0</v>
      </c>
    </row>
    <row r="174" spans="1:7" ht="15">
      <c r="A174" s="114" t="s">
        <v>1241</v>
      </c>
      <c r="B174" s="114">
        <v>2</v>
      </c>
      <c r="C174" s="116">
        <v>0.0022814534063431767</v>
      </c>
      <c r="D174" s="114" t="s">
        <v>1396</v>
      </c>
      <c r="E174" s="114" t="b">
        <v>0</v>
      </c>
      <c r="F174" s="114" t="b">
        <v>0</v>
      </c>
      <c r="G174" s="114" t="b">
        <v>0</v>
      </c>
    </row>
    <row r="175" spans="1:7" ht="15">
      <c r="A175" s="114" t="s">
        <v>1242</v>
      </c>
      <c r="B175" s="114">
        <v>2</v>
      </c>
      <c r="C175" s="116">
        <v>0.0022814534063431767</v>
      </c>
      <c r="D175" s="114" t="s">
        <v>1396</v>
      </c>
      <c r="E175" s="114" t="b">
        <v>0</v>
      </c>
      <c r="F175" s="114" t="b">
        <v>0</v>
      </c>
      <c r="G175" s="114" t="b">
        <v>0</v>
      </c>
    </row>
    <row r="176" spans="1:7" ht="15">
      <c r="A176" s="114" t="s">
        <v>1243</v>
      </c>
      <c r="B176" s="114">
        <v>2</v>
      </c>
      <c r="C176" s="116">
        <v>0.0026172370044067364</v>
      </c>
      <c r="D176" s="114" t="s">
        <v>1396</v>
      </c>
      <c r="E176" s="114" t="b">
        <v>0</v>
      </c>
      <c r="F176" s="114" t="b">
        <v>0</v>
      </c>
      <c r="G176" s="114" t="b">
        <v>0</v>
      </c>
    </row>
    <row r="177" spans="1:7" ht="15">
      <c r="A177" s="114" t="s">
        <v>1244</v>
      </c>
      <c r="B177" s="114">
        <v>2</v>
      </c>
      <c r="C177" s="116">
        <v>0.0022814534063431767</v>
      </c>
      <c r="D177" s="114" t="s">
        <v>1396</v>
      </c>
      <c r="E177" s="114" t="b">
        <v>0</v>
      </c>
      <c r="F177" s="114" t="b">
        <v>0</v>
      </c>
      <c r="G177" s="114" t="b">
        <v>0</v>
      </c>
    </row>
    <row r="178" spans="1:7" ht="15">
      <c r="A178" s="114" t="s">
        <v>1245</v>
      </c>
      <c r="B178" s="114">
        <v>2</v>
      </c>
      <c r="C178" s="116">
        <v>0.0026172370044067364</v>
      </c>
      <c r="D178" s="114" t="s">
        <v>1396</v>
      </c>
      <c r="E178" s="114" t="b">
        <v>0</v>
      </c>
      <c r="F178" s="114" t="b">
        <v>0</v>
      </c>
      <c r="G178" s="114" t="b">
        <v>0</v>
      </c>
    </row>
    <row r="179" spans="1:7" ht="15">
      <c r="A179" s="114" t="s">
        <v>1246</v>
      </c>
      <c r="B179" s="114">
        <v>2</v>
      </c>
      <c r="C179" s="116">
        <v>0.0022814534063431767</v>
      </c>
      <c r="D179" s="114" t="s">
        <v>1396</v>
      </c>
      <c r="E179" s="114" t="b">
        <v>0</v>
      </c>
      <c r="F179" s="114" t="b">
        <v>0</v>
      </c>
      <c r="G179" s="114" t="b">
        <v>0</v>
      </c>
    </row>
    <row r="180" spans="1:7" ht="15">
      <c r="A180" s="114" t="s">
        <v>1247</v>
      </c>
      <c r="B180" s="114">
        <v>2</v>
      </c>
      <c r="C180" s="116">
        <v>0.0022814534063431767</v>
      </c>
      <c r="D180" s="114" t="s">
        <v>1396</v>
      </c>
      <c r="E180" s="114" t="b">
        <v>0</v>
      </c>
      <c r="F180" s="114" t="b">
        <v>0</v>
      </c>
      <c r="G180" s="114" t="b">
        <v>0</v>
      </c>
    </row>
    <row r="181" spans="1:7" ht="15">
      <c r="A181" s="114" t="s">
        <v>1248</v>
      </c>
      <c r="B181" s="114">
        <v>2</v>
      </c>
      <c r="C181" s="116">
        <v>0.0026172370044067364</v>
      </c>
      <c r="D181" s="114" t="s">
        <v>1396</v>
      </c>
      <c r="E181" s="114" t="b">
        <v>0</v>
      </c>
      <c r="F181" s="114" t="b">
        <v>0</v>
      </c>
      <c r="G181" s="114" t="b">
        <v>0</v>
      </c>
    </row>
    <row r="182" spans="1:7" ht="15">
      <c r="A182" s="114" t="s">
        <v>1249</v>
      </c>
      <c r="B182" s="114">
        <v>2</v>
      </c>
      <c r="C182" s="116">
        <v>0.0022814534063431767</v>
      </c>
      <c r="D182" s="114" t="s">
        <v>1396</v>
      </c>
      <c r="E182" s="114" t="b">
        <v>0</v>
      </c>
      <c r="F182" s="114" t="b">
        <v>0</v>
      </c>
      <c r="G182" s="114" t="b">
        <v>0</v>
      </c>
    </row>
    <row r="183" spans="1:7" ht="15">
      <c r="A183" s="114" t="s">
        <v>1250</v>
      </c>
      <c r="B183" s="114">
        <v>2</v>
      </c>
      <c r="C183" s="116">
        <v>0.0026172370044067364</v>
      </c>
      <c r="D183" s="114" t="s">
        <v>1396</v>
      </c>
      <c r="E183" s="114" t="b">
        <v>0</v>
      </c>
      <c r="F183" s="114" t="b">
        <v>0</v>
      </c>
      <c r="G183" s="114" t="b">
        <v>0</v>
      </c>
    </row>
    <row r="184" spans="1:7" ht="15">
      <c r="A184" s="114" t="s">
        <v>1251</v>
      </c>
      <c r="B184" s="114">
        <v>2</v>
      </c>
      <c r="C184" s="116">
        <v>0.0026172370044067364</v>
      </c>
      <c r="D184" s="114" t="s">
        <v>1396</v>
      </c>
      <c r="E184" s="114" t="b">
        <v>0</v>
      </c>
      <c r="F184" s="114" t="b">
        <v>0</v>
      </c>
      <c r="G184" s="114" t="b">
        <v>0</v>
      </c>
    </row>
    <row r="185" spans="1:7" ht="15">
      <c r="A185" s="114" t="s">
        <v>1252</v>
      </c>
      <c r="B185" s="114">
        <v>2</v>
      </c>
      <c r="C185" s="116">
        <v>0.0022814534063431767</v>
      </c>
      <c r="D185" s="114" t="s">
        <v>1396</v>
      </c>
      <c r="E185" s="114" t="b">
        <v>0</v>
      </c>
      <c r="F185" s="114" t="b">
        <v>0</v>
      </c>
      <c r="G185" s="114" t="b">
        <v>0</v>
      </c>
    </row>
    <row r="186" spans="1:7" ht="15">
      <c r="A186" s="114" t="s">
        <v>1253</v>
      </c>
      <c r="B186" s="114">
        <v>2</v>
      </c>
      <c r="C186" s="116">
        <v>0.0026172370044067364</v>
      </c>
      <c r="D186" s="114" t="s">
        <v>1396</v>
      </c>
      <c r="E186" s="114" t="b">
        <v>0</v>
      </c>
      <c r="F186" s="114" t="b">
        <v>0</v>
      </c>
      <c r="G186" s="114" t="b">
        <v>0</v>
      </c>
    </row>
    <row r="187" spans="1:7" ht="15">
      <c r="A187" s="114" t="s">
        <v>1254</v>
      </c>
      <c r="B187" s="114">
        <v>2</v>
      </c>
      <c r="C187" s="116">
        <v>0.0022814534063431767</v>
      </c>
      <c r="D187" s="114" t="s">
        <v>1396</v>
      </c>
      <c r="E187" s="114" t="b">
        <v>0</v>
      </c>
      <c r="F187" s="114" t="b">
        <v>0</v>
      </c>
      <c r="G187" s="114" t="b">
        <v>0</v>
      </c>
    </row>
    <row r="188" spans="1:7" ht="15">
      <c r="A188" s="114" t="s">
        <v>1255</v>
      </c>
      <c r="B188" s="114">
        <v>2</v>
      </c>
      <c r="C188" s="116">
        <v>0.0022814534063431767</v>
      </c>
      <c r="D188" s="114" t="s">
        <v>1396</v>
      </c>
      <c r="E188" s="114" t="b">
        <v>0</v>
      </c>
      <c r="F188" s="114" t="b">
        <v>0</v>
      </c>
      <c r="G188" s="114" t="b">
        <v>0</v>
      </c>
    </row>
    <row r="189" spans="1:7" ht="15">
      <c r="A189" s="114" t="s">
        <v>1256</v>
      </c>
      <c r="B189" s="114">
        <v>2</v>
      </c>
      <c r="C189" s="116">
        <v>0.0022814534063431767</v>
      </c>
      <c r="D189" s="114" t="s">
        <v>1396</v>
      </c>
      <c r="E189" s="114" t="b">
        <v>0</v>
      </c>
      <c r="F189" s="114" t="b">
        <v>0</v>
      </c>
      <c r="G189" s="114" t="b">
        <v>0</v>
      </c>
    </row>
    <row r="190" spans="1:7" ht="15">
      <c r="A190" s="114" t="s">
        <v>1257</v>
      </c>
      <c r="B190" s="114">
        <v>2</v>
      </c>
      <c r="C190" s="116">
        <v>0.0022814534063431767</v>
      </c>
      <c r="D190" s="114" t="s">
        <v>1396</v>
      </c>
      <c r="E190" s="114" t="b">
        <v>0</v>
      </c>
      <c r="F190" s="114" t="b">
        <v>0</v>
      </c>
      <c r="G190" s="114" t="b">
        <v>0</v>
      </c>
    </row>
    <row r="191" spans="1:7" ht="15">
      <c r="A191" s="114" t="s">
        <v>1258</v>
      </c>
      <c r="B191" s="114">
        <v>2</v>
      </c>
      <c r="C191" s="116">
        <v>0.0022814534063431767</v>
      </c>
      <c r="D191" s="114" t="s">
        <v>1396</v>
      </c>
      <c r="E191" s="114" t="b">
        <v>0</v>
      </c>
      <c r="F191" s="114" t="b">
        <v>0</v>
      </c>
      <c r="G191" s="114" t="b">
        <v>0</v>
      </c>
    </row>
    <row r="192" spans="1:7" ht="15">
      <c r="A192" s="114" t="s">
        <v>1259</v>
      </c>
      <c r="B192" s="114">
        <v>2</v>
      </c>
      <c r="C192" s="116">
        <v>0.0022814534063431767</v>
      </c>
      <c r="D192" s="114" t="s">
        <v>1396</v>
      </c>
      <c r="E192" s="114" t="b">
        <v>0</v>
      </c>
      <c r="F192" s="114" t="b">
        <v>0</v>
      </c>
      <c r="G192" s="114" t="b">
        <v>0</v>
      </c>
    </row>
    <row r="193" spans="1:7" ht="15">
      <c r="A193" s="114" t="s">
        <v>1260</v>
      </c>
      <c r="B193" s="114">
        <v>2</v>
      </c>
      <c r="C193" s="116">
        <v>0.0022814534063431767</v>
      </c>
      <c r="D193" s="114" t="s">
        <v>1396</v>
      </c>
      <c r="E193" s="114" t="b">
        <v>0</v>
      </c>
      <c r="F193" s="114" t="b">
        <v>0</v>
      </c>
      <c r="G193" s="114" t="b">
        <v>0</v>
      </c>
    </row>
    <row r="194" spans="1:7" ht="15">
      <c r="A194" s="114" t="s">
        <v>1261</v>
      </c>
      <c r="B194" s="114">
        <v>2</v>
      </c>
      <c r="C194" s="116">
        <v>0.0022814534063431767</v>
      </c>
      <c r="D194" s="114" t="s">
        <v>1396</v>
      </c>
      <c r="E194" s="114" t="b">
        <v>0</v>
      </c>
      <c r="F194" s="114" t="b">
        <v>0</v>
      </c>
      <c r="G194" s="114" t="b">
        <v>0</v>
      </c>
    </row>
    <row r="195" spans="1:7" ht="15">
      <c r="A195" s="114" t="s">
        <v>1262</v>
      </c>
      <c r="B195" s="114">
        <v>2</v>
      </c>
      <c r="C195" s="116">
        <v>0.0022814534063431767</v>
      </c>
      <c r="D195" s="114" t="s">
        <v>1396</v>
      </c>
      <c r="E195" s="114" t="b">
        <v>0</v>
      </c>
      <c r="F195" s="114" t="b">
        <v>0</v>
      </c>
      <c r="G195" s="114" t="b">
        <v>0</v>
      </c>
    </row>
    <row r="196" spans="1:7" ht="15">
      <c r="A196" s="114" t="s">
        <v>1263</v>
      </c>
      <c r="B196" s="114">
        <v>2</v>
      </c>
      <c r="C196" s="116">
        <v>0.0022814534063431767</v>
      </c>
      <c r="D196" s="114" t="s">
        <v>1396</v>
      </c>
      <c r="E196" s="114" t="b">
        <v>0</v>
      </c>
      <c r="F196" s="114" t="b">
        <v>0</v>
      </c>
      <c r="G196" s="114" t="b">
        <v>0</v>
      </c>
    </row>
    <row r="197" spans="1:7" ht="15">
      <c r="A197" s="114" t="s">
        <v>1264</v>
      </c>
      <c r="B197" s="114">
        <v>2</v>
      </c>
      <c r="C197" s="116">
        <v>0.0022814534063431767</v>
      </c>
      <c r="D197" s="114" t="s">
        <v>1396</v>
      </c>
      <c r="E197" s="114" t="b">
        <v>0</v>
      </c>
      <c r="F197" s="114" t="b">
        <v>0</v>
      </c>
      <c r="G197" s="114" t="b">
        <v>0</v>
      </c>
    </row>
    <row r="198" spans="1:7" ht="15">
      <c r="A198" s="114" t="s">
        <v>1265</v>
      </c>
      <c r="B198" s="114">
        <v>2</v>
      </c>
      <c r="C198" s="116">
        <v>0.0022814534063431767</v>
      </c>
      <c r="D198" s="114" t="s">
        <v>1396</v>
      </c>
      <c r="E198" s="114" t="b">
        <v>0</v>
      </c>
      <c r="F198" s="114" t="b">
        <v>0</v>
      </c>
      <c r="G198" s="114" t="b">
        <v>0</v>
      </c>
    </row>
    <row r="199" spans="1:7" ht="15">
      <c r="A199" s="114" t="s">
        <v>1266</v>
      </c>
      <c r="B199" s="114">
        <v>2</v>
      </c>
      <c r="C199" s="116">
        <v>0.0022814534063431767</v>
      </c>
      <c r="D199" s="114" t="s">
        <v>1396</v>
      </c>
      <c r="E199" s="114" t="b">
        <v>0</v>
      </c>
      <c r="F199" s="114" t="b">
        <v>0</v>
      </c>
      <c r="G199" s="114" t="b">
        <v>0</v>
      </c>
    </row>
    <row r="200" spans="1:7" ht="15">
      <c r="A200" s="114" t="s">
        <v>1267</v>
      </c>
      <c r="B200" s="114">
        <v>2</v>
      </c>
      <c r="C200" s="116">
        <v>0.0022814534063431767</v>
      </c>
      <c r="D200" s="114" t="s">
        <v>1396</v>
      </c>
      <c r="E200" s="114" t="b">
        <v>0</v>
      </c>
      <c r="F200" s="114" t="b">
        <v>0</v>
      </c>
      <c r="G200" s="114" t="b">
        <v>0</v>
      </c>
    </row>
    <row r="201" spans="1:7" ht="15">
      <c r="A201" s="114" t="s">
        <v>1268</v>
      </c>
      <c r="B201" s="114">
        <v>2</v>
      </c>
      <c r="C201" s="116">
        <v>0.0022814534063431767</v>
      </c>
      <c r="D201" s="114" t="s">
        <v>1396</v>
      </c>
      <c r="E201" s="114" t="b">
        <v>0</v>
      </c>
      <c r="F201" s="114" t="b">
        <v>0</v>
      </c>
      <c r="G201" s="114" t="b">
        <v>0</v>
      </c>
    </row>
    <row r="202" spans="1:7" ht="15">
      <c r="A202" s="114" t="s">
        <v>1269</v>
      </c>
      <c r="B202" s="114">
        <v>2</v>
      </c>
      <c r="C202" s="116">
        <v>0.0022814534063431767</v>
      </c>
      <c r="D202" s="114" t="s">
        <v>1396</v>
      </c>
      <c r="E202" s="114" t="b">
        <v>0</v>
      </c>
      <c r="F202" s="114" t="b">
        <v>0</v>
      </c>
      <c r="G202" s="114" t="b">
        <v>0</v>
      </c>
    </row>
    <row r="203" spans="1:7" ht="15">
      <c r="A203" s="114" t="s">
        <v>1270</v>
      </c>
      <c r="B203" s="114">
        <v>2</v>
      </c>
      <c r="C203" s="116">
        <v>0.0022814534063431767</v>
      </c>
      <c r="D203" s="114" t="s">
        <v>1396</v>
      </c>
      <c r="E203" s="114" t="b">
        <v>0</v>
      </c>
      <c r="F203" s="114" t="b">
        <v>0</v>
      </c>
      <c r="G203" s="114" t="b">
        <v>0</v>
      </c>
    </row>
    <row r="204" spans="1:7" ht="15">
      <c r="A204" s="114" t="s">
        <v>1271</v>
      </c>
      <c r="B204" s="114">
        <v>2</v>
      </c>
      <c r="C204" s="116">
        <v>0.0022814534063431767</v>
      </c>
      <c r="D204" s="114" t="s">
        <v>1396</v>
      </c>
      <c r="E204" s="114" t="b">
        <v>0</v>
      </c>
      <c r="F204" s="114" t="b">
        <v>0</v>
      </c>
      <c r="G204" s="114" t="b">
        <v>0</v>
      </c>
    </row>
    <row r="205" spans="1:7" ht="15">
      <c r="A205" s="114" t="s">
        <v>1272</v>
      </c>
      <c r="B205" s="114">
        <v>2</v>
      </c>
      <c r="C205" s="116">
        <v>0.0026172370044067364</v>
      </c>
      <c r="D205" s="114" t="s">
        <v>1396</v>
      </c>
      <c r="E205" s="114" t="b">
        <v>0</v>
      </c>
      <c r="F205" s="114" t="b">
        <v>0</v>
      </c>
      <c r="G205" s="114" t="b">
        <v>0</v>
      </c>
    </row>
    <row r="206" spans="1:7" ht="15">
      <c r="A206" s="114" t="s">
        <v>1273</v>
      </c>
      <c r="B206" s="114">
        <v>2</v>
      </c>
      <c r="C206" s="116">
        <v>0.0022814534063431767</v>
      </c>
      <c r="D206" s="114" t="s">
        <v>1396</v>
      </c>
      <c r="E206" s="114" t="b">
        <v>0</v>
      </c>
      <c r="F206" s="114" t="b">
        <v>0</v>
      </c>
      <c r="G206" s="114" t="b">
        <v>0</v>
      </c>
    </row>
    <row r="207" spans="1:7" ht="15">
      <c r="A207" s="114" t="s">
        <v>1274</v>
      </c>
      <c r="B207" s="114">
        <v>2</v>
      </c>
      <c r="C207" s="116">
        <v>0.0022814534063431767</v>
      </c>
      <c r="D207" s="114" t="s">
        <v>1396</v>
      </c>
      <c r="E207" s="114" t="b">
        <v>0</v>
      </c>
      <c r="F207" s="114" t="b">
        <v>0</v>
      </c>
      <c r="G207" s="114" t="b">
        <v>0</v>
      </c>
    </row>
    <row r="208" spans="1:7" ht="15">
      <c r="A208" s="114" t="s">
        <v>1275</v>
      </c>
      <c r="B208" s="114">
        <v>2</v>
      </c>
      <c r="C208" s="116">
        <v>0.0022814534063431767</v>
      </c>
      <c r="D208" s="114" t="s">
        <v>1396</v>
      </c>
      <c r="E208" s="114" t="b">
        <v>0</v>
      </c>
      <c r="F208" s="114" t="b">
        <v>0</v>
      </c>
      <c r="G208" s="114" t="b">
        <v>0</v>
      </c>
    </row>
    <row r="209" spans="1:7" ht="15">
      <c r="A209" s="114" t="s">
        <v>1276</v>
      </c>
      <c r="B209" s="114">
        <v>2</v>
      </c>
      <c r="C209" s="116">
        <v>0.0022814534063431767</v>
      </c>
      <c r="D209" s="114" t="s">
        <v>1396</v>
      </c>
      <c r="E209" s="114" t="b">
        <v>0</v>
      </c>
      <c r="F209" s="114" t="b">
        <v>0</v>
      </c>
      <c r="G209" s="114" t="b">
        <v>0</v>
      </c>
    </row>
    <row r="210" spans="1:7" ht="15">
      <c r="A210" s="114" t="s">
        <v>1277</v>
      </c>
      <c r="B210" s="114">
        <v>2</v>
      </c>
      <c r="C210" s="116">
        <v>0.0022814534063431767</v>
      </c>
      <c r="D210" s="114" t="s">
        <v>1396</v>
      </c>
      <c r="E210" s="114" t="b">
        <v>0</v>
      </c>
      <c r="F210" s="114" t="b">
        <v>0</v>
      </c>
      <c r="G210" s="114" t="b">
        <v>0</v>
      </c>
    </row>
    <row r="211" spans="1:7" ht="15">
      <c r="A211" s="114" t="s">
        <v>1278</v>
      </c>
      <c r="B211" s="114">
        <v>2</v>
      </c>
      <c r="C211" s="116">
        <v>0.0022814534063431767</v>
      </c>
      <c r="D211" s="114" t="s">
        <v>1396</v>
      </c>
      <c r="E211" s="114" t="b">
        <v>0</v>
      </c>
      <c r="F211" s="114" t="b">
        <v>0</v>
      </c>
      <c r="G211" s="114" t="b">
        <v>0</v>
      </c>
    </row>
    <row r="212" spans="1:7" ht="15">
      <c r="A212" s="114" t="s">
        <v>1279</v>
      </c>
      <c r="B212" s="114">
        <v>2</v>
      </c>
      <c r="C212" s="116">
        <v>0.0022814534063431767</v>
      </c>
      <c r="D212" s="114" t="s">
        <v>1396</v>
      </c>
      <c r="E212" s="114" t="b">
        <v>0</v>
      </c>
      <c r="F212" s="114" t="b">
        <v>0</v>
      </c>
      <c r="G212" s="114" t="b">
        <v>0</v>
      </c>
    </row>
    <row r="213" spans="1:7" ht="15">
      <c r="A213" s="114" t="s">
        <v>1280</v>
      </c>
      <c r="B213" s="114">
        <v>2</v>
      </c>
      <c r="C213" s="116">
        <v>0.0022814534063431767</v>
      </c>
      <c r="D213" s="114" t="s">
        <v>1396</v>
      </c>
      <c r="E213" s="114" t="b">
        <v>0</v>
      </c>
      <c r="F213" s="114" t="b">
        <v>0</v>
      </c>
      <c r="G213" s="114" t="b">
        <v>0</v>
      </c>
    </row>
    <row r="214" spans="1:7" ht="15">
      <c r="A214" s="114" t="s">
        <v>1281</v>
      </c>
      <c r="B214" s="114">
        <v>2</v>
      </c>
      <c r="C214" s="116">
        <v>0.0022814534063431767</v>
      </c>
      <c r="D214" s="114" t="s">
        <v>1396</v>
      </c>
      <c r="E214" s="114" t="b">
        <v>0</v>
      </c>
      <c r="F214" s="114" t="b">
        <v>0</v>
      </c>
      <c r="G214" s="114" t="b">
        <v>0</v>
      </c>
    </row>
    <row r="215" spans="1:7" ht="15">
      <c r="A215" s="114" t="s">
        <v>1282</v>
      </c>
      <c r="B215" s="114">
        <v>2</v>
      </c>
      <c r="C215" s="116">
        <v>0.0022814534063431767</v>
      </c>
      <c r="D215" s="114" t="s">
        <v>1396</v>
      </c>
      <c r="E215" s="114" t="b">
        <v>0</v>
      </c>
      <c r="F215" s="114" t="b">
        <v>0</v>
      </c>
      <c r="G215" s="114" t="b">
        <v>0</v>
      </c>
    </row>
    <row r="216" spans="1:7" ht="15">
      <c r="A216" s="114" t="s">
        <v>1283</v>
      </c>
      <c r="B216" s="114">
        <v>2</v>
      </c>
      <c r="C216" s="116">
        <v>0.0022814534063431767</v>
      </c>
      <c r="D216" s="114" t="s">
        <v>1396</v>
      </c>
      <c r="E216" s="114" t="b">
        <v>0</v>
      </c>
      <c r="F216" s="114" t="b">
        <v>0</v>
      </c>
      <c r="G216" s="114" t="b">
        <v>0</v>
      </c>
    </row>
    <row r="217" spans="1:7" ht="15">
      <c r="A217" s="114" t="s">
        <v>1284</v>
      </c>
      <c r="B217" s="114">
        <v>2</v>
      </c>
      <c r="C217" s="116">
        <v>0.0022814534063431767</v>
      </c>
      <c r="D217" s="114" t="s">
        <v>1396</v>
      </c>
      <c r="E217" s="114" t="b">
        <v>0</v>
      </c>
      <c r="F217" s="114" t="b">
        <v>0</v>
      </c>
      <c r="G217" s="114" t="b">
        <v>0</v>
      </c>
    </row>
    <row r="218" spans="1:7" ht="15">
      <c r="A218" s="114" t="s">
        <v>1285</v>
      </c>
      <c r="B218" s="114">
        <v>2</v>
      </c>
      <c r="C218" s="116">
        <v>0.0022814534063431767</v>
      </c>
      <c r="D218" s="114" t="s">
        <v>1396</v>
      </c>
      <c r="E218" s="114" t="b">
        <v>0</v>
      </c>
      <c r="F218" s="114" t="b">
        <v>0</v>
      </c>
      <c r="G218" s="114" t="b">
        <v>0</v>
      </c>
    </row>
    <row r="219" spans="1:7" ht="15">
      <c r="A219" s="114" t="s">
        <v>1286</v>
      </c>
      <c r="B219" s="114">
        <v>2</v>
      </c>
      <c r="C219" s="116">
        <v>0.0022814534063431767</v>
      </c>
      <c r="D219" s="114" t="s">
        <v>1396</v>
      </c>
      <c r="E219" s="114" t="b">
        <v>0</v>
      </c>
      <c r="F219" s="114" t="b">
        <v>0</v>
      </c>
      <c r="G219" s="114" t="b">
        <v>0</v>
      </c>
    </row>
    <row r="220" spans="1:7" ht="15">
      <c r="A220" s="114" t="s">
        <v>1287</v>
      </c>
      <c r="B220" s="114">
        <v>2</v>
      </c>
      <c r="C220" s="116">
        <v>0.0022814534063431767</v>
      </c>
      <c r="D220" s="114" t="s">
        <v>1396</v>
      </c>
      <c r="E220" s="114" t="b">
        <v>0</v>
      </c>
      <c r="F220" s="114" t="b">
        <v>0</v>
      </c>
      <c r="G220" s="114" t="b">
        <v>0</v>
      </c>
    </row>
    <row r="221" spans="1:7" ht="15">
      <c r="A221" s="114" t="s">
        <v>1288</v>
      </c>
      <c r="B221" s="114">
        <v>2</v>
      </c>
      <c r="C221" s="116">
        <v>0.0022814534063431767</v>
      </c>
      <c r="D221" s="114" t="s">
        <v>1396</v>
      </c>
      <c r="E221" s="114" t="b">
        <v>0</v>
      </c>
      <c r="F221" s="114" t="b">
        <v>0</v>
      </c>
      <c r="G221" s="114" t="b">
        <v>0</v>
      </c>
    </row>
    <row r="222" spans="1:7" ht="15">
      <c r="A222" s="114" t="s">
        <v>1289</v>
      </c>
      <c r="B222" s="114">
        <v>2</v>
      </c>
      <c r="C222" s="116">
        <v>0.0022814534063431767</v>
      </c>
      <c r="D222" s="114" t="s">
        <v>1396</v>
      </c>
      <c r="E222" s="114" t="b">
        <v>0</v>
      </c>
      <c r="F222" s="114" t="b">
        <v>0</v>
      </c>
      <c r="G222" s="114" t="b">
        <v>0</v>
      </c>
    </row>
    <row r="223" spans="1:7" ht="15">
      <c r="A223" s="114" t="s">
        <v>1290</v>
      </c>
      <c r="B223" s="114">
        <v>2</v>
      </c>
      <c r="C223" s="116">
        <v>0.0026172370044067364</v>
      </c>
      <c r="D223" s="114" t="s">
        <v>1396</v>
      </c>
      <c r="E223" s="114" t="b">
        <v>0</v>
      </c>
      <c r="F223" s="114" t="b">
        <v>0</v>
      </c>
      <c r="G223" s="114" t="b">
        <v>0</v>
      </c>
    </row>
    <row r="224" spans="1:7" ht="15">
      <c r="A224" s="114" t="s">
        <v>1291</v>
      </c>
      <c r="B224" s="114">
        <v>2</v>
      </c>
      <c r="C224" s="116">
        <v>0.0022814534063431767</v>
      </c>
      <c r="D224" s="114" t="s">
        <v>1396</v>
      </c>
      <c r="E224" s="114" t="b">
        <v>0</v>
      </c>
      <c r="F224" s="114" t="b">
        <v>0</v>
      </c>
      <c r="G224" s="114" t="b">
        <v>0</v>
      </c>
    </row>
    <row r="225" spans="1:7" ht="15">
      <c r="A225" s="114" t="s">
        <v>1292</v>
      </c>
      <c r="B225" s="114">
        <v>2</v>
      </c>
      <c r="C225" s="116">
        <v>0.0022814534063431767</v>
      </c>
      <c r="D225" s="114" t="s">
        <v>1396</v>
      </c>
      <c r="E225" s="114" t="b">
        <v>0</v>
      </c>
      <c r="F225" s="114" t="b">
        <v>0</v>
      </c>
      <c r="G225" s="114" t="b">
        <v>0</v>
      </c>
    </row>
    <row r="226" spans="1:7" ht="15">
      <c r="A226" s="114" t="s">
        <v>1293</v>
      </c>
      <c r="B226" s="114">
        <v>2</v>
      </c>
      <c r="C226" s="116">
        <v>0.0022814534063431767</v>
      </c>
      <c r="D226" s="114" t="s">
        <v>1396</v>
      </c>
      <c r="E226" s="114" t="b">
        <v>0</v>
      </c>
      <c r="F226" s="114" t="b">
        <v>0</v>
      </c>
      <c r="G226" s="114" t="b">
        <v>0</v>
      </c>
    </row>
    <row r="227" spans="1:7" ht="15">
      <c r="A227" s="114" t="s">
        <v>1294</v>
      </c>
      <c r="B227" s="114">
        <v>2</v>
      </c>
      <c r="C227" s="116">
        <v>0.0022814534063431767</v>
      </c>
      <c r="D227" s="114" t="s">
        <v>1396</v>
      </c>
      <c r="E227" s="114" t="b">
        <v>0</v>
      </c>
      <c r="F227" s="114" t="b">
        <v>0</v>
      </c>
      <c r="G227" s="114" t="b">
        <v>0</v>
      </c>
    </row>
    <row r="228" spans="1:7" ht="15">
      <c r="A228" s="114" t="s">
        <v>1295</v>
      </c>
      <c r="B228" s="114">
        <v>2</v>
      </c>
      <c r="C228" s="116">
        <v>0.0026172370044067364</v>
      </c>
      <c r="D228" s="114" t="s">
        <v>1396</v>
      </c>
      <c r="E228" s="114" t="b">
        <v>0</v>
      </c>
      <c r="F228" s="114" t="b">
        <v>0</v>
      </c>
      <c r="G228" s="114" t="b">
        <v>0</v>
      </c>
    </row>
    <row r="229" spans="1:7" ht="15">
      <c r="A229" s="114" t="s">
        <v>1296</v>
      </c>
      <c r="B229" s="114">
        <v>2</v>
      </c>
      <c r="C229" s="116">
        <v>0.0026172370044067364</v>
      </c>
      <c r="D229" s="114" t="s">
        <v>1396</v>
      </c>
      <c r="E229" s="114" t="b">
        <v>0</v>
      </c>
      <c r="F229" s="114" t="b">
        <v>0</v>
      </c>
      <c r="G229" s="114" t="b">
        <v>0</v>
      </c>
    </row>
    <row r="230" spans="1:7" ht="15">
      <c r="A230" s="114" t="s">
        <v>1297</v>
      </c>
      <c r="B230" s="114">
        <v>2</v>
      </c>
      <c r="C230" s="116">
        <v>0.0022814534063431767</v>
      </c>
      <c r="D230" s="114" t="s">
        <v>1396</v>
      </c>
      <c r="E230" s="114" t="b">
        <v>0</v>
      </c>
      <c r="F230" s="114" t="b">
        <v>0</v>
      </c>
      <c r="G230" s="114" t="b">
        <v>0</v>
      </c>
    </row>
    <row r="231" spans="1:7" ht="15">
      <c r="A231" s="114" t="s">
        <v>1298</v>
      </c>
      <c r="B231" s="114">
        <v>2</v>
      </c>
      <c r="C231" s="116">
        <v>0.0026172370044067364</v>
      </c>
      <c r="D231" s="114" t="s">
        <v>1396</v>
      </c>
      <c r="E231" s="114" t="b">
        <v>0</v>
      </c>
      <c r="F231" s="114" t="b">
        <v>0</v>
      </c>
      <c r="G231" s="114" t="b">
        <v>0</v>
      </c>
    </row>
    <row r="232" spans="1:7" ht="15">
      <c r="A232" s="114" t="s">
        <v>1299</v>
      </c>
      <c r="B232" s="114">
        <v>2</v>
      </c>
      <c r="C232" s="116">
        <v>0.0026172370044067364</v>
      </c>
      <c r="D232" s="114" t="s">
        <v>1396</v>
      </c>
      <c r="E232" s="114" t="b">
        <v>0</v>
      </c>
      <c r="F232" s="114" t="b">
        <v>0</v>
      </c>
      <c r="G232" s="114" t="b">
        <v>0</v>
      </c>
    </row>
    <row r="233" spans="1:7" ht="15">
      <c r="A233" s="114" t="s">
        <v>1300</v>
      </c>
      <c r="B233" s="114">
        <v>2</v>
      </c>
      <c r="C233" s="116">
        <v>0.0022814534063431767</v>
      </c>
      <c r="D233" s="114" t="s">
        <v>1396</v>
      </c>
      <c r="E233" s="114" t="b">
        <v>0</v>
      </c>
      <c r="F233" s="114" t="b">
        <v>0</v>
      </c>
      <c r="G233" s="114" t="b">
        <v>0</v>
      </c>
    </row>
    <row r="234" spans="1:7" ht="15">
      <c r="A234" s="114" t="s">
        <v>1301</v>
      </c>
      <c r="B234" s="114">
        <v>2</v>
      </c>
      <c r="C234" s="116">
        <v>0.0026172370044067364</v>
      </c>
      <c r="D234" s="114" t="s">
        <v>1396</v>
      </c>
      <c r="E234" s="114" t="b">
        <v>0</v>
      </c>
      <c r="F234" s="114" t="b">
        <v>0</v>
      </c>
      <c r="G234" s="114" t="b">
        <v>0</v>
      </c>
    </row>
    <row r="235" spans="1:7" ht="15">
      <c r="A235" s="114" t="s">
        <v>1302</v>
      </c>
      <c r="B235" s="114">
        <v>2</v>
      </c>
      <c r="C235" s="116">
        <v>0.0026172370044067364</v>
      </c>
      <c r="D235" s="114" t="s">
        <v>1396</v>
      </c>
      <c r="E235" s="114" t="b">
        <v>0</v>
      </c>
      <c r="F235" s="114" t="b">
        <v>0</v>
      </c>
      <c r="G235" s="114" t="b">
        <v>0</v>
      </c>
    </row>
    <row r="236" spans="1:7" ht="15">
      <c r="A236" s="114" t="s">
        <v>1303</v>
      </c>
      <c r="B236" s="114">
        <v>2</v>
      </c>
      <c r="C236" s="116">
        <v>0.0026172370044067364</v>
      </c>
      <c r="D236" s="114" t="s">
        <v>1396</v>
      </c>
      <c r="E236" s="114" t="b">
        <v>0</v>
      </c>
      <c r="F236" s="114" t="b">
        <v>0</v>
      </c>
      <c r="G236" s="114" t="b">
        <v>0</v>
      </c>
    </row>
    <row r="237" spans="1:7" ht="15">
      <c r="A237" s="114" t="s">
        <v>1304</v>
      </c>
      <c r="B237" s="114">
        <v>2</v>
      </c>
      <c r="C237" s="116">
        <v>0.0022814534063431767</v>
      </c>
      <c r="D237" s="114" t="s">
        <v>1396</v>
      </c>
      <c r="E237" s="114" t="b">
        <v>0</v>
      </c>
      <c r="F237" s="114" t="b">
        <v>0</v>
      </c>
      <c r="G237" s="114" t="b">
        <v>0</v>
      </c>
    </row>
    <row r="238" spans="1:7" ht="15">
      <c r="A238" s="114" t="s">
        <v>1305</v>
      </c>
      <c r="B238" s="114">
        <v>2</v>
      </c>
      <c r="C238" s="116">
        <v>0.0022814534063431767</v>
      </c>
      <c r="D238" s="114" t="s">
        <v>1396</v>
      </c>
      <c r="E238" s="114" t="b">
        <v>0</v>
      </c>
      <c r="F238" s="114" t="b">
        <v>0</v>
      </c>
      <c r="G238" s="114" t="b">
        <v>0</v>
      </c>
    </row>
    <row r="239" spans="1:7" ht="15">
      <c r="A239" s="114" t="s">
        <v>1306</v>
      </c>
      <c r="B239" s="114">
        <v>2</v>
      </c>
      <c r="C239" s="116">
        <v>0.0022814534063431767</v>
      </c>
      <c r="D239" s="114" t="s">
        <v>1396</v>
      </c>
      <c r="E239" s="114" t="b">
        <v>0</v>
      </c>
      <c r="F239" s="114" t="b">
        <v>0</v>
      </c>
      <c r="G239" s="114" t="b">
        <v>0</v>
      </c>
    </row>
    <row r="240" spans="1:7" ht="15">
      <c r="A240" s="114" t="s">
        <v>1307</v>
      </c>
      <c r="B240" s="114">
        <v>2</v>
      </c>
      <c r="C240" s="116">
        <v>0.0022814534063431767</v>
      </c>
      <c r="D240" s="114" t="s">
        <v>1396</v>
      </c>
      <c r="E240" s="114" t="b">
        <v>0</v>
      </c>
      <c r="F240" s="114" t="b">
        <v>0</v>
      </c>
      <c r="G240" s="114" t="b">
        <v>0</v>
      </c>
    </row>
    <row r="241" spans="1:7" ht="15">
      <c r="A241" s="114" t="s">
        <v>1308</v>
      </c>
      <c r="B241" s="114">
        <v>2</v>
      </c>
      <c r="C241" s="116">
        <v>0.0022814534063431767</v>
      </c>
      <c r="D241" s="114" t="s">
        <v>1396</v>
      </c>
      <c r="E241" s="114" t="b">
        <v>0</v>
      </c>
      <c r="F241" s="114" t="b">
        <v>0</v>
      </c>
      <c r="G241" s="114" t="b">
        <v>0</v>
      </c>
    </row>
    <row r="242" spans="1:7" ht="15">
      <c r="A242" s="114" t="s">
        <v>1309</v>
      </c>
      <c r="B242" s="114">
        <v>2</v>
      </c>
      <c r="C242" s="116">
        <v>0.0022814534063431767</v>
      </c>
      <c r="D242" s="114" t="s">
        <v>1396</v>
      </c>
      <c r="E242" s="114" t="b">
        <v>0</v>
      </c>
      <c r="F242" s="114" t="b">
        <v>0</v>
      </c>
      <c r="G242" s="114" t="b">
        <v>0</v>
      </c>
    </row>
    <row r="243" spans="1:7" ht="15">
      <c r="A243" s="114" t="s">
        <v>1310</v>
      </c>
      <c r="B243" s="114">
        <v>2</v>
      </c>
      <c r="C243" s="116">
        <v>0.0022814534063431767</v>
      </c>
      <c r="D243" s="114" t="s">
        <v>1396</v>
      </c>
      <c r="E243" s="114" t="b">
        <v>0</v>
      </c>
      <c r="F243" s="114" t="b">
        <v>0</v>
      </c>
      <c r="G243" s="114" t="b">
        <v>0</v>
      </c>
    </row>
    <row r="244" spans="1:7" ht="15">
      <c r="A244" s="114" t="s">
        <v>1311</v>
      </c>
      <c r="B244" s="114">
        <v>2</v>
      </c>
      <c r="C244" s="116">
        <v>0.0022814534063431767</v>
      </c>
      <c r="D244" s="114" t="s">
        <v>1396</v>
      </c>
      <c r="E244" s="114" t="b">
        <v>0</v>
      </c>
      <c r="F244" s="114" t="b">
        <v>0</v>
      </c>
      <c r="G244" s="114" t="b">
        <v>0</v>
      </c>
    </row>
    <row r="245" spans="1:7" ht="15">
      <c r="A245" s="114" t="s">
        <v>1312</v>
      </c>
      <c r="B245" s="114">
        <v>2</v>
      </c>
      <c r="C245" s="116">
        <v>0.0026172370044067364</v>
      </c>
      <c r="D245" s="114" t="s">
        <v>1396</v>
      </c>
      <c r="E245" s="114" t="b">
        <v>0</v>
      </c>
      <c r="F245" s="114" t="b">
        <v>0</v>
      </c>
      <c r="G245" s="114" t="b">
        <v>0</v>
      </c>
    </row>
    <row r="246" spans="1:7" ht="15">
      <c r="A246" s="114" t="s">
        <v>1313</v>
      </c>
      <c r="B246" s="114">
        <v>2</v>
      </c>
      <c r="C246" s="116">
        <v>0.0026172370044067364</v>
      </c>
      <c r="D246" s="114" t="s">
        <v>1396</v>
      </c>
      <c r="E246" s="114" t="b">
        <v>0</v>
      </c>
      <c r="F246" s="114" t="b">
        <v>0</v>
      </c>
      <c r="G246" s="114" t="b">
        <v>0</v>
      </c>
    </row>
    <row r="247" spans="1:7" ht="15">
      <c r="A247" s="114" t="s">
        <v>1314</v>
      </c>
      <c r="B247" s="114">
        <v>2</v>
      </c>
      <c r="C247" s="116">
        <v>0.0026172370044067364</v>
      </c>
      <c r="D247" s="114" t="s">
        <v>1396</v>
      </c>
      <c r="E247" s="114" t="b">
        <v>0</v>
      </c>
      <c r="F247" s="114" t="b">
        <v>0</v>
      </c>
      <c r="G247" s="114" t="b">
        <v>0</v>
      </c>
    </row>
    <row r="248" spans="1:7" ht="15">
      <c r="A248" s="114" t="s">
        <v>1315</v>
      </c>
      <c r="B248" s="114">
        <v>2</v>
      </c>
      <c r="C248" s="116">
        <v>0.0022814534063431767</v>
      </c>
      <c r="D248" s="114" t="s">
        <v>1396</v>
      </c>
      <c r="E248" s="114" t="b">
        <v>0</v>
      </c>
      <c r="F248" s="114" t="b">
        <v>0</v>
      </c>
      <c r="G248" s="114" t="b">
        <v>0</v>
      </c>
    </row>
    <row r="249" spans="1:7" ht="15">
      <c r="A249" s="114" t="s">
        <v>1316</v>
      </c>
      <c r="B249" s="114">
        <v>2</v>
      </c>
      <c r="C249" s="116">
        <v>0.0026172370044067364</v>
      </c>
      <c r="D249" s="114" t="s">
        <v>1396</v>
      </c>
      <c r="E249" s="114" t="b">
        <v>0</v>
      </c>
      <c r="F249" s="114" t="b">
        <v>0</v>
      </c>
      <c r="G249" s="114" t="b">
        <v>0</v>
      </c>
    </row>
    <row r="250" spans="1:7" ht="15">
      <c r="A250" s="114" t="s">
        <v>1317</v>
      </c>
      <c r="B250" s="114">
        <v>2</v>
      </c>
      <c r="C250" s="116">
        <v>0.0022814534063431767</v>
      </c>
      <c r="D250" s="114" t="s">
        <v>1396</v>
      </c>
      <c r="E250" s="114" t="b">
        <v>0</v>
      </c>
      <c r="F250" s="114" t="b">
        <v>0</v>
      </c>
      <c r="G250" s="114" t="b">
        <v>0</v>
      </c>
    </row>
    <row r="251" spans="1:7" ht="15">
      <c r="A251" s="114" t="s">
        <v>1318</v>
      </c>
      <c r="B251" s="114">
        <v>2</v>
      </c>
      <c r="C251" s="116">
        <v>0.0022814534063431767</v>
      </c>
      <c r="D251" s="114" t="s">
        <v>1396</v>
      </c>
      <c r="E251" s="114" t="b">
        <v>0</v>
      </c>
      <c r="F251" s="114" t="b">
        <v>0</v>
      </c>
      <c r="G251" s="114" t="b">
        <v>0</v>
      </c>
    </row>
    <row r="252" spans="1:7" ht="15">
      <c r="A252" s="114" t="s">
        <v>1319</v>
      </c>
      <c r="B252" s="114">
        <v>2</v>
      </c>
      <c r="C252" s="116">
        <v>0.0022814534063431767</v>
      </c>
      <c r="D252" s="114" t="s">
        <v>1396</v>
      </c>
      <c r="E252" s="114" t="b">
        <v>0</v>
      </c>
      <c r="F252" s="114" t="b">
        <v>0</v>
      </c>
      <c r="G252" s="114" t="b">
        <v>0</v>
      </c>
    </row>
    <row r="253" spans="1:7" ht="15">
      <c r="A253" s="114" t="s">
        <v>1320</v>
      </c>
      <c r="B253" s="114">
        <v>2</v>
      </c>
      <c r="C253" s="116">
        <v>0.0022814534063431767</v>
      </c>
      <c r="D253" s="114" t="s">
        <v>1396</v>
      </c>
      <c r="E253" s="114" t="b">
        <v>0</v>
      </c>
      <c r="F253" s="114" t="b">
        <v>0</v>
      </c>
      <c r="G253" s="114" t="b">
        <v>0</v>
      </c>
    </row>
    <row r="254" spans="1:7" ht="15">
      <c r="A254" s="114" t="s">
        <v>1321</v>
      </c>
      <c r="B254" s="114">
        <v>2</v>
      </c>
      <c r="C254" s="116">
        <v>0.0022814534063431767</v>
      </c>
      <c r="D254" s="114" t="s">
        <v>1396</v>
      </c>
      <c r="E254" s="114" t="b">
        <v>0</v>
      </c>
      <c r="F254" s="114" t="b">
        <v>0</v>
      </c>
      <c r="G254" s="114" t="b">
        <v>0</v>
      </c>
    </row>
    <row r="255" spans="1:7" ht="15">
      <c r="A255" s="114" t="s">
        <v>1322</v>
      </c>
      <c r="B255" s="114">
        <v>2</v>
      </c>
      <c r="C255" s="116">
        <v>0.0022814534063431767</v>
      </c>
      <c r="D255" s="114" t="s">
        <v>1396</v>
      </c>
      <c r="E255" s="114" t="b">
        <v>0</v>
      </c>
      <c r="F255" s="114" t="b">
        <v>0</v>
      </c>
      <c r="G255" s="114" t="b">
        <v>0</v>
      </c>
    </row>
    <row r="256" spans="1:7" ht="15">
      <c r="A256" s="114" t="s">
        <v>1323</v>
      </c>
      <c r="B256" s="114">
        <v>2</v>
      </c>
      <c r="C256" s="116">
        <v>0.0022814534063431767</v>
      </c>
      <c r="D256" s="114" t="s">
        <v>1396</v>
      </c>
      <c r="E256" s="114" t="b">
        <v>0</v>
      </c>
      <c r="F256" s="114" t="b">
        <v>0</v>
      </c>
      <c r="G256" s="114" t="b">
        <v>0</v>
      </c>
    </row>
    <row r="257" spans="1:7" ht="15">
      <c r="A257" s="114" t="s">
        <v>1324</v>
      </c>
      <c r="B257" s="114">
        <v>2</v>
      </c>
      <c r="C257" s="116">
        <v>0.0022814534063431767</v>
      </c>
      <c r="D257" s="114" t="s">
        <v>1396</v>
      </c>
      <c r="E257" s="114" t="b">
        <v>0</v>
      </c>
      <c r="F257" s="114" t="b">
        <v>0</v>
      </c>
      <c r="G257" s="114" t="b">
        <v>0</v>
      </c>
    </row>
    <row r="258" spans="1:7" ht="15">
      <c r="A258" s="114" t="s">
        <v>1325</v>
      </c>
      <c r="B258" s="114">
        <v>2</v>
      </c>
      <c r="C258" s="116">
        <v>0.0022814534063431767</v>
      </c>
      <c r="D258" s="114" t="s">
        <v>1396</v>
      </c>
      <c r="E258" s="114" t="b">
        <v>0</v>
      </c>
      <c r="F258" s="114" t="b">
        <v>0</v>
      </c>
      <c r="G258" s="114" t="b">
        <v>0</v>
      </c>
    </row>
    <row r="259" spans="1:7" ht="15">
      <c r="A259" s="114" t="s">
        <v>1326</v>
      </c>
      <c r="B259" s="114">
        <v>2</v>
      </c>
      <c r="C259" s="116">
        <v>0.0022814534063431767</v>
      </c>
      <c r="D259" s="114" t="s">
        <v>1396</v>
      </c>
      <c r="E259" s="114" t="b">
        <v>0</v>
      </c>
      <c r="F259" s="114" t="b">
        <v>0</v>
      </c>
      <c r="G259" s="114" t="b">
        <v>0</v>
      </c>
    </row>
    <row r="260" spans="1:7" ht="15">
      <c r="A260" s="114" t="s">
        <v>1327</v>
      </c>
      <c r="B260" s="114">
        <v>2</v>
      </c>
      <c r="C260" s="116">
        <v>0.0022814534063431767</v>
      </c>
      <c r="D260" s="114" t="s">
        <v>1396</v>
      </c>
      <c r="E260" s="114" t="b">
        <v>0</v>
      </c>
      <c r="F260" s="114" t="b">
        <v>0</v>
      </c>
      <c r="G260" s="114" t="b">
        <v>0</v>
      </c>
    </row>
    <row r="261" spans="1:7" ht="15">
      <c r="A261" s="114" t="s">
        <v>1328</v>
      </c>
      <c r="B261" s="114">
        <v>2</v>
      </c>
      <c r="C261" s="116">
        <v>0.0022814534063431767</v>
      </c>
      <c r="D261" s="114" t="s">
        <v>1396</v>
      </c>
      <c r="E261" s="114" t="b">
        <v>0</v>
      </c>
      <c r="F261" s="114" t="b">
        <v>0</v>
      </c>
      <c r="G261" s="114" t="b">
        <v>0</v>
      </c>
    </row>
    <row r="262" spans="1:7" ht="15">
      <c r="A262" s="114" t="s">
        <v>1329</v>
      </c>
      <c r="B262" s="114">
        <v>2</v>
      </c>
      <c r="C262" s="116">
        <v>0.0022814534063431767</v>
      </c>
      <c r="D262" s="114" t="s">
        <v>1396</v>
      </c>
      <c r="E262" s="114" t="b">
        <v>0</v>
      </c>
      <c r="F262" s="114" t="b">
        <v>0</v>
      </c>
      <c r="G262" s="114" t="b">
        <v>0</v>
      </c>
    </row>
    <row r="263" spans="1:7" ht="15">
      <c r="A263" s="114" t="s">
        <v>1330</v>
      </c>
      <c r="B263" s="114">
        <v>2</v>
      </c>
      <c r="C263" s="116">
        <v>0.0022814534063431767</v>
      </c>
      <c r="D263" s="114" t="s">
        <v>1396</v>
      </c>
      <c r="E263" s="114" t="b">
        <v>0</v>
      </c>
      <c r="F263" s="114" t="b">
        <v>0</v>
      </c>
      <c r="G263" s="114" t="b">
        <v>0</v>
      </c>
    </row>
    <row r="264" spans="1:7" ht="15">
      <c r="A264" s="114" t="s">
        <v>1331</v>
      </c>
      <c r="B264" s="114">
        <v>2</v>
      </c>
      <c r="C264" s="116">
        <v>0.0022814534063431767</v>
      </c>
      <c r="D264" s="114" t="s">
        <v>1396</v>
      </c>
      <c r="E264" s="114" t="b">
        <v>0</v>
      </c>
      <c r="F264" s="114" t="b">
        <v>0</v>
      </c>
      <c r="G264" s="114" t="b">
        <v>0</v>
      </c>
    </row>
    <row r="265" spans="1:7" ht="15">
      <c r="A265" s="114" t="s">
        <v>1332</v>
      </c>
      <c r="B265" s="114">
        <v>2</v>
      </c>
      <c r="C265" s="116">
        <v>0.0022814534063431767</v>
      </c>
      <c r="D265" s="114" t="s">
        <v>1396</v>
      </c>
      <c r="E265" s="114" t="b">
        <v>0</v>
      </c>
      <c r="F265" s="114" t="b">
        <v>0</v>
      </c>
      <c r="G265" s="114" t="b">
        <v>0</v>
      </c>
    </row>
    <row r="266" spans="1:7" ht="15">
      <c r="A266" s="114" t="s">
        <v>1333</v>
      </c>
      <c r="B266" s="114">
        <v>2</v>
      </c>
      <c r="C266" s="116">
        <v>0.0022814534063431767</v>
      </c>
      <c r="D266" s="114" t="s">
        <v>1396</v>
      </c>
      <c r="E266" s="114" t="b">
        <v>0</v>
      </c>
      <c r="F266" s="114" t="b">
        <v>0</v>
      </c>
      <c r="G266" s="114" t="b">
        <v>0</v>
      </c>
    </row>
    <row r="267" spans="1:7" ht="15">
      <c r="A267" s="114" t="s">
        <v>1334</v>
      </c>
      <c r="B267" s="114">
        <v>2</v>
      </c>
      <c r="C267" s="116">
        <v>0.0022814534063431767</v>
      </c>
      <c r="D267" s="114" t="s">
        <v>1396</v>
      </c>
      <c r="E267" s="114" t="b">
        <v>0</v>
      </c>
      <c r="F267" s="114" t="b">
        <v>0</v>
      </c>
      <c r="G267" s="114" t="b">
        <v>0</v>
      </c>
    </row>
    <row r="268" spans="1:7" ht="15">
      <c r="A268" s="114" t="s">
        <v>1335</v>
      </c>
      <c r="B268" s="114">
        <v>2</v>
      </c>
      <c r="C268" s="116">
        <v>0.0026172370044067364</v>
      </c>
      <c r="D268" s="114" t="s">
        <v>1396</v>
      </c>
      <c r="E268" s="114" t="b">
        <v>0</v>
      </c>
      <c r="F268" s="114" t="b">
        <v>0</v>
      </c>
      <c r="G268" s="114" t="b">
        <v>0</v>
      </c>
    </row>
    <row r="269" spans="1:7" ht="15">
      <c r="A269" s="114" t="s">
        <v>1336</v>
      </c>
      <c r="B269" s="114">
        <v>2</v>
      </c>
      <c r="C269" s="116">
        <v>0.0022814534063431767</v>
      </c>
      <c r="D269" s="114" t="s">
        <v>1396</v>
      </c>
      <c r="E269" s="114" t="b">
        <v>0</v>
      </c>
      <c r="F269" s="114" t="b">
        <v>0</v>
      </c>
      <c r="G269" s="114" t="b">
        <v>0</v>
      </c>
    </row>
    <row r="270" spans="1:7" ht="15">
      <c r="A270" s="114" t="s">
        <v>1337</v>
      </c>
      <c r="B270" s="114">
        <v>2</v>
      </c>
      <c r="C270" s="116">
        <v>0.0022814534063431767</v>
      </c>
      <c r="D270" s="114" t="s">
        <v>1396</v>
      </c>
      <c r="E270" s="114" t="b">
        <v>0</v>
      </c>
      <c r="F270" s="114" t="b">
        <v>0</v>
      </c>
      <c r="G270" s="114" t="b">
        <v>0</v>
      </c>
    </row>
    <row r="271" spans="1:7" ht="15">
      <c r="A271" s="114" t="s">
        <v>1338</v>
      </c>
      <c r="B271" s="114">
        <v>2</v>
      </c>
      <c r="C271" s="116">
        <v>0.0022814534063431767</v>
      </c>
      <c r="D271" s="114" t="s">
        <v>1396</v>
      </c>
      <c r="E271" s="114" t="b">
        <v>0</v>
      </c>
      <c r="F271" s="114" t="b">
        <v>0</v>
      </c>
      <c r="G271" s="114" t="b">
        <v>0</v>
      </c>
    </row>
    <row r="272" spans="1:7" ht="15">
      <c r="A272" s="114" t="s">
        <v>1339</v>
      </c>
      <c r="B272" s="114">
        <v>2</v>
      </c>
      <c r="C272" s="116">
        <v>0.0022814534063431767</v>
      </c>
      <c r="D272" s="114" t="s">
        <v>1396</v>
      </c>
      <c r="E272" s="114" t="b">
        <v>0</v>
      </c>
      <c r="F272" s="114" t="b">
        <v>0</v>
      </c>
      <c r="G272" s="114" t="b">
        <v>0</v>
      </c>
    </row>
    <row r="273" spans="1:7" ht="15">
      <c r="A273" s="114" t="s">
        <v>1340</v>
      </c>
      <c r="B273" s="114">
        <v>2</v>
      </c>
      <c r="C273" s="116">
        <v>0.0026172370044067364</v>
      </c>
      <c r="D273" s="114" t="s">
        <v>1396</v>
      </c>
      <c r="E273" s="114" t="b">
        <v>0</v>
      </c>
      <c r="F273" s="114" t="b">
        <v>0</v>
      </c>
      <c r="G273" s="114" t="b">
        <v>0</v>
      </c>
    </row>
    <row r="274" spans="1:7" ht="15">
      <c r="A274" s="114" t="s">
        <v>1341</v>
      </c>
      <c r="B274" s="114">
        <v>2</v>
      </c>
      <c r="C274" s="116">
        <v>0.0026172370044067364</v>
      </c>
      <c r="D274" s="114" t="s">
        <v>1396</v>
      </c>
      <c r="E274" s="114" t="b">
        <v>0</v>
      </c>
      <c r="F274" s="114" t="b">
        <v>0</v>
      </c>
      <c r="G274" s="114" t="b">
        <v>0</v>
      </c>
    </row>
    <row r="275" spans="1:7" ht="15">
      <c r="A275" s="114" t="s">
        <v>1342</v>
      </c>
      <c r="B275" s="114">
        <v>2</v>
      </c>
      <c r="C275" s="116">
        <v>0.0022814534063431767</v>
      </c>
      <c r="D275" s="114" t="s">
        <v>1396</v>
      </c>
      <c r="E275" s="114" t="b">
        <v>0</v>
      </c>
      <c r="F275" s="114" t="b">
        <v>0</v>
      </c>
      <c r="G275" s="114" t="b">
        <v>0</v>
      </c>
    </row>
    <row r="276" spans="1:7" ht="15">
      <c r="A276" s="114" t="s">
        <v>1343</v>
      </c>
      <c r="B276" s="114">
        <v>2</v>
      </c>
      <c r="C276" s="116">
        <v>0.0022814534063431767</v>
      </c>
      <c r="D276" s="114" t="s">
        <v>1396</v>
      </c>
      <c r="E276" s="114" t="b">
        <v>0</v>
      </c>
      <c r="F276" s="114" t="b">
        <v>0</v>
      </c>
      <c r="G276" s="114" t="b">
        <v>0</v>
      </c>
    </row>
    <row r="277" spans="1:7" ht="15">
      <c r="A277" s="114" t="s">
        <v>1344</v>
      </c>
      <c r="B277" s="114">
        <v>2</v>
      </c>
      <c r="C277" s="116">
        <v>0.0022814534063431767</v>
      </c>
      <c r="D277" s="114" t="s">
        <v>1396</v>
      </c>
      <c r="E277" s="114" t="b">
        <v>0</v>
      </c>
      <c r="F277" s="114" t="b">
        <v>0</v>
      </c>
      <c r="G277" s="114" t="b">
        <v>0</v>
      </c>
    </row>
    <row r="278" spans="1:7" ht="15">
      <c r="A278" s="114" t="s">
        <v>1345</v>
      </c>
      <c r="B278" s="114">
        <v>2</v>
      </c>
      <c r="C278" s="116">
        <v>0.0022814534063431767</v>
      </c>
      <c r="D278" s="114" t="s">
        <v>1396</v>
      </c>
      <c r="E278" s="114" t="b">
        <v>0</v>
      </c>
      <c r="F278" s="114" t="b">
        <v>0</v>
      </c>
      <c r="G278" s="114" t="b">
        <v>0</v>
      </c>
    </row>
    <row r="279" spans="1:7" ht="15">
      <c r="A279" s="114" t="s">
        <v>1346</v>
      </c>
      <c r="B279" s="114">
        <v>2</v>
      </c>
      <c r="C279" s="116">
        <v>0.0022814534063431767</v>
      </c>
      <c r="D279" s="114" t="s">
        <v>1396</v>
      </c>
      <c r="E279" s="114" t="b">
        <v>0</v>
      </c>
      <c r="F279" s="114" t="b">
        <v>0</v>
      </c>
      <c r="G279" s="114" t="b">
        <v>0</v>
      </c>
    </row>
    <row r="280" spans="1:7" ht="15">
      <c r="A280" s="114" t="s">
        <v>1347</v>
      </c>
      <c r="B280" s="114">
        <v>2</v>
      </c>
      <c r="C280" s="116">
        <v>0.0022814534063431767</v>
      </c>
      <c r="D280" s="114" t="s">
        <v>1396</v>
      </c>
      <c r="E280" s="114" t="b">
        <v>0</v>
      </c>
      <c r="F280" s="114" t="b">
        <v>0</v>
      </c>
      <c r="G280" s="114" t="b">
        <v>0</v>
      </c>
    </row>
    <row r="281" spans="1:7" ht="15">
      <c r="A281" s="114" t="s">
        <v>1348</v>
      </c>
      <c r="B281" s="114">
        <v>2</v>
      </c>
      <c r="C281" s="116">
        <v>0.0022814534063431767</v>
      </c>
      <c r="D281" s="114" t="s">
        <v>1396</v>
      </c>
      <c r="E281" s="114" t="b">
        <v>0</v>
      </c>
      <c r="F281" s="114" t="b">
        <v>0</v>
      </c>
      <c r="G281" s="114" t="b">
        <v>0</v>
      </c>
    </row>
    <row r="282" spans="1:7" ht="15">
      <c r="A282" s="114" t="s">
        <v>1349</v>
      </c>
      <c r="B282" s="114">
        <v>2</v>
      </c>
      <c r="C282" s="116">
        <v>0.0026172370044067364</v>
      </c>
      <c r="D282" s="114" t="s">
        <v>1396</v>
      </c>
      <c r="E282" s="114" t="b">
        <v>0</v>
      </c>
      <c r="F282" s="114" t="b">
        <v>0</v>
      </c>
      <c r="G282" s="114" t="b">
        <v>0</v>
      </c>
    </row>
    <row r="283" spans="1:7" ht="15">
      <c r="A283" s="114" t="s">
        <v>1350</v>
      </c>
      <c r="B283" s="114">
        <v>2</v>
      </c>
      <c r="C283" s="116">
        <v>0.0026172370044067364</v>
      </c>
      <c r="D283" s="114" t="s">
        <v>1396</v>
      </c>
      <c r="E283" s="114" t="b">
        <v>0</v>
      </c>
      <c r="F283" s="114" t="b">
        <v>0</v>
      </c>
      <c r="G283" s="114" t="b">
        <v>0</v>
      </c>
    </row>
    <row r="284" spans="1:7" ht="15">
      <c r="A284" s="114" t="s">
        <v>1351</v>
      </c>
      <c r="B284" s="114">
        <v>2</v>
      </c>
      <c r="C284" s="116">
        <v>0.0026172370044067364</v>
      </c>
      <c r="D284" s="114" t="s">
        <v>1396</v>
      </c>
      <c r="E284" s="114" t="b">
        <v>0</v>
      </c>
      <c r="F284" s="114" t="b">
        <v>0</v>
      </c>
      <c r="G284" s="114" t="b">
        <v>0</v>
      </c>
    </row>
    <row r="285" spans="1:7" ht="15">
      <c r="A285" s="114" t="s">
        <v>1352</v>
      </c>
      <c r="B285" s="114">
        <v>2</v>
      </c>
      <c r="C285" s="116">
        <v>0.0022814534063431767</v>
      </c>
      <c r="D285" s="114" t="s">
        <v>1396</v>
      </c>
      <c r="E285" s="114" t="b">
        <v>0</v>
      </c>
      <c r="F285" s="114" t="b">
        <v>0</v>
      </c>
      <c r="G285" s="114" t="b">
        <v>0</v>
      </c>
    </row>
    <row r="286" spans="1:7" ht="15">
      <c r="A286" s="114" t="s">
        <v>1353</v>
      </c>
      <c r="B286" s="114">
        <v>2</v>
      </c>
      <c r="C286" s="116">
        <v>0.0022814534063431767</v>
      </c>
      <c r="D286" s="114" t="s">
        <v>1396</v>
      </c>
      <c r="E286" s="114" t="b">
        <v>0</v>
      </c>
      <c r="F286" s="114" t="b">
        <v>0</v>
      </c>
      <c r="G286" s="114" t="b">
        <v>0</v>
      </c>
    </row>
    <row r="287" spans="1:7" ht="15">
      <c r="A287" s="114" t="s">
        <v>1354</v>
      </c>
      <c r="B287" s="114">
        <v>2</v>
      </c>
      <c r="C287" s="116">
        <v>0.0026172370044067364</v>
      </c>
      <c r="D287" s="114" t="s">
        <v>1396</v>
      </c>
      <c r="E287" s="114" t="b">
        <v>0</v>
      </c>
      <c r="F287" s="114" t="b">
        <v>0</v>
      </c>
      <c r="G287" s="114" t="b">
        <v>0</v>
      </c>
    </row>
    <row r="288" spans="1:7" ht="15">
      <c r="A288" s="114" t="s">
        <v>1355</v>
      </c>
      <c r="B288" s="114">
        <v>2</v>
      </c>
      <c r="C288" s="116">
        <v>0.0026172370044067364</v>
      </c>
      <c r="D288" s="114" t="s">
        <v>1396</v>
      </c>
      <c r="E288" s="114" t="b">
        <v>0</v>
      </c>
      <c r="F288" s="114" t="b">
        <v>0</v>
      </c>
      <c r="G288" s="114" t="b">
        <v>0</v>
      </c>
    </row>
    <row r="289" spans="1:7" ht="15">
      <c r="A289" s="114" t="s">
        <v>1356</v>
      </c>
      <c r="B289" s="114">
        <v>2</v>
      </c>
      <c r="C289" s="116">
        <v>0.0022814534063431767</v>
      </c>
      <c r="D289" s="114" t="s">
        <v>1396</v>
      </c>
      <c r="E289" s="114" t="b">
        <v>0</v>
      </c>
      <c r="F289" s="114" t="b">
        <v>0</v>
      </c>
      <c r="G289" s="114" t="b">
        <v>0</v>
      </c>
    </row>
    <row r="290" spans="1:7" ht="15">
      <c r="A290" s="114" t="s">
        <v>1357</v>
      </c>
      <c r="B290" s="114">
        <v>2</v>
      </c>
      <c r="C290" s="116">
        <v>0.0022814534063431767</v>
      </c>
      <c r="D290" s="114" t="s">
        <v>1396</v>
      </c>
      <c r="E290" s="114" t="b">
        <v>0</v>
      </c>
      <c r="F290" s="114" t="b">
        <v>0</v>
      </c>
      <c r="G290" s="114" t="b">
        <v>0</v>
      </c>
    </row>
    <row r="291" spans="1:7" ht="15">
      <c r="A291" s="114" t="s">
        <v>1358</v>
      </c>
      <c r="B291" s="114">
        <v>2</v>
      </c>
      <c r="C291" s="116">
        <v>0.0022814534063431767</v>
      </c>
      <c r="D291" s="114" t="s">
        <v>1396</v>
      </c>
      <c r="E291" s="114" t="b">
        <v>0</v>
      </c>
      <c r="F291" s="114" t="b">
        <v>0</v>
      </c>
      <c r="G291" s="114" t="b">
        <v>0</v>
      </c>
    </row>
    <row r="292" spans="1:7" ht="15">
      <c r="A292" s="114" t="s">
        <v>1359</v>
      </c>
      <c r="B292" s="114">
        <v>2</v>
      </c>
      <c r="C292" s="116">
        <v>0.0026172370044067364</v>
      </c>
      <c r="D292" s="114" t="s">
        <v>1396</v>
      </c>
      <c r="E292" s="114" t="b">
        <v>0</v>
      </c>
      <c r="F292" s="114" t="b">
        <v>0</v>
      </c>
      <c r="G292" s="114" t="b">
        <v>0</v>
      </c>
    </row>
    <row r="293" spans="1:7" ht="15">
      <c r="A293" s="114" t="s">
        <v>1360</v>
      </c>
      <c r="B293" s="114">
        <v>2</v>
      </c>
      <c r="C293" s="116">
        <v>0.0022814534063431767</v>
      </c>
      <c r="D293" s="114" t="s">
        <v>1396</v>
      </c>
      <c r="E293" s="114" t="b">
        <v>1</v>
      </c>
      <c r="F293" s="114" t="b">
        <v>0</v>
      </c>
      <c r="G293" s="114" t="b">
        <v>0</v>
      </c>
    </row>
    <row r="294" spans="1:7" ht="15">
      <c r="A294" s="114" t="s">
        <v>1361</v>
      </c>
      <c r="B294" s="114">
        <v>2</v>
      </c>
      <c r="C294" s="116">
        <v>0.0022814534063431767</v>
      </c>
      <c r="D294" s="114" t="s">
        <v>1396</v>
      </c>
      <c r="E294" s="114" t="b">
        <v>0</v>
      </c>
      <c r="F294" s="114" t="b">
        <v>0</v>
      </c>
      <c r="G294" s="114" t="b">
        <v>0</v>
      </c>
    </row>
    <row r="295" spans="1:7" ht="15">
      <c r="A295" s="114" t="s">
        <v>1362</v>
      </c>
      <c r="B295" s="114">
        <v>2</v>
      </c>
      <c r="C295" s="116">
        <v>0.0022814534063431767</v>
      </c>
      <c r="D295" s="114" t="s">
        <v>1396</v>
      </c>
      <c r="E295" s="114" t="b">
        <v>0</v>
      </c>
      <c r="F295" s="114" t="b">
        <v>0</v>
      </c>
      <c r="G295" s="114" t="b">
        <v>0</v>
      </c>
    </row>
    <row r="296" spans="1:7" ht="15">
      <c r="A296" s="114" t="s">
        <v>1363</v>
      </c>
      <c r="B296" s="114">
        <v>2</v>
      </c>
      <c r="C296" s="116">
        <v>0.0026172370044067364</v>
      </c>
      <c r="D296" s="114" t="s">
        <v>1396</v>
      </c>
      <c r="E296" s="114" t="b">
        <v>0</v>
      </c>
      <c r="F296" s="114" t="b">
        <v>0</v>
      </c>
      <c r="G296" s="114" t="b">
        <v>0</v>
      </c>
    </row>
    <row r="297" spans="1:7" ht="15">
      <c r="A297" s="114" t="s">
        <v>1364</v>
      </c>
      <c r="B297" s="114">
        <v>2</v>
      </c>
      <c r="C297" s="116">
        <v>0.0026172370044067364</v>
      </c>
      <c r="D297" s="114" t="s">
        <v>1396</v>
      </c>
      <c r="E297" s="114" t="b">
        <v>0</v>
      </c>
      <c r="F297" s="114" t="b">
        <v>0</v>
      </c>
      <c r="G297" s="114" t="b">
        <v>0</v>
      </c>
    </row>
    <row r="298" spans="1:7" ht="15">
      <c r="A298" s="114" t="s">
        <v>1365</v>
      </c>
      <c r="B298" s="114">
        <v>2</v>
      </c>
      <c r="C298" s="116">
        <v>0.0022814534063431767</v>
      </c>
      <c r="D298" s="114" t="s">
        <v>1396</v>
      </c>
      <c r="E298" s="114" t="b">
        <v>0</v>
      </c>
      <c r="F298" s="114" t="b">
        <v>0</v>
      </c>
      <c r="G298" s="114" t="b">
        <v>0</v>
      </c>
    </row>
    <row r="299" spans="1:7" ht="15">
      <c r="A299" s="114" t="s">
        <v>1366</v>
      </c>
      <c r="B299" s="114">
        <v>2</v>
      </c>
      <c r="C299" s="116">
        <v>0.0022814534063431767</v>
      </c>
      <c r="D299" s="114" t="s">
        <v>1396</v>
      </c>
      <c r="E299" s="114" t="b">
        <v>0</v>
      </c>
      <c r="F299" s="114" t="b">
        <v>0</v>
      </c>
      <c r="G299" s="114" t="b">
        <v>0</v>
      </c>
    </row>
    <row r="300" spans="1:7" ht="15">
      <c r="A300" s="114" t="s">
        <v>1367</v>
      </c>
      <c r="B300" s="114">
        <v>2</v>
      </c>
      <c r="C300" s="116">
        <v>0.0022814534063431767</v>
      </c>
      <c r="D300" s="114" t="s">
        <v>1396</v>
      </c>
      <c r="E300" s="114" t="b">
        <v>0</v>
      </c>
      <c r="F300" s="114" t="b">
        <v>0</v>
      </c>
      <c r="G300" s="114" t="b">
        <v>0</v>
      </c>
    </row>
    <row r="301" spans="1:7" ht="15">
      <c r="A301" s="114" t="s">
        <v>1368</v>
      </c>
      <c r="B301" s="114">
        <v>2</v>
      </c>
      <c r="C301" s="116">
        <v>0.0022814534063431767</v>
      </c>
      <c r="D301" s="114" t="s">
        <v>1396</v>
      </c>
      <c r="E301" s="114" t="b">
        <v>0</v>
      </c>
      <c r="F301" s="114" t="b">
        <v>0</v>
      </c>
      <c r="G301" s="114" t="b">
        <v>0</v>
      </c>
    </row>
    <row r="302" spans="1:7" ht="15">
      <c r="A302" s="114" t="s">
        <v>1369</v>
      </c>
      <c r="B302" s="114">
        <v>2</v>
      </c>
      <c r="C302" s="116">
        <v>0.0026172370044067364</v>
      </c>
      <c r="D302" s="114" t="s">
        <v>1396</v>
      </c>
      <c r="E302" s="114" t="b">
        <v>0</v>
      </c>
      <c r="F302" s="114" t="b">
        <v>0</v>
      </c>
      <c r="G302" s="114" t="b">
        <v>0</v>
      </c>
    </row>
    <row r="303" spans="1:7" ht="15">
      <c r="A303" s="114" t="s">
        <v>1370</v>
      </c>
      <c r="B303" s="114">
        <v>2</v>
      </c>
      <c r="C303" s="116">
        <v>0.0022814534063431767</v>
      </c>
      <c r="D303" s="114" t="s">
        <v>1396</v>
      </c>
      <c r="E303" s="114" t="b">
        <v>0</v>
      </c>
      <c r="F303" s="114" t="b">
        <v>0</v>
      </c>
      <c r="G303" s="114" t="b">
        <v>0</v>
      </c>
    </row>
    <row r="304" spans="1:7" ht="15">
      <c r="A304" s="114" t="s">
        <v>1371</v>
      </c>
      <c r="B304" s="114">
        <v>2</v>
      </c>
      <c r="C304" s="116">
        <v>0.0022814534063431767</v>
      </c>
      <c r="D304" s="114" t="s">
        <v>1396</v>
      </c>
      <c r="E304" s="114" t="b">
        <v>0</v>
      </c>
      <c r="F304" s="114" t="b">
        <v>0</v>
      </c>
      <c r="G304" s="114" t="b">
        <v>0</v>
      </c>
    </row>
    <row r="305" spans="1:7" ht="15">
      <c r="A305" s="114" t="s">
        <v>1372</v>
      </c>
      <c r="B305" s="114">
        <v>2</v>
      </c>
      <c r="C305" s="116">
        <v>0.0022814534063431767</v>
      </c>
      <c r="D305" s="114" t="s">
        <v>1396</v>
      </c>
      <c r="E305" s="114" t="b">
        <v>0</v>
      </c>
      <c r="F305" s="114" t="b">
        <v>0</v>
      </c>
      <c r="G305" s="114" t="b">
        <v>0</v>
      </c>
    </row>
    <row r="306" spans="1:7" ht="15">
      <c r="A306" s="114" t="s">
        <v>1373</v>
      </c>
      <c r="B306" s="114">
        <v>2</v>
      </c>
      <c r="C306" s="116">
        <v>0.0026172370044067364</v>
      </c>
      <c r="D306" s="114" t="s">
        <v>1396</v>
      </c>
      <c r="E306" s="114" t="b">
        <v>0</v>
      </c>
      <c r="F306" s="114" t="b">
        <v>0</v>
      </c>
      <c r="G306" s="114" t="b">
        <v>0</v>
      </c>
    </row>
    <row r="307" spans="1:7" ht="15">
      <c r="A307" s="114" t="s">
        <v>1374</v>
      </c>
      <c r="B307" s="114">
        <v>2</v>
      </c>
      <c r="C307" s="116">
        <v>0.0022814534063431767</v>
      </c>
      <c r="D307" s="114" t="s">
        <v>1396</v>
      </c>
      <c r="E307" s="114" t="b">
        <v>0</v>
      </c>
      <c r="F307" s="114" t="b">
        <v>0</v>
      </c>
      <c r="G307" s="114" t="b">
        <v>0</v>
      </c>
    </row>
    <row r="308" spans="1:7" ht="15">
      <c r="A308" s="114" t="s">
        <v>1375</v>
      </c>
      <c r="B308" s="114">
        <v>2</v>
      </c>
      <c r="C308" s="116">
        <v>0.0026172370044067364</v>
      </c>
      <c r="D308" s="114" t="s">
        <v>1396</v>
      </c>
      <c r="E308" s="114" t="b">
        <v>0</v>
      </c>
      <c r="F308" s="114" t="b">
        <v>0</v>
      </c>
      <c r="G308" s="114" t="b">
        <v>0</v>
      </c>
    </row>
    <row r="309" spans="1:7" ht="15">
      <c r="A309" s="114" t="s">
        <v>1376</v>
      </c>
      <c r="B309" s="114">
        <v>2</v>
      </c>
      <c r="C309" s="116">
        <v>0.0022814534063431767</v>
      </c>
      <c r="D309" s="114" t="s">
        <v>1396</v>
      </c>
      <c r="E309" s="114" t="b">
        <v>0</v>
      </c>
      <c r="F309" s="114" t="b">
        <v>1</v>
      </c>
      <c r="G309" s="114" t="b">
        <v>0</v>
      </c>
    </row>
    <row r="310" spans="1:7" ht="15">
      <c r="A310" s="114" t="s">
        <v>1377</v>
      </c>
      <c r="B310" s="114">
        <v>2</v>
      </c>
      <c r="C310" s="116">
        <v>0.0022814534063431767</v>
      </c>
      <c r="D310" s="114" t="s">
        <v>1396</v>
      </c>
      <c r="E310" s="114" t="b">
        <v>0</v>
      </c>
      <c r="F310" s="114" t="b">
        <v>0</v>
      </c>
      <c r="G310" s="114" t="b">
        <v>0</v>
      </c>
    </row>
    <row r="311" spans="1:7" ht="15">
      <c r="A311" s="114" t="s">
        <v>1378</v>
      </c>
      <c r="B311" s="114">
        <v>2</v>
      </c>
      <c r="C311" s="116">
        <v>0.0026172370044067364</v>
      </c>
      <c r="D311" s="114" t="s">
        <v>1396</v>
      </c>
      <c r="E311" s="114" t="b">
        <v>0</v>
      </c>
      <c r="F311" s="114" t="b">
        <v>0</v>
      </c>
      <c r="G311" s="114" t="b">
        <v>0</v>
      </c>
    </row>
    <row r="312" spans="1:7" ht="15">
      <c r="A312" s="114" t="s">
        <v>1379</v>
      </c>
      <c r="B312" s="114">
        <v>2</v>
      </c>
      <c r="C312" s="116">
        <v>0.0026172370044067364</v>
      </c>
      <c r="D312" s="114" t="s">
        <v>1396</v>
      </c>
      <c r="E312" s="114" t="b">
        <v>0</v>
      </c>
      <c r="F312" s="114" t="b">
        <v>0</v>
      </c>
      <c r="G312" s="114" t="b">
        <v>0</v>
      </c>
    </row>
    <row r="313" spans="1:7" ht="15">
      <c r="A313" s="114" t="s">
        <v>1380</v>
      </c>
      <c r="B313" s="114">
        <v>2</v>
      </c>
      <c r="C313" s="116">
        <v>0.0026172370044067364</v>
      </c>
      <c r="D313" s="114" t="s">
        <v>1396</v>
      </c>
      <c r="E313" s="114" t="b">
        <v>0</v>
      </c>
      <c r="F313" s="114" t="b">
        <v>0</v>
      </c>
      <c r="G313" s="114" t="b">
        <v>0</v>
      </c>
    </row>
    <row r="314" spans="1:7" ht="15">
      <c r="A314" s="114" t="s">
        <v>1023</v>
      </c>
      <c r="B314" s="114">
        <v>2</v>
      </c>
      <c r="C314" s="116">
        <v>0.0026172370044067364</v>
      </c>
      <c r="D314" s="114" t="s">
        <v>1396</v>
      </c>
      <c r="E314" s="114" t="b">
        <v>0</v>
      </c>
      <c r="F314" s="114" t="b">
        <v>0</v>
      </c>
      <c r="G314" s="114" t="b">
        <v>0</v>
      </c>
    </row>
    <row r="315" spans="1:7" ht="15">
      <c r="A315" s="114" t="s">
        <v>1381</v>
      </c>
      <c r="B315" s="114">
        <v>2</v>
      </c>
      <c r="C315" s="116">
        <v>0.0026172370044067364</v>
      </c>
      <c r="D315" s="114" t="s">
        <v>1396</v>
      </c>
      <c r="E315" s="114" t="b">
        <v>0</v>
      </c>
      <c r="F315" s="114" t="b">
        <v>0</v>
      </c>
      <c r="G315" s="114" t="b">
        <v>0</v>
      </c>
    </row>
    <row r="316" spans="1:7" ht="15">
      <c r="A316" s="114" t="s">
        <v>1382</v>
      </c>
      <c r="B316" s="114">
        <v>2</v>
      </c>
      <c r="C316" s="116">
        <v>0.0026172370044067364</v>
      </c>
      <c r="D316" s="114" t="s">
        <v>1396</v>
      </c>
      <c r="E316" s="114" t="b">
        <v>0</v>
      </c>
      <c r="F316" s="114" t="b">
        <v>0</v>
      </c>
      <c r="G316" s="114" t="b">
        <v>0</v>
      </c>
    </row>
    <row r="317" spans="1:7" ht="15">
      <c r="A317" s="114" t="s">
        <v>1383</v>
      </c>
      <c r="B317" s="114">
        <v>2</v>
      </c>
      <c r="C317" s="116">
        <v>0.0026172370044067364</v>
      </c>
      <c r="D317" s="114" t="s">
        <v>1396</v>
      </c>
      <c r="E317" s="114" t="b">
        <v>0</v>
      </c>
      <c r="F317" s="114" t="b">
        <v>0</v>
      </c>
      <c r="G317" s="114" t="b">
        <v>0</v>
      </c>
    </row>
    <row r="318" spans="1:7" ht="15">
      <c r="A318" s="114" t="s">
        <v>1384</v>
      </c>
      <c r="B318" s="114">
        <v>2</v>
      </c>
      <c r="C318" s="116">
        <v>0.0022814534063431767</v>
      </c>
      <c r="D318" s="114" t="s">
        <v>1396</v>
      </c>
      <c r="E318" s="114" t="b">
        <v>0</v>
      </c>
      <c r="F318" s="114" t="b">
        <v>0</v>
      </c>
      <c r="G318" s="114" t="b">
        <v>0</v>
      </c>
    </row>
    <row r="319" spans="1:7" ht="15">
      <c r="A319" s="114" t="s">
        <v>1385</v>
      </c>
      <c r="B319" s="114">
        <v>2</v>
      </c>
      <c r="C319" s="116">
        <v>0.0026172370044067364</v>
      </c>
      <c r="D319" s="114" t="s">
        <v>1396</v>
      </c>
      <c r="E319" s="114" t="b">
        <v>0</v>
      </c>
      <c r="F319" s="114" t="b">
        <v>0</v>
      </c>
      <c r="G319" s="114" t="b">
        <v>0</v>
      </c>
    </row>
    <row r="320" spans="1:7" ht="15">
      <c r="A320" s="114" t="s">
        <v>1386</v>
      </c>
      <c r="B320" s="114">
        <v>2</v>
      </c>
      <c r="C320" s="116">
        <v>0.0026172370044067364</v>
      </c>
      <c r="D320" s="114" t="s">
        <v>1396</v>
      </c>
      <c r="E320" s="114" t="b">
        <v>0</v>
      </c>
      <c r="F320" s="114" t="b">
        <v>0</v>
      </c>
      <c r="G320" s="114" t="b">
        <v>0</v>
      </c>
    </row>
    <row r="321" spans="1:7" ht="15">
      <c r="A321" s="114" t="s">
        <v>1387</v>
      </c>
      <c r="B321" s="114">
        <v>2</v>
      </c>
      <c r="C321" s="116">
        <v>0.0022814534063431767</v>
      </c>
      <c r="D321" s="114" t="s">
        <v>1396</v>
      </c>
      <c r="E321" s="114" t="b">
        <v>0</v>
      </c>
      <c r="F321" s="114" t="b">
        <v>0</v>
      </c>
      <c r="G321" s="114" t="b">
        <v>0</v>
      </c>
    </row>
    <row r="322" spans="1:7" ht="15">
      <c r="A322" s="114" t="s">
        <v>1388</v>
      </c>
      <c r="B322" s="114">
        <v>2</v>
      </c>
      <c r="C322" s="116">
        <v>0.0022814534063431767</v>
      </c>
      <c r="D322" s="114" t="s">
        <v>1396</v>
      </c>
      <c r="E322" s="114" t="b">
        <v>0</v>
      </c>
      <c r="F322" s="114" t="b">
        <v>0</v>
      </c>
      <c r="G322" s="114" t="b">
        <v>0</v>
      </c>
    </row>
    <row r="323" spans="1:7" ht="15">
      <c r="A323" s="114" t="s">
        <v>1389</v>
      </c>
      <c r="B323" s="114">
        <v>2</v>
      </c>
      <c r="C323" s="116">
        <v>0.0022814534063431767</v>
      </c>
      <c r="D323" s="114" t="s">
        <v>1396</v>
      </c>
      <c r="E323" s="114" t="b">
        <v>0</v>
      </c>
      <c r="F323" s="114" t="b">
        <v>0</v>
      </c>
      <c r="G323" s="114" t="b">
        <v>0</v>
      </c>
    </row>
    <row r="324" spans="1:7" ht="15">
      <c r="A324" s="114" t="s">
        <v>1390</v>
      </c>
      <c r="B324" s="114">
        <v>2</v>
      </c>
      <c r="C324" s="116">
        <v>0.0022814534063431767</v>
      </c>
      <c r="D324" s="114" t="s">
        <v>1396</v>
      </c>
      <c r="E324" s="114" t="b">
        <v>0</v>
      </c>
      <c r="F324" s="114" t="b">
        <v>0</v>
      </c>
      <c r="G324" s="114" t="b">
        <v>0</v>
      </c>
    </row>
    <row r="325" spans="1:7" ht="15">
      <c r="A325" s="114" t="s">
        <v>1078</v>
      </c>
      <c r="B325" s="114">
        <v>12</v>
      </c>
      <c r="C325" s="116">
        <v>0.02555188750526967</v>
      </c>
      <c r="D325" s="114" t="s">
        <v>1031</v>
      </c>
      <c r="E325" s="114" t="b">
        <v>0</v>
      </c>
      <c r="F325" s="114" t="b">
        <v>0</v>
      </c>
      <c r="G325" s="114" t="b">
        <v>0</v>
      </c>
    </row>
    <row r="326" spans="1:7" ht="15">
      <c r="A326" s="114" t="s">
        <v>1103</v>
      </c>
      <c r="B326" s="114">
        <v>7</v>
      </c>
      <c r="C326" s="116">
        <v>0.02493960090020668</v>
      </c>
      <c r="D326" s="114" t="s">
        <v>1031</v>
      </c>
      <c r="E326" s="114" t="b">
        <v>0</v>
      </c>
      <c r="F326" s="114" t="b">
        <v>0</v>
      </c>
      <c r="G326" s="114" t="b">
        <v>0</v>
      </c>
    </row>
    <row r="327" spans="1:7" ht="15">
      <c r="A327" s="114" t="s">
        <v>1079</v>
      </c>
      <c r="B327" s="114">
        <v>5</v>
      </c>
      <c r="C327" s="116">
        <v>0.023096113729108494</v>
      </c>
      <c r="D327" s="114" t="s">
        <v>1031</v>
      </c>
      <c r="E327" s="114" t="b">
        <v>0</v>
      </c>
      <c r="F327" s="114" t="b">
        <v>0</v>
      </c>
      <c r="G327" s="114" t="b">
        <v>0</v>
      </c>
    </row>
    <row r="328" spans="1:7" ht="15">
      <c r="A328" s="114" t="s">
        <v>1097</v>
      </c>
      <c r="B328" s="114">
        <v>4</v>
      </c>
      <c r="C328" s="116">
        <v>0.0184768909832868</v>
      </c>
      <c r="D328" s="114" t="s">
        <v>1031</v>
      </c>
      <c r="E328" s="114" t="b">
        <v>0</v>
      </c>
      <c r="F328" s="114" t="b">
        <v>0</v>
      </c>
      <c r="G328" s="114" t="b">
        <v>0</v>
      </c>
    </row>
    <row r="329" spans="1:7" ht="15">
      <c r="A329" s="114" t="s">
        <v>1159</v>
      </c>
      <c r="B329" s="114">
        <v>4</v>
      </c>
      <c r="C329" s="116">
        <v>0.02756491488270894</v>
      </c>
      <c r="D329" s="114" t="s">
        <v>1031</v>
      </c>
      <c r="E329" s="114" t="b">
        <v>0</v>
      </c>
      <c r="F329" s="114" t="b">
        <v>0</v>
      </c>
      <c r="G329" s="114" t="b">
        <v>0</v>
      </c>
    </row>
    <row r="330" spans="1:7" ht="15">
      <c r="A330" s="114" t="s">
        <v>1158</v>
      </c>
      <c r="B330" s="114">
        <v>4</v>
      </c>
      <c r="C330" s="116">
        <v>0.02756491488270894</v>
      </c>
      <c r="D330" s="114" t="s">
        <v>1031</v>
      </c>
      <c r="E330" s="114" t="b">
        <v>0</v>
      </c>
      <c r="F330" s="114" t="b">
        <v>0</v>
      </c>
      <c r="G330" s="114" t="b">
        <v>0</v>
      </c>
    </row>
    <row r="331" spans="1:7" ht="15">
      <c r="A331" s="114" t="s">
        <v>1088</v>
      </c>
      <c r="B331" s="114">
        <v>3</v>
      </c>
      <c r="C331" s="116">
        <v>0.013857668237465096</v>
      </c>
      <c r="D331" s="114" t="s">
        <v>1031</v>
      </c>
      <c r="E331" s="114" t="b">
        <v>0</v>
      </c>
      <c r="F331" s="114" t="b">
        <v>0</v>
      </c>
      <c r="G331" s="114" t="b">
        <v>0</v>
      </c>
    </row>
    <row r="332" spans="1:7" ht="15">
      <c r="A332" s="114" t="s">
        <v>1212</v>
      </c>
      <c r="B332" s="114">
        <v>3</v>
      </c>
      <c r="C332" s="116">
        <v>0.013857668237465096</v>
      </c>
      <c r="D332" s="114" t="s">
        <v>1031</v>
      </c>
      <c r="E332" s="114" t="b">
        <v>0</v>
      </c>
      <c r="F332" s="114" t="b">
        <v>0</v>
      </c>
      <c r="G332" s="114" t="b">
        <v>0</v>
      </c>
    </row>
    <row r="333" spans="1:7" ht="15">
      <c r="A333" s="114" t="s">
        <v>1213</v>
      </c>
      <c r="B333" s="114">
        <v>3</v>
      </c>
      <c r="C333" s="116">
        <v>0.016373257652546255</v>
      </c>
      <c r="D333" s="114" t="s">
        <v>1031</v>
      </c>
      <c r="E333" s="114" t="b">
        <v>1</v>
      </c>
      <c r="F333" s="114" t="b">
        <v>0</v>
      </c>
      <c r="G333" s="114" t="b">
        <v>0</v>
      </c>
    </row>
    <row r="334" spans="1:7" ht="15">
      <c r="A334" s="114" t="s">
        <v>1211</v>
      </c>
      <c r="B334" s="114">
        <v>3</v>
      </c>
      <c r="C334" s="116">
        <v>0.0206736861620317</v>
      </c>
      <c r="D334" s="114" t="s">
        <v>1031</v>
      </c>
      <c r="E334" s="114" t="b">
        <v>0</v>
      </c>
      <c r="F334" s="114" t="b">
        <v>0</v>
      </c>
      <c r="G334" s="114" t="b">
        <v>0</v>
      </c>
    </row>
    <row r="335" spans="1:7" ht="15">
      <c r="A335" s="114" t="s">
        <v>1077</v>
      </c>
      <c r="B335" s="114">
        <v>2</v>
      </c>
      <c r="C335" s="116">
        <v>0.010915505101697505</v>
      </c>
      <c r="D335" s="114" t="s">
        <v>1031</v>
      </c>
      <c r="E335" s="114" t="b">
        <v>0</v>
      </c>
      <c r="F335" s="114" t="b">
        <v>0</v>
      </c>
      <c r="G335" s="114" t="b">
        <v>0</v>
      </c>
    </row>
    <row r="336" spans="1:7" ht="15">
      <c r="A336" s="114" t="s">
        <v>1361</v>
      </c>
      <c r="B336" s="114">
        <v>2</v>
      </c>
      <c r="C336" s="116">
        <v>0.010915505101697505</v>
      </c>
      <c r="D336" s="114" t="s">
        <v>1031</v>
      </c>
      <c r="E336" s="114" t="b">
        <v>0</v>
      </c>
      <c r="F336" s="114" t="b">
        <v>0</v>
      </c>
      <c r="G336" s="114" t="b">
        <v>0</v>
      </c>
    </row>
    <row r="337" spans="1:7" ht="15">
      <c r="A337" s="114" t="s">
        <v>1362</v>
      </c>
      <c r="B337" s="114">
        <v>2</v>
      </c>
      <c r="C337" s="116">
        <v>0.010915505101697505</v>
      </c>
      <c r="D337" s="114" t="s">
        <v>1031</v>
      </c>
      <c r="E337" s="114" t="b">
        <v>0</v>
      </c>
      <c r="F337" s="114" t="b">
        <v>0</v>
      </c>
      <c r="G337" s="114" t="b">
        <v>0</v>
      </c>
    </row>
    <row r="338" spans="1:7" ht="15">
      <c r="A338" s="114" t="s">
        <v>1363</v>
      </c>
      <c r="B338" s="114">
        <v>2</v>
      </c>
      <c r="C338" s="116">
        <v>0.01378245744135447</v>
      </c>
      <c r="D338" s="114" t="s">
        <v>1031</v>
      </c>
      <c r="E338" s="114" t="b">
        <v>0</v>
      </c>
      <c r="F338" s="114" t="b">
        <v>0</v>
      </c>
      <c r="G338" s="114" t="b">
        <v>0</v>
      </c>
    </row>
    <row r="339" spans="1:7" ht="15">
      <c r="A339" s="114" t="s">
        <v>1364</v>
      </c>
      <c r="B339" s="114">
        <v>2</v>
      </c>
      <c r="C339" s="116">
        <v>0.01378245744135447</v>
      </c>
      <c r="D339" s="114" t="s">
        <v>1031</v>
      </c>
      <c r="E339" s="114" t="b">
        <v>0</v>
      </c>
      <c r="F339" s="114" t="b">
        <v>0</v>
      </c>
      <c r="G339" s="114" t="b">
        <v>0</v>
      </c>
    </row>
    <row r="340" spans="1:7" ht="15">
      <c r="A340" s="114" t="s">
        <v>1389</v>
      </c>
      <c r="B340" s="114">
        <v>2</v>
      </c>
      <c r="C340" s="116">
        <v>0.010915505101697505</v>
      </c>
      <c r="D340" s="114" t="s">
        <v>1031</v>
      </c>
      <c r="E340" s="114" t="b">
        <v>0</v>
      </c>
      <c r="F340" s="114" t="b">
        <v>0</v>
      </c>
      <c r="G340" s="114" t="b">
        <v>0</v>
      </c>
    </row>
    <row r="341" spans="1:7" ht="15">
      <c r="A341" s="114" t="s">
        <v>1100</v>
      </c>
      <c r="B341" s="114">
        <v>2</v>
      </c>
      <c r="C341" s="116">
        <v>0.010915505101697505</v>
      </c>
      <c r="D341" s="114" t="s">
        <v>1031</v>
      </c>
      <c r="E341" s="114" t="b">
        <v>0</v>
      </c>
      <c r="F341" s="114" t="b">
        <v>0</v>
      </c>
      <c r="G341" s="114" t="b">
        <v>0</v>
      </c>
    </row>
    <row r="342" spans="1:7" ht="15">
      <c r="A342" s="114" t="s">
        <v>1390</v>
      </c>
      <c r="B342" s="114">
        <v>2</v>
      </c>
      <c r="C342" s="116">
        <v>0.010915505101697505</v>
      </c>
      <c r="D342" s="114" t="s">
        <v>1031</v>
      </c>
      <c r="E342" s="114" t="b">
        <v>0</v>
      </c>
      <c r="F342" s="114" t="b">
        <v>0</v>
      </c>
      <c r="G342" s="114" t="b">
        <v>0</v>
      </c>
    </row>
    <row r="343" spans="1:7" ht="15">
      <c r="A343" s="114" t="s">
        <v>1387</v>
      </c>
      <c r="B343" s="114">
        <v>2</v>
      </c>
      <c r="C343" s="116">
        <v>0.010915505101697505</v>
      </c>
      <c r="D343" s="114" t="s">
        <v>1031</v>
      </c>
      <c r="E343" s="114" t="b">
        <v>0</v>
      </c>
      <c r="F343" s="114" t="b">
        <v>0</v>
      </c>
      <c r="G343" s="114" t="b">
        <v>0</v>
      </c>
    </row>
    <row r="344" spans="1:7" ht="15">
      <c r="A344" s="114" t="s">
        <v>1210</v>
      </c>
      <c r="B344" s="114">
        <v>2</v>
      </c>
      <c r="C344" s="116">
        <v>0.010915505101697505</v>
      </c>
      <c r="D344" s="114" t="s">
        <v>1031</v>
      </c>
      <c r="E344" s="114" t="b">
        <v>0</v>
      </c>
      <c r="F344" s="114" t="b">
        <v>0</v>
      </c>
      <c r="G344" s="114" t="b">
        <v>0</v>
      </c>
    </row>
    <row r="345" spans="1:7" ht="15">
      <c r="A345" s="114" t="s">
        <v>1388</v>
      </c>
      <c r="B345" s="114">
        <v>2</v>
      </c>
      <c r="C345" s="116">
        <v>0.010915505101697505</v>
      </c>
      <c r="D345" s="114" t="s">
        <v>1031</v>
      </c>
      <c r="E345" s="114" t="b">
        <v>0</v>
      </c>
      <c r="F345" s="114" t="b">
        <v>0</v>
      </c>
      <c r="G345" s="114" t="b">
        <v>0</v>
      </c>
    </row>
    <row r="346" spans="1:7" ht="15">
      <c r="A346" s="114" t="s">
        <v>1184</v>
      </c>
      <c r="B346" s="114">
        <v>2</v>
      </c>
      <c r="C346" s="116">
        <v>0.010915505101697505</v>
      </c>
      <c r="D346" s="114" t="s">
        <v>1031</v>
      </c>
      <c r="E346" s="114" t="b">
        <v>0</v>
      </c>
      <c r="F346" s="114" t="b">
        <v>0</v>
      </c>
      <c r="G346" s="114" t="b">
        <v>0</v>
      </c>
    </row>
    <row r="347" spans="1:7" ht="15">
      <c r="A347" s="114" t="s">
        <v>1377</v>
      </c>
      <c r="B347" s="114">
        <v>2</v>
      </c>
      <c r="C347" s="116">
        <v>0.010915505101697505</v>
      </c>
      <c r="D347" s="114" t="s">
        <v>1031</v>
      </c>
      <c r="E347" s="114" t="b">
        <v>0</v>
      </c>
      <c r="F347" s="114" t="b">
        <v>0</v>
      </c>
      <c r="G347" s="114" t="b">
        <v>0</v>
      </c>
    </row>
    <row r="348" spans="1:7" ht="15">
      <c r="A348" s="114" t="s">
        <v>1376</v>
      </c>
      <c r="B348" s="114">
        <v>2</v>
      </c>
      <c r="C348" s="116">
        <v>0.010915505101697505</v>
      </c>
      <c r="D348" s="114" t="s">
        <v>1031</v>
      </c>
      <c r="E348" s="114" t="b">
        <v>0</v>
      </c>
      <c r="F348" s="114" t="b">
        <v>1</v>
      </c>
      <c r="G348" s="114" t="b">
        <v>0</v>
      </c>
    </row>
    <row r="349" spans="1:7" ht="15">
      <c r="A349" s="114" t="s">
        <v>1384</v>
      </c>
      <c r="B349" s="114">
        <v>2</v>
      </c>
      <c r="C349" s="116">
        <v>0.010915505101697505</v>
      </c>
      <c r="D349" s="114" t="s">
        <v>1031</v>
      </c>
      <c r="E349" s="114" t="b">
        <v>0</v>
      </c>
      <c r="F349" s="114" t="b">
        <v>0</v>
      </c>
      <c r="G349" s="114" t="b">
        <v>0</v>
      </c>
    </row>
    <row r="350" spans="1:7" ht="15">
      <c r="A350" s="114" t="s">
        <v>1386</v>
      </c>
      <c r="B350" s="114">
        <v>2</v>
      </c>
      <c r="C350" s="116">
        <v>0.01378245744135447</v>
      </c>
      <c r="D350" s="114" t="s">
        <v>1031</v>
      </c>
      <c r="E350" s="114" t="b">
        <v>0</v>
      </c>
      <c r="F350" s="114" t="b">
        <v>0</v>
      </c>
      <c r="G350" s="114" t="b">
        <v>0</v>
      </c>
    </row>
    <row r="351" spans="1:7" ht="15">
      <c r="A351" s="114" t="s">
        <v>1385</v>
      </c>
      <c r="B351" s="114">
        <v>2</v>
      </c>
      <c r="C351" s="116">
        <v>0.01378245744135447</v>
      </c>
      <c r="D351" s="114" t="s">
        <v>1031</v>
      </c>
      <c r="E351" s="114" t="b">
        <v>0</v>
      </c>
      <c r="F351" s="114" t="b">
        <v>0</v>
      </c>
      <c r="G351" s="114" t="b">
        <v>0</v>
      </c>
    </row>
    <row r="352" spans="1:7" ht="15">
      <c r="A352" s="114" t="s">
        <v>1023</v>
      </c>
      <c r="B352" s="114">
        <v>2</v>
      </c>
      <c r="C352" s="116">
        <v>0.01378245744135447</v>
      </c>
      <c r="D352" s="114" t="s">
        <v>1031</v>
      </c>
      <c r="E352" s="114" t="b">
        <v>0</v>
      </c>
      <c r="F352" s="114" t="b">
        <v>0</v>
      </c>
      <c r="G352" s="114" t="b">
        <v>0</v>
      </c>
    </row>
    <row r="353" spans="1:7" ht="15">
      <c r="A353" s="114" t="s">
        <v>1381</v>
      </c>
      <c r="B353" s="114">
        <v>2</v>
      </c>
      <c r="C353" s="116">
        <v>0.01378245744135447</v>
      </c>
      <c r="D353" s="114" t="s">
        <v>1031</v>
      </c>
      <c r="E353" s="114" t="b">
        <v>0</v>
      </c>
      <c r="F353" s="114" t="b">
        <v>0</v>
      </c>
      <c r="G353" s="114" t="b">
        <v>0</v>
      </c>
    </row>
    <row r="354" spans="1:7" ht="15">
      <c r="A354" s="114" t="s">
        <v>1095</v>
      </c>
      <c r="B354" s="114">
        <v>2</v>
      </c>
      <c r="C354" s="116">
        <v>0.01378245744135447</v>
      </c>
      <c r="D354" s="114" t="s">
        <v>1031</v>
      </c>
      <c r="E354" s="114" t="b">
        <v>0</v>
      </c>
      <c r="F354" s="114" t="b">
        <v>0</v>
      </c>
      <c r="G354" s="114" t="b">
        <v>0</v>
      </c>
    </row>
    <row r="355" spans="1:7" ht="15">
      <c r="A355" s="114" t="s">
        <v>1382</v>
      </c>
      <c r="B355" s="114">
        <v>2</v>
      </c>
      <c r="C355" s="116">
        <v>0.01378245744135447</v>
      </c>
      <c r="D355" s="114" t="s">
        <v>1031</v>
      </c>
      <c r="E355" s="114" t="b">
        <v>0</v>
      </c>
      <c r="F355" s="114" t="b">
        <v>0</v>
      </c>
      <c r="G355" s="114" t="b">
        <v>0</v>
      </c>
    </row>
    <row r="356" spans="1:7" ht="15">
      <c r="A356" s="114" t="s">
        <v>1153</v>
      </c>
      <c r="B356" s="114">
        <v>2</v>
      </c>
      <c r="C356" s="116">
        <v>0.01378245744135447</v>
      </c>
      <c r="D356" s="114" t="s">
        <v>1031</v>
      </c>
      <c r="E356" s="114" t="b">
        <v>0</v>
      </c>
      <c r="F356" s="114" t="b">
        <v>0</v>
      </c>
      <c r="G356" s="114" t="b">
        <v>0</v>
      </c>
    </row>
    <row r="357" spans="1:7" ht="15">
      <c r="A357" s="114" t="s">
        <v>1383</v>
      </c>
      <c r="B357" s="114">
        <v>2</v>
      </c>
      <c r="C357" s="116">
        <v>0.01378245744135447</v>
      </c>
      <c r="D357" s="114" t="s">
        <v>1031</v>
      </c>
      <c r="E357" s="114" t="b">
        <v>0</v>
      </c>
      <c r="F357" s="114" t="b">
        <v>0</v>
      </c>
      <c r="G357" s="114" t="b">
        <v>0</v>
      </c>
    </row>
    <row r="358" spans="1:7" ht="15">
      <c r="A358" s="114" t="s">
        <v>1137</v>
      </c>
      <c r="B358" s="114">
        <v>2</v>
      </c>
      <c r="C358" s="116">
        <v>0.01378245744135447</v>
      </c>
      <c r="D358" s="114" t="s">
        <v>1031</v>
      </c>
      <c r="E358" s="114" t="b">
        <v>0</v>
      </c>
      <c r="F358" s="114" t="b">
        <v>0</v>
      </c>
      <c r="G358" s="114" t="b">
        <v>0</v>
      </c>
    </row>
    <row r="359" spans="1:7" ht="15">
      <c r="A359" s="114" t="s">
        <v>1375</v>
      </c>
      <c r="B359" s="114">
        <v>2</v>
      </c>
      <c r="C359" s="116">
        <v>0.01378245744135447</v>
      </c>
      <c r="D359" s="114" t="s">
        <v>1031</v>
      </c>
      <c r="E359" s="114" t="b">
        <v>0</v>
      </c>
      <c r="F359" s="114" t="b">
        <v>0</v>
      </c>
      <c r="G359" s="114" t="b">
        <v>0</v>
      </c>
    </row>
    <row r="360" spans="1:7" ht="15">
      <c r="A360" s="114" t="s">
        <v>1374</v>
      </c>
      <c r="B360" s="114">
        <v>2</v>
      </c>
      <c r="C360" s="116">
        <v>0.010915505101697505</v>
      </c>
      <c r="D360" s="114" t="s">
        <v>1031</v>
      </c>
      <c r="E360" s="114" t="b">
        <v>0</v>
      </c>
      <c r="F360" s="114" t="b">
        <v>0</v>
      </c>
      <c r="G360" s="114" t="b">
        <v>0</v>
      </c>
    </row>
    <row r="361" spans="1:7" ht="15">
      <c r="A361" s="114" t="s">
        <v>1378</v>
      </c>
      <c r="B361" s="114">
        <v>2</v>
      </c>
      <c r="C361" s="116">
        <v>0.01378245744135447</v>
      </c>
      <c r="D361" s="114" t="s">
        <v>1031</v>
      </c>
      <c r="E361" s="114" t="b">
        <v>0</v>
      </c>
      <c r="F361" s="114" t="b">
        <v>0</v>
      </c>
      <c r="G361" s="114" t="b">
        <v>0</v>
      </c>
    </row>
    <row r="362" spans="1:7" ht="15">
      <c r="A362" s="114" t="s">
        <v>1379</v>
      </c>
      <c r="B362" s="114">
        <v>2</v>
      </c>
      <c r="C362" s="116">
        <v>0.01378245744135447</v>
      </c>
      <c r="D362" s="114" t="s">
        <v>1031</v>
      </c>
      <c r="E362" s="114" t="b">
        <v>0</v>
      </c>
      <c r="F362" s="114" t="b">
        <v>0</v>
      </c>
      <c r="G362" s="114" t="b">
        <v>0</v>
      </c>
    </row>
    <row r="363" spans="1:7" ht="15">
      <c r="A363" s="114" t="s">
        <v>1380</v>
      </c>
      <c r="B363" s="114">
        <v>2</v>
      </c>
      <c r="C363" s="116">
        <v>0.01378245744135447</v>
      </c>
      <c r="D363" s="114" t="s">
        <v>1031</v>
      </c>
      <c r="E363" s="114" t="b">
        <v>0</v>
      </c>
      <c r="F363" s="114" t="b">
        <v>0</v>
      </c>
      <c r="G363" s="114" t="b">
        <v>0</v>
      </c>
    </row>
    <row r="364" spans="1:7" ht="15">
      <c r="A364" s="114" t="s">
        <v>1077</v>
      </c>
      <c r="B364" s="114">
        <v>33</v>
      </c>
      <c r="C364" s="116">
        <v>0.04146334340769852</v>
      </c>
      <c r="D364" s="114" t="s">
        <v>1032</v>
      </c>
      <c r="E364" s="114" t="b">
        <v>0</v>
      </c>
      <c r="F364" s="114" t="b">
        <v>0</v>
      </c>
      <c r="G364" s="114" t="b">
        <v>0</v>
      </c>
    </row>
    <row r="365" spans="1:7" ht="15">
      <c r="A365" s="114" t="s">
        <v>1090</v>
      </c>
      <c r="B365" s="114">
        <v>10</v>
      </c>
      <c r="C365" s="116">
        <v>0.024265065401582825</v>
      </c>
      <c r="D365" s="114" t="s">
        <v>1032</v>
      </c>
      <c r="E365" s="114" t="b">
        <v>0</v>
      </c>
      <c r="F365" s="114" t="b">
        <v>0</v>
      </c>
      <c r="G365" s="114" t="b">
        <v>0</v>
      </c>
    </row>
    <row r="366" spans="1:7" ht="15">
      <c r="A366" s="114" t="s">
        <v>1078</v>
      </c>
      <c r="B366" s="114">
        <v>8</v>
      </c>
      <c r="C366" s="116">
        <v>0.02095336652665328</v>
      </c>
      <c r="D366" s="114" t="s">
        <v>1032</v>
      </c>
      <c r="E366" s="114" t="b">
        <v>0</v>
      </c>
      <c r="F366" s="114" t="b">
        <v>0</v>
      </c>
      <c r="G366" s="114" t="b">
        <v>0</v>
      </c>
    </row>
    <row r="367" spans="1:7" ht="15">
      <c r="A367" s="114" t="s">
        <v>1080</v>
      </c>
      <c r="B367" s="114">
        <v>7</v>
      </c>
      <c r="C367" s="116">
        <v>0.021732522121943435</v>
      </c>
      <c r="D367" s="114" t="s">
        <v>1032</v>
      </c>
      <c r="E367" s="114" t="b">
        <v>0</v>
      </c>
      <c r="F367" s="114" t="b">
        <v>0</v>
      </c>
      <c r="G367" s="114" t="b">
        <v>0</v>
      </c>
    </row>
    <row r="368" spans="1:7" ht="15">
      <c r="A368" s="114" t="s">
        <v>1086</v>
      </c>
      <c r="B368" s="114">
        <v>7</v>
      </c>
      <c r="C368" s="116">
        <v>0.019891097795254487</v>
      </c>
      <c r="D368" s="114" t="s">
        <v>1032</v>
      </c>
      <c r="E368" s="114" t="b">
        <v>1</v>
      </c>
      <c r="F368" s="114" t="b">
        <v>0</v>
      </c>
      <c r="G368" s="114" t="b">
        <v>0</v>
      </c>
    </row>
    <row r="369" spans="1:7" ht="15">
      <c r="A369" s="114" t="s">
        <v>1082</v>
      </c>
      <c r="B369" s="114">
        <v>7</v>
      </c>
      <c r="C369" s="116">
        <v>0.01833419571082162</v>
      </c>
      <c r="D369" s="114" t="s">
        <v>1032</v>
      </c>
      <c r="E369" s="114" t="b">
        <v>0</v>
      </c>
      <c r="F369" s="114" t="b">
        <v>0</v>
      </c>
      <c r="G369" s="114" t="b">
        <v>0</v>
      </c>
    </row>
    <row r="370" spans="1:7" ht="15">
      <c r="A370" s="114" t="s">
        <v>1096</v>
      </c>
      <c r="B370" s="114">
        <v>6</v>
      </c>
      <c r="C370" s="116">
        <v>0.023050110316144665</v>
      </c>
      <c r="D370" s="114" t="s">
        <v>1032</v>
      </c>
      <c r="E370" s="114" t="b">
        <v>0</v>
      </c>
      <c r="F370" s="114" t="b">
        <v>0</v>
      </c>
      <c r="G370" s="114" t="b">
        <v>0</v>
      </c>
    </row>
    <row r="371" spans="1:7" ht="15">
      <c r="A371" s="114" t="s">
        <v>1109</v>
      </c>
      <c r="B371" s="114">
        <v>6</v>
      </c>
      <c r="C371" s="116">
        <v>0.02055963716116194</v>
      </c>
      <c r="D371" s="114" t="s">
        <v>1032</v>
      </c>
      <c r="E371" s="114" t="b">
        <v>0</v>
      </c>
      <c r="F371" s="114" t="b">
        <v>0</v>
      </c>
      <c r="G371" s="114" t="b">
        <v>0</v>
      </c>
    </row>
    <row r="372" spans="1:7" ht="15">
      <c r="A372" s="114" t="s">
        <v>1120</v>
      </c>
      <c r="B372" s="114">
        <v>5</v>
      </c>
      <c r="C372" s="116">
        <v>0.015523230087102454</v>
      </c>
      <c r="D372" s="114" t="s">
        <v>1032</v>
      </c>
      <c r="E372" s="114" t="b">
        <v>0</v>
      </c>
      <c r="F372" s="114" t="b">
        <v>0</v>
      </c>
      <c r="G372" s="114" t="b">
        <v>0</v>
      </c>
    </row>
    <row r="373" spans="1:7" ht="15">
      <c r="A373" s="114" t="s">
        <v>1121</v>
      </c>
      <c r="B373" s="114">
        <v>5</v>
      </c>
      <c r="C373" s="116">
        <v>0.017133030967634955</v>
      </c>
      <c r="D373" s="114" t="s">
        <v>1032</v>
      </c>
      <c r="E373" s="114" t="b">
        <v>0</v>
      </c>
      <c r="F373" s="114" t="b">
        <v>0</v>
      </c>
      <c r="G373" s="114" t="b">
        <v>0</v>
      </c>
    </row>
    <row r="374" spans="1:7" ht="15">
      <c r="A374" s="114" t="s">
        <v>1079</v>
      </c>
      <c r="B374" s="114">
        <v>5</v>
      </c>
      <c r="C374" s="116">
        <v>0.01920842526345389</v>
      </c>
      <c r="D374" s="114" t="s">
        <v>1032</v>
      </c>
      <c r="E374" s="114" t="b">
        <v>0</v>
      </c>
      <c r="F374" s="114" t="b">
        <v>0</v>
      </c>
      <c r="G374" s="114" t="b">
        <v>0</v>
      </c>
    </row>
    <row r="375" spans="1:7" ht="15">
      <c r="A375" s="114" t="s">
        <v>1122</v>
      </c>
      <c r="B375" s="114">
        <v>5</v>
      </c>
      <c r="C375" s="116">
        <v>0.017133030967634955</v>
      </c>
      <c r="D375" s="114" t="s">
        <v>1032</v>
      </c>
      <c r="E375" s="114" t="b">
        <v>0</v>
      </c>
      <c r="F375" s="114" t="b">
        <v>0</v>
      </c>
      <c r="G375" s="114" t="b">
        <v>0</v>
      </c>
    </row>
    <row r="376" spans="1:7" ht="15">
      <c r="A376" s="114" t="s">
        <v>1091</v>
      </c>
      <c r="B376" s="114">
        <v>5</v>
      </c>
      <c r="C376" s="116">
        <v>0.015523230087102454</v>
      </c>
      <c r="D376" s="114" t="s">
        <v>1032</v>
      </c>
      <c r="E376" s="114" t="b">
        <v>0</v>
      </c>
      <c r="F376" s="114" t="b">
        <v>0</v>
      </c>
      <c r="G376" s="114" t="b">
        <v>0</v>
      </c>
    </row>
    <row r="377" spans="1:7" ht="15">
      <c r="A377" s="114" t="s">
        <v>1113</v>
      </c>
      <c r="B377" s="114">
        <v>4</v>
      </c>
      <c r="C377" s="116">
        <v>0.017706823387582796</v>
      </c>
      <c r="D377" s="114" t="s">
        <v>1032</v>
      </c>
      <c r="E377" s="114" t="b">
        <v>0</v>
      </c>
      <c r="F377" s="114" t="b">
        <v>0</v>
      </c>
      <c r="G377" s="114" t="b">
        <v>0</v>
      </c>
    </row>
    <row r="378" spans="1:7" ht="15">
      <c r="A378" s="114" t="s">
        <v>1088</v>
      </c>
      <c r="B378" s="114">
        <v>4</v>
      </c>
      <c r="C378" s="116">
        <v>0.013706424774107962</v>
      </c>
      <c r="D378" s="114" t="s">
        <v>1032</v>
      </c>
      <c r="E378" s="114" t="b">
        <v>0</v>
      </c>
      <c r="F378" s="114" t="b">
        <v>0</v>
      </c>
      <c r="G378" s="114" t="b">
        <v>0</v>
      </c>
    </row>
    <row r="379" spans="1:7" ht="15">
      <c r="A379" s="114" t="s">
        <v>1107</v>
      </c>
      <c r="B379" s="114">
        <v>4</v>
      </c>
      <c r="C379" s="116">
        <v>0.01536674021076311</v>
      </c>
      <c r="D379" s="114" t="s">
        <v>1032</v>
      </c>
      <c r="E379" s="114" t="b">
        <v>0</v>
      </c>
      <c r="F379" s="114" t="b">
        <v>0</v>
      </c>
      <c r="G379" s="114" t="b">
        <v>0</v>
      </c>
    </row>
    <row r="380" spans="1:7" ht="15">
      <c r="A380" s="114" t="s">
        <v>1145</v>
      </c>
      <c r="B380" s="114">
        <v>4</v>
      </c>
      <c r="C380" s="116">
        <v>0.017706823387582796</v>
      </c>
      <c r="D380" s="114" t="s">
        <v>1032</v>
      </c>
      <c r="E380" s="114" t="b">
        <v>0</v>
      </c>
      <c r="F380" s="114" t="b">
        <v>0</v>
      </c>
      <c r="G380" s="114" t="b">
        <v>0</v>
      </c>
    </row>
    <row r="381" spans="1:7" ht="15">
      <c r="A381" s="114" t="s">
        <v>1146</v>
      </c>
      <c r="B381" s="114">
        <v>4</v>
      </c>
      <c r="C381" s="116">
        <v>0.017706823387582796</v>
      </c>
      <c r="D381" s="114" t="s">
        <v>1032</v>
      </c>
      <c r="E381" s="114" t="b">
        <v>0</v>
      </c>
      <c r="F381" s="114" t="b">
        <v>0</v>
      </c>
      <c r="G381" s="114" t="b">
        <v>0</v>
      </c>
    </row>
    <row r="382" spans="1:7" ht="15">
      <c r="A382" s="114" t="s">
        <v>1147</v>
      </c>
      <c r="B382" s="114">
        <v>4</v>
      </c>
      <c r="C382" s="116">
        <v>0.017706823387582796</v>
      </c>
      <c r="D382" s="114" t="s">
        <v>1032</v>
      </c>
      <c r="E382" s="114" t="b">
        <v>0</v>
      </c>
      <c r="F382" s="114" t="b">
        <v>0</v>
      </c>
      <c r="G382" s="114" t="b">
        <v>0</v>
      </c>
    </row>
    <row r="383" spans="1:7" ht="15">
      <c r="A383" s="114" t="s">
        <v>1123</v>
      </c>
      <c r="B383" s="114">
        <v>4</v>
      </c>
      <c r="C383" s="116">
        <v>0.013706424774107962</v>
      </c>
      <c r="D383" s="114" t="s">
        <v>1032</v>
      </c>
      <c r="E383" s="114" t="b">
        <v>0</v>
      </c>
      <c r="F383" s="114" t="b">
        <v>0</v>
      </c>
      <c r="G383" s="114" t="b">
        <v>0</v>
      </c>
    </row>
    <row r="384" spans="1:7" ht="15">
      <c r="A384" s="114" t="s">
        <v>1151</v>
      </c>
      <c r="B384" s="114">
        <v>4</v>
      </c>
      <c r="C384" s="116">
        <v>0.01536674021076311</v>
      </c>
      <c r="D384" s="114" t="s">
        <v>1032</v>
      </c>
      <c r="E384" s="114" t="b">
        <v>0</v>
      </c>
      <c r="F384" s="114" t="b">
        <v>0</v>
      </c>
      <c r="G384" s="114" t="b">
        <v>0</v>
      </c>
    </row>
    <row r="385" spans="1:7" ht="15">
      <c r="A385" s="114" t="s">
        <v>1160</v>
      </c>
      <c r="B385" s="114">
        <v>3</v>
      </c>
      <c r="C385" s="116">
        <v>0.013280117540687097</v>
      </c>
      <c r="D385" s="114" t="s">
        <v>1032</v>
      </c>
      <c r="E385" s="114" t="b">
        <v>0</v>
      </c>
      <c r="F385" s="114" t="b">
        <v>0</v>
      </c>
      <c r="G385" s="114" t="b">
        <v>0</v>
      </c>
    </row>
    <row r="386" spans="1:7" ht="15">
      <c r="A386" s="114" t="s">
        <v>1161</v>
      </c>
      <c r="B386" s="114">
        <v>3</v>
      </c>
      <c r="C386" s="116">
        <v>0.013280117540687097</v>
      </c>
      <c r="D386" s="114" t="s">
        <v>1032</v>
      </c>
      <c r="E386" s="114" t="b">
        <v>0</v>
      </c>
      <c r="F386" s="114" t="b">
        <v>0</v>
      </c>
      <c r="G386" s="114" t="b">
        <v>0</v>
      </c>
    </row>
    <row r="387" spans="1:7" ht="15">
      <c r="A387" s="114" t="s">
        <v>1195</v>
      </c>
      <c r="B387" s="114">
        <v>3</v>
      </c>
      <c r="C387" s="116">
        <v>0.011525055158072332</v>
      </c>
      <c r="D387" s="114" t="s">
        <v>1032</v>
      </c>
      <c r="E387" s="114" t="b">
        <v>0</v>
      </c>
      <c r="F387" s="114" t="b">
        <v>0</v>
      </c>
      <c r="G387" s="114" t="b">
        <v>0</v>
      </c>
    </row>
    <row r="388" spans="1:7" ht="15">
      <c r="A388" s="114" t="s">
        <v>1196</v>
      </c>
      <c r="B388" s="114">
        <v>3</v>
      </c>
      <c r="C388" s="116">
        <v>0.013280117540687097</v>
      </c>
      <c r="D388" s="114" t="s">
        <v>1032</v>
      </c>
      <c r="E388" s="114" t="b">
        <v>0</v>
      </c>
      <c r="F388" s="114" t="b">
        <v>0</v>
      </c>
      <c r="G388" s="114" t="b">
        <v>0</v>
      </c>
    </row>
    <row r="389" spans="1:7" ht="15">
      <c r="A389" s="114" t="s">
        <v>1197</v>
      </c>
      <c r="B389" s="114">
        <v>3</v>
      </c>
      <c r="C389" s="116">
        <v>0.011525055158072332</v>
      </c>
      <c r="D389" s="114" t="s">
        <v>1032</v>
      </c>
      <c r="E389" s="114" t="b">
        <v>0</v>
      </c>
      <c r="F389" s="114" t="b">
        <v>0</v>
      </c>
      <c r="G389" s="114" t="b">
        <v>0</v>
      </c>
    </row>
    <row r="390" spans="1:7" ht="15">
      <c r="A390" s="114" t="s">
        <v>1214</v>
      </c>
      <c r="B390" s="114">
        <v>2</v>
      </c>
      <c r="C390" s="116">
        <v>0.010853611000528814</v>
      </c>
      <c r="D390" s="114" t="s">
        <v>1032</v>
      </c>
      <c r="E390" s="114" t="b">
        <v>0</v>
      </c>
      <c r="F390" s="114" t="b">
        <v>0</v>
      </c>
      <c r="G390" s="114" t="b">
        <v>0</v>
      </c>
    </row>
    <row r="391" spans="1:7" ht="15">
      <c r="A391" s="114" t="s">
        <v>1216</v>
      </c>
      <c r="B391" s="114">
        <v>2</v>
      </c>
      <c r="C391" s="116">
        <v>0.010853611000528814</v>
      </c>
      <c r="D391" s="114" t="s">
        <v>1032</v>
      </c>
      <c r="E391" s="114" t="b">
        <v>0</v>
      </c>
      <c r="F391" s="114" t="b">
        <v>0</v>
      </c>
      <c r="G391" s="114" t="b">
        <v>0</v>
      </c>
    </row>
    <row r="392" spans="1:7" ht="15">
      <c r="A392" s="114" t="s">
        <v>1180</v>
      </c>
      <c r="B392" s="114">
        <v>2</v>
      </c>
      <c r="C392" s="116">
        <v>0.008853411693791398</v>
      </c>
      <c r="D392" s="114" t="s">
        <v>1032</v>
      </c>
      <c r="E392" s="114" t="b">
        <v>0</v>
      </c>
      <c r="F392" s="114" t="b">
        <v>0</v>
      </c>
      <c r="G392" s="114" t="b">
        <v>0</v>
      </c>
    </row>
    <row r="393" spans="1:7" ht="15">
      <c r="A393" s="114" t="s">
        <v>1137</v>
      </c>
      <c r="B393" s="114">
        <v>2</v>
      </c>
      <c r="C393" s="116">
        <v>0.010853611000528814</v>
      </c>
      <c r="D393" s="114" t="s">
        <v>1032</v>
      </c>
      <c r="E393" s="114" t="b">
        <v>0</v>
      </c>
      <c r="F393" s="114" t="b">
        <v>0</v>
      </c>
      <c r="G393" s="114" t="b">
        <v>0</v>
      </c>
    </row>
    <row r="394" spans="1:7" ht="15">
      <c r="A394" s="114" t="s">
        <v>1095</v>
      </c>
      <c r="B394" s="114">
        <v>2</v>
      </c>
      <c r="C394" s="116">
        <v>0.008853411693791398</v>
      </c>
      <c r="D394" s="114" t="s">
        <v>1032</v>
      </c>
      <c r="E394" s="114" t="b">
        <v>0</v>
      </c>
      <c r="F394" s="114" t="b">
        <v>0</v>
      </c>
      <c r="G394" s="114" t="b">
        <v>0</v>
      </c>
    </row>
    <row r="395" spans="1:7" ht="15">
      <c r="A395" s="114" t="s">
        <v>1276</v>
      </c>
      <c r="B395" s="114">
        <v>2</v>
      </c>
      <c r="C395" s="116">
        <v>0.008853411693791398</v>
      </c>
      <c r="D395" s="114" t="s">
        <v>1032</v>
      </c>
      <c r="E395" s="114" t="b">
        <v>0</v>
      </c>
      <c r="F395" s="114" t="b">
        <v>0</v>
      </c>
      <c r="G395" s="114" t="b">
        <v>0</v>
      </c>
    </row>
    <row r="396" spans="1:7" ht="15">
      <c r="A396" s="114" t="s">
        <v>1272</v>
      </c>
      <c r="B396" s="114">
        <v>2</v>
      </c>
      <c r="C396" s="116">
        <v>0.010853611000528814</v>
      </c>
      <c r="D396" s="114" t="s">
        <v>1032</v>
      </c>
      <c r="E396" s="114" t="b">
        <v>0</v>
      </c>
      <c r="F396" s="114" t="b">
        <v>0</v>
      </c>
      <c r="G396" s="114" t="b">
        <v>0</v>
      </c>
    </row>
    <row r="397" spans="1:7" ht="15">
      <c r="A397" s="114" t="s">
        <v>1217</v>
      </c>
      <c r="B397" s="114">
        <v>2</v>
      </c>
      <c r="C397" s="116">
        <v>0.008853411693791398</v>
      </c>
      <c r="D397" s="114" t="s">
        <v>1032</v>
      </c>
      <c r="E397" s="114" t="b">
        <v>0</v>
      </c>
      <c r="F397" s="114" t="b">
        <v>0</v>
      </c>
      <c r="G397" s="114" t="b">
        <v>0</v>
      </c>
    </row>
    <row r="398" spans="1:7" ht="15">
      <c r="A398" s="114" t="s">
        <v>1181</v>
      </c>
      <c r="B398" s="114">
        <v>2</v>
      </c>
      <c r="C398" s="116">
        <v>0.008853411693791398</v>
      </c>
      <c r="D398" s="114" t="s">
        <v>1032</v>
      </c>
      <c r="E398" s="114" t="b">
        <v>0</v>
      </c>
      <c r="F398" s="114" t="b">
        <v>0</v>
      </c>
      <c r="G398" s="114" t="b">
        <v>0</v>
      </c>
    </row>
    <row r="399" spans="1:7" ht="15">
      <c r="A399" s="114" t="s">
        <v>1182</v>
      </c>
      <c r="B399" s="114">
        <v>2</v>
      </c>
      <c r="C399" s="116">
        <v>0.008853411693791398</v>
      </c>
      <c r="D399" s="114" t="s">
        <v>1032</v>
      </c>
      <c r="E399" s="114" t="b">
        <v>0</v>
      </c>
      <c r="F399" s="114" t="b">
        <v>0</v>
      </c>
      <c r="G399" s="114" t="b">
        <v>0</v>
      </c>
    </row>
    <row r="400" spans="1:7" ht="15">
      <c r="A400" s="114" t="s">
        <v>1183</v>
      </c>
      <c r="B400" s="114">
        <v>2</v>
      </c>
      <c r="C400" s="116">
        <v>0.008853411693791398</v>
      </c>
      <c r="D400" s="114" t="s">
        <v>1032</v>
      </c>
      <c r="E400" s="114" t="b">
        <v>0</v>
      </c>
      <c r="F400" s="114" t="b">
        <v>0</v>
      </c>
      <c r="G400" s="114" t="b">
        <v>0</v>
      </c>
    </row>
    <row r="401" spans="1:7" ht="15">
      <c r="A401" s="114" t="s">
        <v>1274</v>
      </c>
      <c r="B401" s="114">
        <v>2</v>
      </c>
      <c r="C401" s="116">
        <v>0.008853411693791398</v>
      </c>
      <c r="D401" s="114" t="s">
        <v>1032</v>
      </c>
      <c r="E401" s="114" t="b">
        <v>0</v>
      </c>
      <c r="F401" s="114" t="b">
        <v>0</v>
      </c>
      <c r="G401" s="114" t="b">
        <v>0</v>
      </c>
    </row>
    <row r="402" spans="1:7" ht="15">
      <c r="A402" s="114" t="s">
        <v>1110</v>
      </c>
      <c r="B402" s="114">
        <v>2</v>
      </c>
      <c r="C402" s="116">
        <v>0.008853411693791398</v>
      </c>
      <c r="D402" s="114" t="s">
        <v>1032</v>
      </c>
      <c r="E402" s="114" t="b">
        <v>0</v>
      </c>
      <c r="F402" s="114" t="b">
        <v>0</v>
      </c>
      <c r="G402" s="114" t="b">
        <v>0</v>
      </c>
    </row>
    <row r="403" spans="1:7" ht="15">
      <c r="A403" s="114" t="s">
        <v>1290</v>
      </c>
      <c r="B403" s="114">
        <v>2</v>
      </c>
      <c r="C403" s="116">
        <v>0.010853611000528814</v>
      </c>
      <c r="D403" s="114" t="s">
        <v>1032</v>
      </c>
      <c r="E403" s="114" t="b">
        <v>0</v>
      </c>
      <c r="F403" s="114" t="b">
        <v>0</v>
      </c>
      <c r="G403" s="114" t="b">
        <v>0</v>
      </c>
    </row>
    <row r="404" spans="1:7" ht="15">
      <c r="A404" s="114" t="s">
        <v>1289</v>
      </c>
      <c r="B404" s="114">
        <v>2</v>
      </c>
      <c r="C404" s="116">
        <v>0.008853411693791398</v>
      </c>
      <c r="D404" s="114" t="s">
        <v>1032</v>
      </c>
      <c r="E404" s="114" t="b">
        <v>0</v>
      </c>
      <c r="F404" s="114" t="b">
        <v>0</v>
      </c>
      <c r="G404" s="114" t="b">
        <v>0</v>
      </c>
    </row>
    <row r="405" spans="1:7" ht="15">
      <c r="A405" s="114" t="s">
        <v>1322</v>
      </c>
      <c r="B405" s="114">
        <v>2</v>
      </c>
      <c r="C405" s="116">
        <v>0.008853411693791398</v>
      </c>
      <c r="D405" s="114" t="s">
        <v>1032</v>
      </c>
      <c r="E405" s="114" t="b">
        <v>0</v>
      </c>
      <c r="F405" s="114" t="b">
        <v>0</v>
      </c>
      <c r="G405" s="114" t="b">
        <v>0</v>
      </c>
    </row>
    <row r="406" spans="1:7" ht="15">
      <c r="A406" s="114" t="s">
        <v>1291</v>
      </c>
      <c r="B406" s="114">
        <v>2</v>
      </c>
      <c r="C406" s="116">
        <v>0.008853411693791398</v>
      </c>
      <c r="D406" s="114" t="s">
        <v>1032</v>
      </c>
      <c r="E406" s="114" t="b">
        <v>0</v>
      </c>
      <c r="F406" s="114" t="b">
        <v>0</v>
      </c>
      <c r="G406" s="114" t="b">
        <v>0</v>
      </c>
    </row>
    <row r="407" spans="1:7" ht="15">
      <c r="A407" s="114" t="s">
        <v>1324</v>
      </c>
      <c r="B407" s="114">
        <v>2</v>
      </c>
      <c r="C407" s="116">
        <v>0.008853411693791398</v>
      </c>
      <c r="D407" s="114" t="s">
        <v>1032</v>
      </c>
      <c r="E407" s="114" t="b">
        <v>0</v>
      </c>
      <c r="F407" s="114" t="b">
        <v>0</v>
      </c>
      <c r="G407" s="114" t="b">
        <v>0</v>
      </c>
    </row>
    <row r="408" spans="1:7" ht="15">
      <c r="A408" s="114" t="s">
        <v>1077</v>
      </c>
      <c r="B408" s="114">
        <v>9</v>
      </c>
      <c r="C408" s="116">
        <v>0.027139890226277455</v>
      </c>
      <c r="D408" s="114" t="s">
        <v>1033</v>
      </c>
      <c r="E408" s="114" t="b">
        <v>0</v>
      </c>
      <c r="F408" s="114" t="b">
        <v>0</v>
      </c>
      <c r="G408" s="114" t="b">
        <v>0</v>
      </c>
    </row>
    <row r="409" spans="1:7" ht="15">
      <c r="A409" s="114" t="s">
        <v>1089</v>
      </c>
      <c r="B409" s="114">
        <v>9</v>
      </c>
      <c r="C409" s="116">
        <v>0.03568163131171757</v>
      </c>
      <c r="D409" s="114" t="s">
        <v>1033</v>
      </c>
      <c r="E409" s="114" t="b">
        <v>0</v>
      </c>
      <c r="F409" s="114" t="b">
        <v>0</v>
      </c>
      <c r="G409" s="114" t="b">
        <v>0</v>
      </c>
    </row>
    <row r="410" spans="1:7" ht="15">
      <c r="A410" s="114" t="s">
        <v>1139</v>
      </c>
      <c r="B410" s="114">
        <v>3</v>
      </c>
      <c r="C410" s="116">
        <v>0.021493271502895272</v>
      </c>
      <c r="D410" s="114" t="s">
        <v>1033</v>
      </c>
      <c r="E410" s="114" t="b">
        <v>0</v>
      </c>
      <c r="F410" s="114" t="b">
        <v>0</v>
      </c>
      <c r="G410" s="114" t="b">
        <v>0</v>
      </c>
    </row>
    <row r="411" spans="1:7" ht="15">
      <c r="A411" s="114" t="s">
        <v>1187</v>
      </c>
      <c r="B411" s="114">
        <v>3</v>
      </c>
      <c r="C411" s="116">
        <v>0.02608695652173913</v>
      </c>
      <c r="D411" s="114" t="s">
        <v>1033</v>
      </c>
      <c r="E411" s="114" t="b">
        <v>0</v>
      </c>
      <c r="F411" s="114" t="b">
        <v>0</v>
      </c>
      <c r="G411" s="114" t="b">
        <v>0</v>
      </c>
    </row>
    <row r="412" spans="1:7" ht="15">
      <c r="A412" s="114" t="s">
        <v>1079</v>
      </c>
      <c r="B412" s="114">
        <v>3</v>
      </c>
      <c r="C412" s="116">
        <v>0.021493271502895272</v>
      </c>
      <c r="D412" s="114" t="s">
        <v>1033</v>
      </c>
      <c r="E412" s="114" t="b">
        <v>0</v>
      </c>
      <c r="F412" s="114" t="b">
        <v>0</v>
      </c>
      <c r="G412" s="114" t="b">
        <v>0</v>
      </c>
    </row>
    <row r="413" spans="1:7" ht="15">
      <c r="A413" s="114" t="s">
        <v>1082</v>
      </c>
      <c r="B413" s="114">
        <v>3</v>
      </c>
      <c r="C413" s="116">
        <v>0.021493271502895272</v>
      </c>
      <c r="D413" s="114" t="s">
        <v>1033</v>
      </c>
      <c r="E413" s="114" t="b">
        <v>0</v>
      </c>
      <c r="F413" s="114" t="b">
        <v>0</v>
      </c>
      <c r="G413" s="114" t="b">
        <v>0</v>
      </c>
    </row>
    <row r="414" spans="1:7" ht="15">
      <c r="A414" s="114" t="s">
        <v>1080</v>
      </c>
      <c r="B414" s="114">
        <v>3</v>
      </c>
      <c r="C414" s="116">
        <v>0.02608695652173913</v>
      </c>
      <c r="D414" s="114" t="s">
        <v>1033</v>
      </c>
      <c r="E414" s="114" t="b">
        <v>0</v>
      </c>
      <c r="F414" s="114" t="b">
        <v>0</v>
      </c>
      <c r="G414" s="114" t="b">
        <v>0</v>
      </c>
    </row>
    <row r="415" spans="1:7" ht="15">
      <c r="A415" s="114" t="s">
        <v>1140</v>
      </c>
      <c r="B415" s="114">
        <v>2</v>
      </c>
      <c r="C415" s="116">
        <v>0.017391304347826087</v>
      </c>
      <c r="D415" s="114" t="s">
        <v>1033</v>
      </c>
      <c r="E415" s="114" t="b">
        <v>0</v>
      </c>
      <c r="F415" s="114" t="b">
        <v>0</v>
      </c>
      <c r="G415" s="114" t="b">
        <v>0</v>
      </c>
    </row>
    <row r="416" spans="1:7" ht="15">
      <c r="A416" s="114" t="s">
        <v>1143</v>
      </c>
      <c r="B416" s="114">
        <v>2</v>
      </c>
      <c r="C416" s="116">
        <v>0.017391304347826087</v>
      </c>
      <c r="D416" s="114" t="s">
        <v>1033</v>
      </c>
      <c r="E416" s="114" t="b">
        <v>0</v>
      </c>
      <c r="F416" s="114" t="b">
        <v>0</v>
      </c>
      <c r="G416" s="114" t="b">
        <v>0</v>
      </c>
    </row>
    <row r="417" spans="1:7" ht="15">
      <c r="A417" s="114" t="s">
        <v>1096</v>
      </c>
      <c r="B417" s="114">
        <v>2</v>
      </c>
      <c r="C417" s="116">
        <v>0.017391304347826087</v>
      </c>
      <c r="D417" s="114" t="s">
        <v>1033</v>
      </c>
      <c r="E417" s="114" t="b">
        <v>0</v>
      </c>
      <c r="F417" s="114" t="b">
        <v>0</v>
      </c>
      <c r="G417" s="114" t="b">
        <v>0</v>
      </c>
    </row>
    <row r="418" spans="1:7" ht="15">
      <c r="A418" s="114" t="s">
        <v>1191</v>
      </c>
      <c r="B418" s="114">
        <v>2</v>
      </c>
      <c r="C418" s="116">
        <v>0.017391304347826087</v>
      </c>
      <c r="D418" s="114" t="s">
        <v>1033</v>
      </c>
      <c r="E418" s="114" t="b">
        <v>0</v>
      </c>
      <c r="F418" s="114" t="b">
        <v>0</v>
      </c>
      <c r="G418" s="114" t="b">
        <v>0</v>
      </c>
    </row>
    <row r="419" spans="1:7" ht="15">
      <c r="A419" s="114" t="s">
        <v>1285</v>
      </c>
      <c r="B419" s="114">
        <v>2</v>
      </c>
      <c r="C419" s="116">
        <v>0.017391304347826087</v>
      </c>
      <c r="D419" s="114" t="s">
        <v>1033</v>
      </c>
      <c r="E419" s="114" t="b">
        <v>0</v>
      </c>
      <c r="F419" s="114" t="b">
        <v>0</v>
      </c>
      <c r="G419" s="114" t="b">
        <v>0</v>
      </c>
    </row>
    <row r="420" spans="1:7" ht="15">
      <c r="A420" s="114" t="s">
        <v>1100</v>
      </c>
      <c r="B420" s="114">
        <v>2</v>
      </c>
      <c r="C420" s="116">
        <v>0.017391304347826087</v>
      </c>
      <c r="D420" s="114" t="s">
        <v>1033</v>
      </c>
      <c r="E420" s="114" t="b">
        <v>0</v>
      </c>
      <c r="F420" s="114" t="b">
        <v>0</v>
      </c>
      <c r="G420" s="114" t="b">
        <v>0</v>
      </c>
    </row>
    <row r="421" spans="1:7" ht="15">
      <c r="A421" s="114" t="s">
        <v>1280</v>
      </c>
      <c r="B421" s="114">
        <v>2</v>
      </c>
      <c r="C421" s="116">
        <v>0.017391304347826087</v>
      </c>
      <c r="D421" s="114" t="s">
        <v>1033</v>
      </c>
      <c r="E421" s="114" t="b">
        <v>0</v>
      </c>
      <c r="F421" s="114" t="b">
        <v>0</v>
      </c>
      <c r="G421" s="114" t="b">
        <v>0</v>
      </c>
    </row>
    <row r="422" spans="1:7" ht="15">
      <c r="A422" s="114" t="s">
        <v>1277</v>
      </c>
      <c r="B422" s="114">
        <v>2</v>
      </c>
      <c r="C422" s="116">
        <v>0.017391304347826087</v>
      </c>
      <c r="D422" s="114" t="s">
        <v>1033</v>
      </c>
      <c r="E422" s="114" t="b">
        <v>0</v>
      </c>
      <c r="F422" s="114" t="b">
        <v>0</v>
      </c>
      <c r="G422" s="114" t="b">
        <v>0</v>
      </c>
    </row>
    <row r="423" spans="1:7" ht="15">
      <c r="A423" s="114" t="s">
        <v>1108</v>
      </c>
      <c r="B423" s="114">
        <v>2</v>
      </c>
      <c r="C423" s="116">
        <v>0.02262660862024315</v>
      </c>
      <c r="D423" s="114" t="s">
        <v>1033</v>
      </c>
      <c r="E423" s="114" t="b">
        <v>0</v>
      </c>
      <c r="F423" s="114" t="b">
        <v>0</v>
      </c>
      <c r="G423" s="114" t="b">
        <v>0</v>
      </c>
    </row>
    <row r="424" spans="1:7" ht="15">
      <c r="A424" s="114" t="s">
        <v>1105</v>
      </c>
      <c r="B424" s="114">
        <v>6</v>
      </c>
      <c r="C424" s="116">
        <v>0.03365620243814231</v>
      </c>
      <c r="D424" s="114" t="s">
        <v>1034</v>
      </c>
      <c r="E424" s="114" t="b">
        <v>0</v>
      </c>
      <c r="F424" s="114" t="b">
        <v>0</v>
      </c>
      <c r="G424" s="114" t="b">
        <v>0</v>
      </c>
    </row>
    <row r="425" spans="1:7" ht="15">
      <c r="A425" s="114" t="s">
        <v>1083</v>
      </c>
      <c r="B425" s="114">
        <v>5</v>
      </c>
      <c r="C425" s="116">
        <v>0.015292347907681487</v>
      </c>
      <c r="D425" s="114" t="s">
        <v>1034</v>
      </c>
      <c r="E425" s="114" t="b">
        <v>0</v>
      </c>
      <c r="F425" s="114" t="b">
        <v>0</v>
      </c>
      <c r="G425" s="114" t="b">
        <v>0</v>
      </c>
    </row>
    <row r="426" spans="1:7" ht="15">
      <c r="A426" s="114" t="s">
        <v>1087</v>
      </c>
      <c r="B426" s="114">
        <v>4</v>
      </c>
      <c r="C426" s="116">
        <v>0.014718750454556893</v>
      </c>
      <c r="D426" s="114" t="s">
        <v>1034</v>
      </c>
      <c r="E426" s="114" t="b">
        <v>0</v>
      </c>
      <c r="F426" s="114" t="b">
        <v>0</v>
      </c>
      <c r="G426" s="114" t="b">
        <v>0</v>
      </c>
    </row>
    <row r="427" spans="1:7" ht="15">
      <c r="A427" s="114" t="s">
        <v>1084</v>
      </c>
      <c r="B427" s="114">
        <v>4</v>
      </c>
      <c r="C427" s="116">
        <v>0.022437468292094875</v>
      </c>
      <c r="D427" s="114" t="s">
        <v>1034</v>
      </c>
      <c r="E427" s="114" t="b">
        <v>0</v>
      </c>
      <c r="F427" s="114" t="b">
        <v>0</v>
      </c>
      <c r="G427" s="114" t="b">
        <v>0</v>
      </c>
    </row>
    <row r="428" spans="1:7" ht="15">
      <c r="A428" s="114" t="s">
        <v>1130</v>
      </c>
      <c r="B428" s="114">
        <v>4</v>
      </c>
      <c r="C428" s="116">
        <v>0.014718750454556893</v>
      </c>
      <c r="D428" s="114" t="s">
        <v>1034</v>
      </c>
      <c r="E428" s="114" t="b">
        <v>0</v>
      </c>
      <c r="F428" s="114" t="b">
        <v>0</v>
      </c>
      <c r="G428" s="114" t="b">
        <v>0</v>
      </c>
    </row>
    <row r="429" spans="1:7" ht="15">
      <c r="A429" s="114" t="s">
        <v>1128</v>
      </c>
      <c r="B429" s="114">
        <v>3</v>
      </c>
      <c r="C429" s="116">
        <v>0.013441730852615748</v>
      </c>
      <c r="D429" s="114" t="s">
        <v>1034</v>
      </c>
      <c r="E429" s="114" t="b">
        <v>0</v>
      </c>
      <c r="F429" s="114" t="b">
        <v>0</v>
      </c>
      <c r="G429" s="114" t="b">
        <v>0</v>
      </c>
    </row>
    <row r="430" spans="1:7" ht="15">
      <c r="A430" s="114" t="s">
        <v>1172</v>
      </c>
      <c r="B430" s="114">
        <v>3</v>
      </c>
      <c r="C430" s="116">
        <v>0.013441730852615748</v>
      </c>
      <c r="D430" s="114" t="s">
        <v>1034</v>
      </c>
      <c r="E430" s="114" t="b">
        <v>0</v>
      </c>
      <c r="F430" s="114" t="b">
        <v>0</v>
      </c>
      <c r="G430" s="114" t="b">
        <v>0</v>
      </c>
    </row>
    <row r="431" spans="1:7" ht="15">
      <c r="A431" s="114" t="s">
        <v>1164</v>
      </c>
      <c r="B431" s="114">
        <v>3</v>
      </c>
      <c r="C431" s="116">
        <v>0.013441730852615748</v>
      </c>
      <c r="D431" s="114" t="s">
        <v>1034</v>
      </c>
      <c r="E431" s="114" t="b">
        <v>0</v>
      </c>
      <c r="F431" s="114" t="b">
        <v>0</v>
      </c>
      <c r="G431" s="114" t="b">
        <v>0</v>
      </c>
    </row>
    <row r="432" spans="1:7" ht="15">
      <c r="A432" s="114" t="s">
        <v>1171</v>
      </c>
      <c r="B432" s="114">
        <v>3</v>
      </c>
      <c r="C432" s="116">
        <v>0.013441730852615748</v>
      </c>
      <c r="D432" s="114" t="s">
        <v>1034</v>
      </c>
      <c r="E432" s="114" t="b">
        <v>0</v>
      </c>
      <c r="F432" s="114" t="b">
        <v>0</v>
      </c>
      <c r="G432" s="114" t="b">
        <v>0</v>
      </c>
    </row>
    <row r="433" spans="1:7" ht="15">
      <c r="A433" s="114" t="s">
        <v>1085</v>
      </c>
      <c r="B433" s="114">
        <v>3</v>
      </c>
      <c r="C433" s="116">
        <v>0.016828101219071155</v>
      </c>
      <c r="D433" s="114" t="s">
        <v>1034</v>
      </c>
      <c r="E433" s="114" t="b">
        <v>0</v>
      </c>
      <c r="F433" s="114" t="b">
        <v>0</v>
      </c>
      <c r="G433" s="114" t="b">
        <v>0</v>
      </c>
    </row>
    <row r="434" spans="1:7" ht="15">
      <c r="A434" s="114" t="s">
        <v>1114</v>
      </c>
      <c r="B434" s="114">
        <v>2</v>
      </c>
      <c r="C434" s="116">
        <v>0.011218734146047437</v>
      </c>
      <c r="D434" s="114" t="s">
        <v>1034</v>
      </c>
      <c r="E434" s="114" t="b">
        <v>0</v>
      </c>
      <c r="F434" s="114" t="b">
        <v>0</v>
      </c>
      <c r="G434" s="114" t="b">
        <v>0</v>
      </c>
    </row>
    <row r="435" spans="1:7" ht="15">
      <c r="A435" s="114" t="s">
        <v>1221</v>
      </c>
      <c r="B435" s="114">
        <v>2</v>
      </c>
      <c r="C435" s="116">
        <v>0.011218734146047437</v>
      </c>
      <c r="D435" s="114" t="s">
        <v>1034</v>
      </c>
      <c r="E435" s="114" t="b">
        <v>0</v>
      </c>
      <c r="F435" s="114" t="b">
        <v>0</v>
      </c>
      <c r="G435" s="114" t="b">
        <v>0</v>
      </c>
    </row>
    <row r="436" spans="1:7" ht="15">
      <c r="A436" s="114" t="s">
        <v>1237</v>
      </c>
      <c r="B436" s="114">
        <v>2</v>
      </c>
      <c r="C436" s="116">
        <v>0.011218734146047437</v>
      </c>
      <c r="D436" s="114" t="s">
        <v>1034</v>
      </c>
      <c r="E436" s="114" t="b">
        <v>0</v>
      </c>
      <c r="F436" s="114" t="b">
        <v>0</v>
      </c>
      <c r="G436" s="114" t="b">
        <v>0</v>
      </c>
    </row>
    <row r="437" spans="1:7" ht="15">
      <c r="A437" s="114" t="s">
        <v>1116</v>
      </c>
      <c r="B437" s="114">
        <v>2</v>
      </c>
      <c r="C437" s="116">
        <v>0.011218734146047437</v>
      </c>
      <c r="D437" s="114" t="s">
        <v>1034</v>
      </c>
      <c r="E437" s="114" t="b">
        <v>0</v>
      </c>
      <c r="F437" s="114" t="b">
        <v>0</v>
      </c>
      <c r="G437" s="114" t="b">
        <v>0</v>
      </c>
    </row>
    <row r="438" spans="1:7" ht="15">
      <c r="A438" s="114" t="s">
        <v>1170</v>
      </c>
      <c r="B438" s="114">
        <v>2</v>
      </c>
      <c r="C438" s="116">
        <v>0.011218734146047437</v>
      </c>
      <c r="D438" s="114" t="s">
        <v>1034</v>
      </c>
      <c r="E438" s="114" t="b">
        <v>0</v>
      </c>
      <c r="F438" s="114" t="b">
        <v>0</v>
      </c>
      <c r="G438" s="114" t="b">
        <v>0</v>
      </c>
    </row>
    <row r="439" spans="1:7" ht="15">
      <c r="A439" s="114" t="s">
        <v>1129</v>
      </c>
      <c r="B439" s="114">
        <v>2</v>
      </c>
      <c r="C439" s="116">
        <v>0.015078093064816427</v>
      </c>
      <c r="D439" s="114" t="s">
        <v>1034</v>
      </c>
      <c r="E439" s="114" t="b">
        <v>0</v>
      </c>
      <c r="F439" s="114" t="b">
        <v>0</v>
      </c>
      <c r="G439" s="114" t="b">
        <v>0</v>
      </c>
    </row>
    <row r="440" spans="1:7" ht="15">
      <c r="A440" s="114" t="s">
        <v>1165</v>
      </c>
      <c r="B440" s="114">
        <v>2</v>
      </c>
      <c r="C440" s="116">
        <v>0.011218734146047437</v>
      </c>
      <c r="D440" s="114" t="s">
        <v>1034</v>
      </c>
      <c r="E440" s="114" t="b">
        <v>0</v>
      </c>
      <c r="F440" s="114" t="b">
        <v>0</v>
      </c>
      <c r="G440" s="114" t="b">
        <v>0</v>
      </c>
    </row>
    <row r="441" spans="1:7" ht="15">
      <c r="A441" s="114" t="s">
        <v>1168</v>
      </c>
      <c r="B441" s="114">
        <v>2</v>
      </c>
      <c r="C441" s="116">
        <v>0.015078093064816427</v>
      </c>
      <c r="D441" s="114" t="s">
        <v>1034</v>
      </c>
      <c r="E441" s="114" t="b">
        <v>0</v>
      </c>
      <c r="F441" s="114" t="b">
        <v>0</v>
      </c>
      <c r="G441" s="114" t="b">
        <v>0</v>
      </c>
    </row>
    <row r="442" spans="1:7" ht="15">
      <c r="A442" s="114" t="s">
        <v>1227</v>
      </c>
      <c r="B442" s="114">
        <v>2</v>
      </c>
      <c r="C442" s="116">
        <v>0.011218734146047437</v>
      </c>
      <c r="D442" s="114" t="s">
        <v>1034</v>
      </c>
      <c r="E442" s="114" t="b">
        <v>0</v>
      </c>
      <c r="F442" s="114" t="b">
        <v>0</v>
      </c>
      <c r="G442" s="114" t="b">
        <v>0</v>
      </c>
    </row>
    <row r="443" spans="1:7" ht="15">
      <c r="A443" s="114" t="s">
        <v>1228</v>
      </c>
      <c r="B443" s="114">
        <v>2</v>
      </c>
      <c r="C443" s="116">
        <v>0.011218734146047437</v>
      </c>
      <c r="D443" s="114" t="s">
        <v>1034</v>
      </c>
      <c r="E443" s="114" t="b">
        <v>0</v>
      </c>
      <c r="F443" s="114" t="b">
        <v>0</v>
      </c>
      <c r="G443" s="114" t="b">
        <v>0</v>
      </c>
    </row>
    <row r="444" spans="1:7" ht="15">
      <c r="A444" s="114" t="s">
        <v>1229</v>
      </c>
      <c r="B444" s="114">
        <v>2</v>
      </c>
      <c r="C444" s="116">
        <v>0.011218734146047437</v>
      </c>
      <c r="D444" s="114" t="s">
        <v>1034</v>
      </c>
      <c r="E444" s="114" t="b">
        <v>0</v>
      </c>
      <c r="F444" s="114" t="b">
        <v>0</v>
      </c>
      <c r="G444" s="114" t="b">
        <v>0</v>
      </c>
    </row>
    <row r="445" spans="1:7" ht="15">
      <c r="A445" s="114" t="s">
        <v>1098</v>
      </c>
      <c r="B445" s="114">
        <v>2</v>
      </c>
      <c r="C445" s="116">
        <v>0.011218734146047437</v>
      </c>
      <c r="D445" s="114" t="s">
        <v>1034</v>
      </c>
      <c r="E445" s="114" t="b">
        <v>0</v>
      </c>
      <c r="F445" s="114" t="b">
        <v>0</v>
      </c>
      <c r="G445" s="114" t="b">
        <v>0</v>
      </c>
    </row>
    <row r="446" spans="1:7" ht="15">
      <c r="A446" s="114" t="s">
        <v>1099</v>
      </c>
      <c r="B446" s="114">
        <v>2</v>
      </c>
      <c r="C446" s="116">
        <v>0.011218734146047437</v>
      </c>
      <c r="D446" s="114" t="s">
        <v>1034</v>
      </c>
      <c r="E446" s="114" t="b">
        <v>0</v>
      </c>
      <c r="F446" s="114" t="b">
        <v>0</v>
      </c>
      <c r="G446" s="114" t="b">
        <v>0</v>
      </c>
    </row>
    <row r="447" spans="1:7" ht="15">
      <c r="A447" s="114" t="s">
        <v>1115</v>
      </c>
      <c r="B447" s="114">
        <v>2</v>
      </c>
      <c r="C447" s="116">
        <v>0.011218734146047437</v>
      </c>
      <c r="D447" s="114" t="s">
        <v>1034</v>
      </c>
      <c r="E447" s="114" t="b">
        <v>0</v>
      </c>
      <c r="F447" s="114" t="b">
        <v>0</v>
      </c>
      <c r="G447" s="114" t="b">
        <v>0</v>
      </c>
    </row>
    <row r="448" spans="1:7" ht="15">
      <c r="A448" s="114" t="s">
        <v>1093</v>
      </c>
      <c r="B448" s="114">
        <v>2</v>
      </c>
      <c r="C448" s="116">
        <v>0.015078093064816427</v>
      </c>
      <c r="D448" s="114" t="s">
        <v>1034</v>
      </c>
      <c r="E448" s="114" t="b">
        <v>0</v>
      </c>
      <c r="F448" s="114" t="b">
        <v>0</v>
      </c>
      <c r="G448" s="114" t="b">
        <v>0</v>
      </c>
    </row>
    <row r="449" spans="1:7" ht="15">
      <c r="A449" s="114" t="s">
        <v>1236</v>
      </c>
      <c r="B449" s="114">
        <v>2</v>
      </c>
      <c r="C449" s="116">
        <v>0.015078093064816427</v>
      </c>
      <c r="D449" s="114" t="s">
        <v>1034</v>
      </c>
      <c r="E449" s="114" t="b">
        <v>0</v>
      </c>
      <c r="F449" s="114" t="b">
        <v>0</v>
      </c>
      <c r="G449" s="114" t="b">
        <v>0</v>
      </c>
    </row>
    <row r="450" spans="1:7" ht="15">
      <c r="A450" s="114" t="s">
        <v>1081</v>
      </c>
      <c r="B450" s="114">
        <v>2</v>
      </c>
      <c r="C450" s="116">
        <v>0.015078093064816427</v>
      </c>
      <c r="D450" s="114" t="s">
        <v>1034</v>
      </c>
      <c r="E450" s="114" t="b">
        <v>0</v>
      </c>
      <c r="F450" s="114" t="b">
        <v>0</v>
      </c>
      <c r="G450" s="114" t="b">
        <v>0</v>
      </c>
    </row>
    <row r="451" spans="1:7" ht="15">
      <c r="A451" s="114" t="s">
        <v>1239</v>
      </c>
      <c r="B451" s="114">
        <v>2</v>
      </c>
      <c r="C451" s="116">
        <v>0.015078093064816427</v>
      </c>
      <c r="D451" s="114" t="s">
        <v>1034</v>
      </c>
      <c r="E451" s="114" t="b">
        <v>0</v>
      </c>
      <c r="F451" s="114" t="b">
        <v>0</v>
      </c>
      <c r="G451" s="114" t="b">
        <v>0</v>
      </c>
    </row>
    <row r="452" spans="1:7" ht="15">
      <c r="A452" s="114" t="s">
        <v>1131</v>
      </c>
      <c r="B452" s="114">
        <v>2</v>
      </c>
      <c r="C452" s="116">
        <v>0.015078093064816427</v>
      </c>
      <c r="D452" s="114" t="s">
        <v>1034</v>
      </c>
      <c r="E452" s="114" t="b">
        <v>0</v>
      </c>
      <c r="F452" s="114" t="b">
        <v>0</v>
      </c>
      <c r="G452" s="114" t="b">
        <v>0</v>
      </c>
    </row>
    <row r="453" spans="1:7" ht="15">
      <c r="A453" s="114" t="s">
        <v>1091</v>
      </c>
      <c r="B453" s="114">
        <v>5</v>
      </c>
      <c r="C453" s="116">
        <v>0.04263114681005957</v>
      </c>
      <c r="D453" s="114" t="s">
        <v>1035</v>
      </c>
      <c r="E453" s="114" t="b">
        <v>0</v>
      </c>
      <c r="F453" s="114" t="b">
        <v>0</v>
      </c>
      <c r="G453" s="114" t="b">
        <v>0</v>
      </c>
    </row>
    <row r="454" spans="1:7" ht="15">
      <c r="A454" s="114" t="s">
        <v>1111</v>
      </c>
      <c r="B454" s="114">
        <v>4</v>
      </c>
      <c r="C454" s="116">
        <v>0.039805506448521565</v>
      </c>
      <c r="D454" s="114" t="s">
        <v>1035</v>
      </c>
      <c r="E454" s="114" t="b">
        <v>0</v>
      </c>
      <c r="F454" s="114" t="b">
        <v>0</v>
      </c>
      <c r="G454" s="114" t="b">
        <v>0</v>
      </c>
    </row>
    <row r="455" spans="1:7" ht="15">
      <c r="A455" s="114" t="s">
        <v>1155</v>
      </c>
      <c r="B455" s="114">
        <v>4</v>
      </c>
      <c r="C455" s="116">
        <v>0.039805506448521565</v>
      </c>
      <c r="D455" s="114" t="s">
        <v>1035</v>
      </c>
      <c r="E455" s="114" t="b">
        <v>0</v>
      </c>
      <c r="F455" s="114" t="b">
        <v>0</v>
      </c>
      <c r="G455" s="114" t="b">
        <v>0</v>
      </c>
    </row>
    <row r="456" spans="1:7" ht="15">
      <c r="A456" s="114" t="s">
        <v>1156</v>
      </c>
      <c r="B456" s="114">
        <v>4</v>
      </c>
      <c r="C456" s="116">
        <v>0.05751315325228516</v>
      </c>
      <c r="D456" s="114" t="s">
        <v>1035</v>
      </c>
      <c r="E456" s="114" t="b">
        <v>0</v>
      </c>
      <c r="F456" s="114" t="b">
        <v>0</v>
      </c>
      <c r="G456" s="114" t="b">
        <v>0</v>
      </c>
    </row>
    <row r="457" spans="1:7" ht="15">
      <c r="A457" s="114" t="s">
        <v>1144</v>
      </c>
      <c r="B457" s="114">
        <v>3</v>
      </c>
      <c r="C457" s="116">
        <v>0.035366132922051464</v>
      </c>
      <c r="D457" s="114" t="s">
        <v>1035</v>
      </c>
      <c r="E457" s="114" t="b">
        <v>0</v>
      </c>
      <c r="F457" s="114" t="b">
        <v>0</v>
      </c>
      <c r="G457" s="114" t="b">
        <v>0</v>
      </c>
    </row>
    <row r="458" spans="1:7" ht="15">
      <c r="A458" s="114" t="s">
        <v>1082</v>
      </c>
      <c r="B458" s="114">
        <v>3</v>
      </c>
      <c r="C458" s="116">
        <v>0.035366132922051464</v>
      </c>
      <c r="D458" s="114" t="s">
        <v>1035</v>
      </c>
      <c r="E458" s="114" t="b">
        <v>0</v>
      </c>
      <c r="F458" s="114" t="b">
        <v>0</v>
      </c>
      <c r="G458" s="114" t="b">
        <v>0</v>
      </c>
    </row>
    <row r="459" spans="1:7" ht="15">
      <c r="A459" s="114" t="s">
        <v>1202</v>
      </c>
      <c r="B459" s="114">
        <v>3</v>
      </c>
      <c r="C459" s="116">
        <v>0.035366132922051464</v>
      </c>
      <c r="D459" s="114" t="s">
        <v>1035</v>
      </c>
      <c r="E459" s="114" t="b">
        <v>0</v>
      </c>
      <c r="F459" s="114" t="b">
        <v>0</v>
      </c>
      <c r="G459" s="114" t="b">
        <v>0</v>
      </c>
    </row>
    <row r="460" spans="1:7" ht="15">
      <c r="A460" s="114" t="s">
        <v>1203</v>
      </c>
      <c r="B460" s="114">
        <v>3</v>
      </c>
      <c r="C460" s="116">
        <v>0.035366132922051464</v>
      </c>
      <c r="D460" s="114" t="s">
        <v>1035</v>
      </c>
      <c r="E460" s="114" t="b">
        <v>0</v>
      </c>
      <c r="F460" s="114" t="b">
        <v>0</v>
      </c>
      <c r="G460" s="114" t="b">
        <v>0</v>
      </c>
    </row>
    <row r="461" spans="1:7" ht="15">
      <c r="A461" s="114" t="s">
        <v>1339</v>
      </c>
      <c r="B461" s="114">
        <v>2</v>
      </c>
      <c r="C461" s="116">
        <v>0.02875657662614258</v>
      </c>
      <c r="D461" s="114" t="s">
        <v>1035</v>
      </c>
      <c r="E461" s="114" t="b">
        <v>0</v>
      </c>
      <c r="F461" s="114" t="b">
        <v>0</v>
      </c>
      <c r="G461" s="114" t="b">
        <v>0</v>
      </c>
    </row>
    <row r="462" spans="1:7" ht="15">
      <c r="A462" s="114" t="s">
        <v>1199</v>
      </c>
      <c r="B462" s="114">
        <v>2</v>
      </c>
      <c r="C462" s="116">
        <v>0.03761040002802438</v>
      </c>
      <c r="D462" s="114" t="s">
        <v>1035</v>
      </c>
      <c r="E462" s="114" t="b">
        <v>0</v>
      </c>
      <c r="F462" s="114" t="b">
        <v>0</v>
      </c>
      <c r="G462" s="114" t="b">
        <v>0</v>
      </c>
    </row>
    <row r="463" spans="1:7" ht="15">
      <c r="A463" s="114" t="s">
        <v>1110</v>
      </c>
      <c r="B463" s="114">
        <v>2</v>
      </c>
      <c r="C463" s="116">
        <v>0.03761040002802438</v>
      </c>
      <c r="D463" s="114" t="s">
        <v>1035</v>
      </c>
      <c r="E463" s="114" t="b">
        <v>0</v>
      </c>
      <c r="F463" s="114" t="b">
        <v>0</v>
      </c>
      <c r="G463" s="114" t="b">
        <v>0</v>
      </c>
    </row>
    <row r="464" spans="1:7" ht="15">
      <c r="A464" s="114" t="s">
        <v>1340</v>
      </c>
      <c r="B464" s="114">
        <v>2</v>
      </c>
      <c r="C464" s="116">
        <v>0.03761040002802438</v>
      </c>
      <c r="D464" s="114" t="s">
        <v>1035</v>
      </c>
      <c r="E464" s="114" t="b">
        <v>0</v>
      </c>
      <c r="F464" s="114" t="b">
        <v>0</v>
      </c>
      <c r="G464" s="114" t="b">
        <v>0</v>
      </c>
    </row>
    <row r="465" spans="1:7" ht="15">
      <c r="A465" s="114" t="s">
        <v>1201</v>
      </c>
      <c r="B465" s="114">
        <v>2</v>
      </c>
      <c r="C465" s="116">
        <v>0.02875657662614258</v>
      </c>
      <c r="D465" s="114" t="s">
        <v>1035</v>
      </c>
      <c r="E465" s="114" t="b">
        <v>0</v>
      </c>
      <c r="F465" s="114" t="b">
        <v>0</v>
      </c>
      <c r="G465" s="114" t="b">
        <v>0</v>
      </c>
    </row>
    <row r="466" spans="1:7" ht="15">
      <c r="A466" s="114" t="s">
        <v>1167</v>
      </c>
      <c r="B466" s="114">
        <v>2</v>
      </c>
      <c r="C466" s="116">
        <v>0.02875657662614258</v>
      </c>
      <c r="D466" s="114" t="s">
        <v>1035</v>
      </c>
      <c r="E466" s="114" t="b">
        <v>0</v>
      </c>
      <c r="F466" s="114" t="b">
        <v>0</v>
      </c>
      <c r="G466" s="114" t="b">
        <v>0</v>
      </c>
    </row>
    <row r="467" spans="1:7" ht="15">
      <c r="A467" s="114" t="s">
        <v>1341</v>
      </c>
      <c r="B467" s="114">
        <v>2</v>
      </c>
      <c r="C467" s="116">
        <v>0.03761040002802438</v>
      </c>
      <c r="D467" s="114" t="s">
        <v>1035</v>
      </c>
      <c r="E467" s="114" t="b">
        <v>0</v>
      </c>
      <c r="F467" s="114" t="b">
        <v>0</v>
      </c>
      <c r="G467" s="114" t="b">
        <v>0</v>
      </c>
    </row>
    <row r="468" spans="1:7" ht="15">
      <c r="A468" s="114" t="s">
        <v>1125</v>
      </c>
      <c r="B468" s="114">
        <v>5</v>
      </c>
      <c r="C468" s="116">
        <v>0.009628301068675698</v>
      </c>
      <c r="D468" s="114" t="s">
        <v>1036</v>
      </c>
      <c r="E468" s="114" t="b">
        <v>0</v>
      </c>
      <c r="F468" s="114" t="b">
        <v>0</v>
      </c>
      <c r="G468" s="114" t="b">
        <v>0</v>
      </c>
    </row>
    <row r="469" spans="1:7" ht="15">
      <c r="A469" s="114" t="s">
        <v>1152</v>
      </c>
      <c r="B469" s="114">
        <v>4</v>
      </c>
      <c r="C469" s="116">
        <v>0.03407886743365825</v>
      </c>
      <c r="D469" s="114" t="s">
        <v>1036</v>
      </c>
      <c r="E469" s="114" t="b">
        <v>0</v>
      </c>
      <c r="F469" s="114" t="b">
        <v>0</v>
      </c>
      <c r="G469" s="114" t="b">
        <v>0</v>
      </c>
    </row>
    <row r="470" spans="1:7" ht="15">
      <c r="A470" s="114" t="s">
        <v>1119</v>
      </c>
      <c r="B470" s="114">
        <v>4</v>
      </c>
      <c r="C470" s="116">
        <v>0.03407886743365825</v>
      </c>
      <c r="D470" s="114" t="s">
        <v>1036</v>
      </c>
      <c r="E470" s="114" t="b">
        <v>0</v>
      </c>
      <c r="F470" s="114" t="b">
        <v>0</v>
      </c>
      <c r="G470" s="114" t="b">
        <v>0</v>
      </c>
    </row>
    <row r="471" spans="1:7" ht="15">
      <c r="A471" s="114" t="s">
        <v>1095</v>
      </c>
      <c r="B471" s="114">
        <v>4</v>
      </c>
      <c r="C471" s="116">
        <v>0.03407886743365825</v>
      </c>
      <c r="D471" s="114" t="s">
        <v>1036</v>
      </c>
      <c r="E471" s="114" t="b">
        <v>0</v>
      </c>
      <c r="F471" s="114" t="b">
        <v>0</v>
      </c>
      <c r="G471" s="114" t="b">
        <v>0</v>
      </c>
    </row>
    <row r="472" spans="1:7" ht="15">
      <c r="A472" s="114" t="s">
        <v>1108</v>
      </c>
      <c r="B472" s="114">
        <v>4</v>
      </c>
      <c r="C472" s="116">
        <v>0.03407886743365825</v>
      </c>
      <c r="D472" s="114" t="s">
        <v>1036</v>
      </c>
      <c r="E472" s="114" t="b">
        <v>0</v>
      </c>
      <c r="F472" s="114" t="b">
        <v>0</v>
      </c>
      <c r="G472" s="114" t="b">
        <v>0</v>
      </c>
    </row>
    <row r="473" spans="1:7" ht="15">
      <c r="A473" s="114" t="s">
        <v>1133</v>
      </c>
      <c r="B473" s="114">
        <v>3</v>
      </c>
      <c r="C473" s="116">
        <v>0.017039433716829123</v>
      </c>
      <c r="D473" s="114" t="s">
        <v>1036</v>
      </c>
      <c r="E473" s="114" t="b">
        <v>0</v>
      </c>
      <c r="F473" s="114" t="b">
        <v>0</v>
      </c>
      <c r="G473" s="114" t="b">
        <v>0</v>
      </c>
    </row>
    <row r="474" spans="1:7" ht="15">
      <c r="A474" s="114" t="s">
        <v>1200</v>
      </c>
      <c r="B474" s="114">
        <v>3</v>
      </c>
      <c r="C474" s="116">
        <v>0.025559150575243685</v>
      </c>
      <c r="D474" s="114" t="s">
        <v>1036</v>
      </c>
      <c r="E474" s="114" t="b">
        <v>0</v>
      </c>
      <c r="F474" s="114" t="b">
        <v>0</v>
      </c>
      <c r="G474" s="114" t="b">
        <v>0</v>
      </c>
    </row>
    <row r="475" spans="1:7" ht="15">
      <c r="A475" s="114" t="s">
        <v>1326</v>
      </c>
      <c r="B475" s="114">
        <v>2</v>
      </c>
      <c r="C475" s="116">
        <v>0.011359622477886083</v>
      </c>
      <c r="D475" s="114" t="s">
        <v>1036</v>
      </c>
      <c r="E475" s="114" t="b">
        <v>0</v>
      </c>
      <c r="F475" s="114" t="b">
        <v>0</v>
      </c>
      <c r="G475" s="114" t="b">
        <v>0</v>
      </c>
    </row>
    <row r="476" spans="1:7" ht="15">
      <c r="A476" s="114" t="s">
        <v>1328</v>
      </c>
      <c r="B476" s="114">
        <v>2</v>
      </c>
      <c r="C476" s="116">
        <v>0.011359622477886083</v>
      </c>
      <c r="D476" s="114" t="s">
        <v>1036</v>
      </c>
      <c r="E476" s="114" t="b">
        <v>0</v>
      </c>
      <c r="F476" s="114" t="b">
        <v>0</v>
      </c>
      <c r="G476" s="114" t="b">
        <v>0</v>
      </c>
    </row>
    <row r="477" spans="1:7" ht="15">
      <c r="A477" s="114" t="s">
        <v>1329</v>
      </c>
      <c r="B477" s="114">
        <v>2</v>
      </c>
      <c r="C477" s="116">
        <v>0.011359622477886083</v>
      </c>
      <c r="D477" s="114" t="s">
        <v>1036</v>
      </c>
      <c r="E477" s="114" t="b">
        <v>0</v>
      </c>
      <c r="F477" s="114" t="b">
        <v>0</v>
      </c>
      <c r="G477" s="114" t="b">
        <v>0</v>
      </c>
    </row>
    <row r="478" spans="1:7" ht="15">
      <c r="A478" s="114" t="s">
        <v>1330</v>
      </c>
      <c r="B478" s="114">
        <v>2</v>
      </c>
      <c r="C478" s="116">
        <v>0.011359622477886083</v>
      </c>
      <c r="D478" s="114" t="s">
        <v>1036</v>
      </c>
      <c r="E478" s="114" t="b">
        <v>0</v>
      </c>
      <c r="F478" s="114" t="b">
        <v>0</v>
      </c>
      <c r="G478" s="114" t="b">
        <v>0</v>
      </c>
    </row>
    <row r="479" spans="1:7" ht="15">
      <c r="A479" s="114" t="s">
        <v>1331</v>
      </c>
      <c r="B479" s="114">
        <v>2</v>
      </c>
      <c r="C479" s="116">
        <v>0.011359622477886083</v>
      </c>
      <c r="D479" s="114" t="s">
        <v>1036</v>
      </c>
      <c r="E479" s="114" t="b">
        <v>0</v>
      </c>
      <c r="F479" s="114" t="b">
        <v>0</v>
      </c>
      <c r="G479" s="114" t="b">
        <v>0</v>
      </c>
    </row>
    <row r="480" spans="1:7" ht="15">
      <c r="A480" s="114" t="s">
        <v>1142</v>
      </c>
      <c r="B480" s="114">
        <v>2</v>
      </c>
      <c r="C480" s="116">
        <v>0.011359622477886083</v>
      </c>
      <c r="D480" s="114" t="s">
        <v>1036</v>
      </c>
      <c r="E480" s="114" t="b">
        <v>0</v>
      </c>
      <c r="F480" s="114" t="b">
        <v>0</v>
      </c>
      <c r="G480" s="114" t="b">
        <v>0</v>
      </c>
    </row>
    <row r="481" spans="1:7" ht="15">
      <c r="A481" s="114" t="s">
        <v>1333</v>
      </c>
      <c r="B481" s="114">
        <v>2</v>
      </c>
      <c r="C481" s="116">
        <v>0.011359622477886083</v>
      </c>
      <c r="D481" s="114" t="s">
        <v>1036</v>
      </c>
      <c r="E481" s="114" t="b">
        <v>0</v>
      </c>
      <c r="F481" s="114" t="b">
        <v>0</v>
      </c>
      <c r="G481" s="114" t="b">
        <v>0</v>
      </c>
    </row>
    <row r="482" spans="1:7" ht="15">
      <c r="A482" s="114" t="s">
        <v>1335</v>
      </c>
      <c r="B482" s="114">
        <v>2</v>
      </c>
      <c r="C482" s="116">
        <v>0.017039433716829123</v>
      </c>
      <c r="D482" s="114" t="s">
        <v>1036</v>
      </c>
      <c r="E482" s="114" t="b">
        <v>0</v>
      </c>
      <c r="F482" s="114" t="b">
        <v>0</v>
      </c>
      <c r="G482" s="114" t="b">
        <v>0</v>
      </c>
    </row>
    <row r="483" spans="1:7" ht="15">
      <c r="A483" s="114" t="s">
        <v>1153</v>
      </c>
      <c r="B483" s="114">
        <v>2</v>
      </c>
      <c r="C483" s="116">
        <v>0.017039433716829123</v>
      </c>
      <c r="D483" s="114" t="s">
        <v>1036</v>
      </c>
      <c r="E483" s="114" t="b">
        <v>0</v>
      </c>
      <c r="F483" s="114" t="b">
        <v>0</v>
      </c>
      <c r="G483" s="114" t="b">
        <v>0</v>
      </c>
    </row>
    <row r="484" spans="1:7" ht="15">
      <c r="A484" s="114" t="s">
        <v>1131</v>
      </c>
      <c r="B484" s="114">
        <v>2</v>
      </c>
      <c r="C484" s="116">
        <v>0.017039433716829123</v>
      </c>
      <c r="D484" s="114" t="s">
        <v>1036</v>
      </c>
      <c r="E484" s="114" t="b">
        <v>0</v>
      </c>
      <c r="F484" s="114" t="b">
        <v>0</v>
      </c>
      <c r="G484" s="114" t="b">
        <v>0</v>
      </c>
    </row>
    <row r="485" spans="1:7" ht="15">
      <c r="A485" s="114" t="s">
        <v>1080</v>
      </c>
      <c r="B485" s="114">
        <v>2</v>
      </c>
      <c r="C485" s="116">
        <v>0.011359622477886083</v>
      </c>
      <c r="D485" s="114" t="s">
        <v>1036</v>
      </c>
      <c r="E485" s="114" t="b">
        <v>0</v>
      </c>
      <c r="F485" s="114" t="b">
        <v>0</v>
      </c>
      <c r="G485" s="114" t="b">
        <v>0</v>
      </c>
    </row>
    <row r="486" spans="1:7" ht="15">
      <c r="A486" s="114" t="s">
        <v>1372</v>
      </c>
      <c r="B486" s="114">
        <v>2</v>
      </c>
      <c r="C486" s="116">
        <v>0.011359622477886083</v>
      </c>
      <c r="D486" s="114" t="s">
        <v>1036</v>
      </c>
      <c r="E486" s="114" t="b">
        <v>0</v>
      </c>
      <c r="F486" s="114" t="b">
        <v>0</v>
      </c>
      <c r="G486" s="114" t="b">
        <v>0</v>
      </c>
    </row>
    <row r="487" spans="1:7" ht="15">
      <c r="A487" s="114" t="s">
        <v>1373</v>
      </c>
      <c r="B487" s="114">
        <v>2</v>
      </c>
      <c r="C487" s="116">
        <v>0.017039433716829123</v>
      </c>
      <c r="D487" s="114" t="s">
        <v>1036</v>
      </c>
      <c r="E487" s="114" t="b">
        <v>0</v>
      </c>
      <c r="F487" s="114" t="b">
        <v>0</v>
      </c>
      <c r="G487" s="114" t="b">
        <v>0</v>
      </c>
    </row>
    <row r="488" spans="1:7" ht="15">
      <c r="A488" s="114" t="s">
        <v>1134</v>
      </c>
      <c r="B488" s="114">
        <v>2</v>
      </c>
      <c r="C488" s="116">
        <v>0.017039433716829123</v>
      </c>
      <c r="D488" s="114" t="s">
        <v>1036</v>
      </c>
      <c r="E488" s="114" t="b">
        <v>0</v>
      </c>
      <c r="F488" s="114" t="b">
        <v>0</v>
      </c>
      <c r="G488" s="114" t="b">
        <v>0</v>
      </c>
    </row>
    <row r="489" spans="1:7" ht="15">
      <c r="A489" s="114" t="s">
        <v>1157</v>
      </c>
      <c r="B489" s="114">
        <v>4</v>
      </c>
      <c r="C489" s="116">
        <v>0.020726401689534314</v>
      </c>
      <c r="D489" s="114" t="s">
        <v>1037</v>
      </c>
      <c r="E489" s="114" t="b">
        <v>0</v>
      </c>
      <c r="F489" s="114" t="b">
        <v>0</v>
      </c>
      <c r="G489" s="114" t="b">
        <v>0</v>
      </c>
    </row>
    <row r="490" spans="1:7" ht="15">
      <c r="A490" s="114" t="s">
        <v>1208</v>
      </c>
      <c r="B490" s="114">
        <v>3</v>
      </c>
      <c r="C490" s="116">
        <v>0.019114479455959302</v>
      </c>
      <c r="D490" s="114" t="s">
        <v>1037</v>
      </c>
      <c r="E490" s="114" t="b">
        <v>0</v>
      </c>
      <c r="F490" s="114" t="b">
        <v>0</v>
      </c>
      <c r="G490" s="114" t="b">
        <v>0</v>
      </c>
    </row>
    <row r="491" spans="1:7" ht="15">
      <c r="A491" s="114" t="s">
        <v>1136</v>
      </c>
      <c r="B491" s="114">
        <v>3</v>
      </c>
      <c r="C491" s="116">
        <v>0.019114479455959302</v>
      </c>
      <c r="D491" s="114" t="s">
        <v>1037</v>
      </c>
      <c r="E491" s="114" t="b">
        <v>0</v>
      </c>
      <c r="F491" s="114" t="b">
        <v>0</v>
      </c>
      <c r="G491" s="114" t="b">
        <v>0</v>
      </c>
    </row>
    <row r="492" spans="1:7" ht="15">
      <c r="A492" s="114" t="s">
        <v>1209</v>
      </c>
      <c r="B492" s="114">
        <v>3</v>
      </c>
      <c r="C492" s="116">
        <v>0.019114479455959302</v>
      </c>
      <c r="D492" s="114" t="s">
        <v>1037</v>
      </c>
      <c r="E492" s="114" t="b">
        <v>0</v>
      </c>
      <c r="F492" s="114" t="b">
        <v>0</v>
      </c>
      <c r="G492" s="114" t="b">
        <v>0</v>
      </c>
    </row>
    <row r="493" spans="1:7" ht="15">
      <c r="A493" s="114" t="s">
        <v>1099</v>
      </c>
      <c r="B493" s="114">
        <v>3</v>
      </c>
      <c r="C493" s="116">
        <v>0.019114479455959302</v>
      </c>
      <c r="D493" s="114" t="s">
        <v>1037</v>
      </c>
      <c r="E493" s="114" t="b">
        <v>0</v>
      </c>
      <c r="F493" s="114" t="b">
        <v>0</v>
      </c>
      <c r="G493" s="114" t="b">
        <v>0</v>
      </c>
    </row>
    <row r="494" spans="1:7" ht="15">
      <c r="A494" s="114" t="s">
        <v>1154</v>
      </c>
      <c r="B494" s="114">
        <v>3</v>
      </c>
      <c r="C494" s="116">
        <v>0.019114479455959302</v>
      </c>
      <c r="D494" s="114" t="s">
        <v>1037</v>
      </c>
      <c r="E494" s="114" t="b">
        <v>0</v>
      </c>
      <c r="F494" s="114" t="b">
        <v>0</v>
      </c>
      <c r="G494" s="114" t="b">
        <v>0</v>
      </c>
    </row>
    <row r="495" spans="1:7" ht="15">
      <c r="A495" s="114" t="s">
        <v>1365</v>
      </c>
      <c r="B495" s="114">
        <v>2</v>
      </c>
      <c r="C495" s="116">
        <v>0.016097105524081085</v>
      </c>
      <c r="D495" s="114" t="s">
        <v>1037</v>
      </c>
      <c r="E495" s="114" t="b">
        <v>0</v>
      </c>
      <c r="F495" s="114" t="b">
        <v>0</v>
      </c>
      <c r="G495" s="114" t="b">
        <v>0</v>
      </c>
    </row>
    <row r="496" spans="1:7" ht="15">
      <c r="A496" s="114" t="s">
        <v>1366</v>
      </c>
      <c r="B496" s="114">
        <v>2</v>
      </c>
      <c r="C496" s="116">
        <v>0.016097105524081085</v>
      </c>
      <c r="D496" s="114" t="s">
        <v>1037</v>
      </c>
      <c r="E496" s="114" t="b">
        <v>0</v>
      </c>
      <c r="F496" s="114" t="b">
        <v>0</v>
      </c>
      <c r="G496" s="114" t="b">
        <v>0</v>
      </c>
    </row>
    <row r="497" spans="1:7" ht="15">
      <c r="A497" s="114" t="s">
        <v>1367</v>
      </c>
      <c r="B497" s="114">
        <v>2</v>
      </c>
      <c r="C497" s="116">
        <v>0.016097105524081085</v>
      </c>
      <c r="D497" s="114" t="s">
        <v>1037</v>
      </c>
      <c r="E497" s="114" t="b">
        <v>0</v>
      </c>
      <c r="F497" s="114" t="b">
        <v>0</v>
      </c>
      <c r="G497" s="114" t="b">
        <v>0</v>
      </c>
    </row>
    <row r="498" spans="1:7" ht="15">
      <c r="A498" s="114" t="s">
        <v>1094</v>
      </c>
      <c r="B498" s="114">
        <v>2</v>
      </c>
      <c r="C498" s="116">
        <v>0.016097105524081085</v>
      </c>
      <c r="D498" s="114" t="s">
        <v>1037</v>
      </c>
      <c r="E498" s="114" t="b">
        <v>0</v>
      </c>
      <c r="F498" s="114" t="b">
        <v>0</v>
      </c>
      <c r="G498" s="114" t="b">
        <v>0</v>
      </c>
    </row>
    <row r="499" spans="1:7" ht="15">
      <c r="A499" s="114" t="s">
        <v>1369</v>
      </c>
      <c r="B499" s="114">
        <v>2</v>
      </c>
      <c r="C499" s="116">
        <v>0.02183101020339501</v>
      </c>
      <c r="D499" s="114" t="s">
        <v>1037</v>
      </c>
      <c r="E499" s="114" t="b">
        <v>0</v>
      </c>
      <c r="F499" s="114" t="b">
        <v>0</v>
      </c>
      <c r="G499" s="114" t="b">
        <v>0</v>
      </c>
    </row>
    <row r="500" spans="1:7" ht="15">
      <c r="A500" s="114" t="s">
        <v>1368</v>
      </c>
      <c r="B500" s="114">
        <v>2</v>
      </c>
      <c r="C500" s="116">
        <v>0.016097105524081085</v>
      </c>
      <c r="D500" s="114" t="s">
        <v>1037</v>
      </c>
      <c r="E500" s="114" t="b">
        <v>0</v>
      </c>
      <c r="F500" s="114" t="b">
        <v>0</v>
      </c>
      <c r="G500" s="114" t="b">
        <v>0</v>
      </c>
    </row>
    <row r="501" spans="1:7" ht="15">
      <c r="A501" s="114" t="s">
        <v>1083</v>
      </c>
      <c r="B501" s="114">
        <v>5</v>
      </c>
      <c r="C501" s="116">
        <v>0.023335658578603192</v>
      </c>
      <c r="D501" s="114" t="s">
        <v>1038</v>
      </c>
      <c r="E501" s="114" t="b">
        <v>0</v>
      </c>
      <c r="F501" s="114" t="b">
        <v>0</v>
      </c>
      <c r="G501" s="114" t="b">
        <v>0</v>
      </c>
    </row>
    <row r="502" spans="1:7" ht="15">
      <c r="A502" s="114" t="s">
        <v>1087</v>
      </c>
      <c r="B502" s="114">
        <v>5</v>
      </c>
      <c r="C502" s="116">
        <v>0.01473686983378318</v>
      </c>
      <c r="D502" s="114" t="s">
        <v>1038</v>
      </c>
      <c r="E502" s="114" t="b">
        <v>0</v>
      </c>
      <c r="F502" s="114" t="b">
        <v>0</v>
      </c>
      <c r="G502" s="114" t="b">
        <v>0</v>
      </c>
    </row>
    <row r="503" spans="1:7" ht="15">
      <c r="A503" s="114" t="s">
        <v>1093</v>
      </c>
      <c r="B503" s="114">
        <v>4</v>
      </c>
      <c r="C503" s="116">
        <v>0.024128720942128486</v>
      </c>
      <c r="D503" s="114" t="s">
        <v>1038</v>
      </c>
      <c r="E503" s="114" t="b">
        <v>0</v>
      </c>
      <c r="F503" s="114" t="b">
        <v>0</v>
      </c>
      <c r="G503" s="114" t="b">
        <v>0</v>
      </c>
    </row>
    <row r="504" spans="1:7" ht="15">
      <c r="A504" s="114" t="s">
        <v>1101</v>
      </c>
      <c r="B504" s="114">
        <v>4</v>
      </c>
      <c r="C504" s="116">
        <v>0.024128720942128486</v>
      </c>
      <c r="D504" s="114" t="s">
        <v>1038</v>
      </c>
      <c r="E504" s="114" t="b">
        <v>0</v>
      </c>
      <c r="F504" s="114" t="b">
        <v>0</v>
      </c>
      <c r="G504" s="114" t="b">
        <v>0</v>
      </c>
    </row>
    <row r="505" spans="1:7" ht="15">
      <c r="A505" s="114" t="s">
        <v>1118</v>
      </c>
      <c r="B505" s="114">
        <v>3</v>
      </c>
      <c r="C505" s="116">
        <v>0.018096540706596363</v>
      </c>
      <c r="D505" s="114" t="s">
        <v>1038</v>
      </c>
      <c r="E505" s="114" t="b">
        <v>0</v>
      </c>
      <c r="F505" s="114" t="b">
        <v>0</v>
      </c>
      <c r="G505" s="114" t="b">
        <v>0</v>
      </c>
    </row>
    <row r="506" spans="1:7" ht="15">
      <c r="A506" s="114" t="s">
        <v>1206</v>
      </c>
      <c r="B506" s="114">
        <v>3</v>
      </c>
      <c r="C506" s="116">
        <v>0.025097238280177323</v>
      </c>
      <c r="D506" s="114" t="s">
        <v>1038</v>
      </c>
      <c r="E506" s="114" t="b">
        <v>0</v>
      </c>
      <c r="F506" s="114" t="b">
        <v>0</v>
      </c>
      <c r="G506" s="114" t="b">
        <v>0</v>
      </c>
    </row>
    <row r="507" spans="1:7" ht="15">
      <c r="A507" s="114" t="s">
        <v>1115</v>
      </c>
      <c r="B507" s="114">
        <v>3</v>
      </c>
      <c r="C507" s="116">
        <v>0.014001395147161916</v>
      </c>
      <c r="D507" s="114" t="s">
        <v>1038</v>
      </c>
      <c r="E507" s="114" t="b">
        <v>0</v>
      </c>
      <c r="F507" s="114" t="b">
        <v>0</v>
      </c>
      <c r="G507" s="114" t="b">
        <v>0</v>
      </c>
    </row>
    <row r="508" spans="1:7" ht="15">
      <c r="A508" s="114" t="s">
        <v>1205</v>
      </c>
      <c r="B508" s="114">
        <v>3</v>
      </c>
      <c r="C508" s="116">
        <v>0.018096540706596363</v>
      </c>
      <c r="D508" s="114" t="s">
        <v>1038</v>
      </c>
      <c r="E508" s="114" t="b">
        <v>0</v>
      </c>
      <c r="F508" s="114" t="b">
        <v>0</v>
      </c>
      <c r="G508" s="114" t="b">
        <v>0</v>
      </c>
    </row>
    <row r="509" spans="1:7" ht="15">
      <c r="A509" s="114" t="s">
        <v>1342</v>
      </c>
      <c r="B509" s="114">
        <v>2</v>
      </c>
      <c r="C509" s="116">
        <v>0.012064360471064243</v>
      </c>
      <c r="D509" s="114" t="s">
        <v>1038</v>
      </c>
      <c r="E509" s="114" t="b">
        <v>0</v>
      </c>
      <c r="F509" s="114" t="b">
        <v>0</v>
      </c>
      <c r="G509" s="114" t="b">
        <v>0</v>
      </c>
    </row>
    <row r="510" spans="1:7" ht="15">
      <c r="A510" s="114" t="s">
        <v>1163</v>
      </c>
      <c r="B510" s="114">
        <v>2</v>
      </c>
      <c r="C510" s="116">
        <v>0.012064360471064243</v>
      </c>
      <c r="D510" s="114" t="s">
        <v>1038</v>
      </c>
      <c r="E510" s="114" t="b">
        <v>0</v>
      </c>
      <c r="F510" s="114" t="b">
        <v>0</v>
      </c>
      <c r="G510" s="114" t="b">
        <v>0</v>
      </c>
    </row>
    <row r="511" spans="1:7" ht="15">
      <c r="A511" s="114" t="s">
        <v>1343</v>
      </c>
      <c r="B511" s="114">
        <v>2</v>
      </c>
      <c r="C511" s="116">
        <v>0.012064360471064243</v>
      </c>
      <c r="D511" s="114" t="s">
        <v>1038</v>
      </c>
      <c r="E511" s="114" t="b">
        <v>0</v>
      </c>
      <c r="F511" s="114" t="b">
        <v>0</v>
      </c>
      <c r="G511" s="114" t="b">
        <v>0</v>
      </c>
    </row>
    <row r="512" spans="1:7" ht="15">
      <c r="A512" s="114" t="s">
        <v>1116</v>
      </c>
      <c r="B512" s="114">
        <v>2</v>
      </c>
      <c r="C512" s="116">
        <v>0.012064360471064243</v>
      </c>
      <c r="D512" s="114" t="s">
        <v>1038</v>
      </c>
      <c r="E512" s="114" t="b">
        <v>0</v>
      </c>
      <c r="F512" s="114" t="b">
        <v>0</v>
      </c>
      <c r="G512" s="114" t="b">
        <v>0</v>
      </c>
    </row>
    <row r="513" spans="1:7" ht="15">
      <c r="A513" s="114" t="s">
        <v>1344</v>
      </c>
      <c r="B513" s="114">
        <v>2</v>
      </c>
      <c r="C513" s="116">
        <v>0.012064360471064243</v>
      </c>
      <c r="D513" s="114" t="s">
        <v>1038</v>
      </c>
      <c r="E513" s="114" t="b">
        <v>0</v>
      </c>
      <c r="F513" s="114" t="b">
        <v>0</v>
      </c>
      <c r="G513" s="114" t="b">
        <v>0</v>
      </c>
    </row>
    <row r="514" spans="1:7" ht="15">
      <c r="A514" s="114" t="s">
        <v>1175</v>
      </c>
      <c r="B514" s="114">
        <v>2</v>
      </c>
      <c r="C514" s="116">
        <v>0.012064360471064243</v>
      </c>
      <c r="D514" s="114" t="s">
        <v>1038</v>
      </c>
      <c r="E514" s="114" t="b">
        <v>0</v>
      </c>
      <c r="F514" s="114" t="b">
        <v>0</v>
      </c>
      <c r="G514" s="114" t="b">
        <v>0</v>
      </c>
    </row>
    <row r="515" spans="1:7" ht="15">
      <c r="A515" s="114" t="s">
        <v>1084</v>
      </c>
      <c r="B515" s="114">
        <v>2</v>
      </c>
      <c r="C515" s="116">
        <v>0.012064360471064243</v>
      </c>
      <c r="D515" s="114" t="s">
        <v>1038</v>
      </c>
      <c r="E515" s="114" t="b">
        <v>0</v>
      </c>
      <c r="F515" s="114" t="b">
        <v>0</v>
      </c>
      <c r="G515" s="114" t="b">
        <v>0</v>
      </c>
    </row>
    <row r="516" spans="1:7" ht="15">
      <c r="A516" s="114" t="s">
        <v>1351</v>
      </c>
      <c r="B516" s="114">
        <v>2</v>
      </c>
      <c r="C516" s="116">
        <v>0.016731492186784883</v>
      </c>
      <c r="D516" s="114" t="s">
        <v>1038</v>
      </c>
      <c r="E516" s="114" t="b">
        <v>0</v>
      </c>
      <c r="F516" s="114" t="b">
        <v>0</v>
      </c>
      <c r="G516" s="114" t="b">
        <v>0</v>
      </c>
    </row>
    <row r="517" spans="1:7" ht="15">
      <c r="A517" s="114" t="s">
        <v>1349</v>
      </c>
      <c r="B517" s="114">
        <v>2</v>
      </c>
      <c r="C517" s="116">
        <v>0.016731492186784883</v>
      </c>
      <c r="D517" s="114" t="s">
        <v>1038</v>
      </c>
      <c r="E517" s="114" t="b">
        <v>0</v>
      </c>
      <c r="F517" s="114" t="b">
        <v>0</v>
      </c>
      <c r="G517" s="114" t="b">
        <v>0</v>
      </c>
    </row>
    <row r="518" spans="1:7" ht="15">
      <c r="A518" s="114" t="s">
        <v>1350</v>
      </c>
      <c r="B518" s="114">
        <v>2</v>
      </c>
      <c r="C518" s="116">
        <v>0.016731492186784883</v>
      </c>
      <c r="D518" s="114" t="s">
        <v>1038</v>
      </c>
      <c r="E518" s="114" t="b">
        <v>0</v>
      </c>
      <c r="F518" s="114" t="b">
        <v>0</v>
      </c>
      <c r="G518" s="114" t="b">
        <v>0</v>
      </c>
    </row>
    <row r="519" spans="1:7" ht="15">
      <c r="A519" s="114" t="s">
        <v>1126</v>
      </c>
      <c r="B519" s="114">
        <v>2</v>
      </c>
      <c r="C519" s="116">
        <v>0.016731492186784883</v>
      </c>
      <c r="D519" s="114" t="s">
        <v>1038</v>
      </c>
      <c r="E519" s="114" t="b">
        <v>0</v>
      </c>
      <c r="F519" s="114" t="b">
        <v>0</v>
      </c>
      <c r="G519" s="114" t="b">
        <v>0</v>
      </c>
    </row>
    <row r="520" spans="1:7" ht="15">
      <c r="A520" s="114" t="s">
        <v>1077</v>
      </c>
      <c r="B520" s="114">
        <v>2</v>
      </c>
      <c r="C520" s="116">
        <v>0.012064360471064243</v>
      </c>
      <c r="D520" s="114" t="s">
        <v>1038</v>
      </c>
      <c r="E520" s="114" t="b">
        <v>0</v>
      </c>
      <c r="F520" s="114" t="b">
        <v>0</v>
      </c>
      <c r="G520" s="114" t="b">
        <v>0</v>
      </c>
    </row>
    <row r="521" spans="1:7" ht="15">
      <c r="A521" s="114" t="s">
        <v>1104</v>
      </c>
      <c r="B521" s="114">
        <v>2</v>
      </c>
      <c r="C521" s="116">
        <v>0.016731492186784883</v>
      </c>
      <c r="D521" s="114" t="s">
        <v>1038</v>
      </c>
      <c r="E521" s="114" t="b">
        <v>0</v>
      </c>
      <c r="F521" s="114" t="b">
        <v>0</v>
      </c>
      <c r="G521" s="114" t="b">
        <v>0</v>
      </c>
    </row>
    <row r="522" spans="1:7" ht="15">
      <c r="A522" s="114" t="s">
        <v>1094</v>
      </c>
      <c r="B522" s="114">
        <v>3</v>
      </c>
      <c r="C522" s="116">
        <v>0.028627275283179744</v>
      </c>
      <c r="D522" s="114" t="s">
        <v>1039</v>
      </c>
      <c r="E522" s="114" t="b">
        <v>0</v>
      </c>
      <c r="F522" s="114" t="b">
        <v>0</v>
      </c>
      <c r="G522" s="114" t="b">
        <v>0</v>
      </c>
    </row>
    <row r="523" spans="1:7" ht="15">
      <c r="A523" s="114" t="s">
        <v>1317</v>
      </c>
      <c r="B523" s="114">
        <v>2</v>
      </c>
      <c r="C523" s="116">
        <v>0.02612850055101375</v>
      </c>
      <c r="D523" s="114" t="s">
        <v>1039</v>
      </c>
      <c r="E523" s="114" t="b">
        <v>0</v>
      </c>
      <c r="F523" s="114" t="b">
        <v>0</v>
      </c>
      <c r="G523" s="114" t="b">
        <v>0</v>
      </c>
    </row>
    <row r="524" spans="1:7" ht="15">
      <c r="A524" s="114" t="s">
        <v>1085</v>
      </c>
      <c r="B524" s="114">
        <v>2</v>
      </c>
      <c r="C524" s="116">
        <v>0.02612850055101375</v>
      </c>
      <c r="D524" s="114" t="s">
        <v>1039</v>
      </c>
      <c r="E524" s="114" t="b">
        <v>0</v>
      </c>
      <c r="F524" s="114" t="b">
        <v>0</v>
      </c>
      <c r="G524" s="114" t="b">
        <v>0</v>
      </c>
    </row>
    <row r="525" spans="1:7" ht="15">
      <c r="A525" s="114" t="s">
        <v>1106</v>
      </c>
      <c r="B525" s="114">
        <v>2</v>
      </c>
      <c r="C525" s="116">
        <v>0.02612850055101375</v>
      </c>
      <c r="D525" s="114" t="s">
        <v>1039</v>
      </c>
      <c r="E525" s="114" t="b">
        <v>0</v>
      </c>
      <c r="F525" s="114" t="b">
        <v>0</v>
      </c>
      <c r="G525" s="114" t="b">
        <v>0</v>
      </c>
    </row>
    <row r="526" spans="1:7" ht="15">
      <c r="A526" s="114" t="s">
        <v>1318</v>
      </c>
      <c r="B526" s="114">
        <v>2</v>
      </c>
      <c r="C526" s="116">
        <v>0.02612850055101375</v>
      </c>
      <c r="D526" s="114" t="s">
        <v>1039</v>
      </c>
      <c r="E526" s="114" t="b">
        <v>0</v>
      </c>
      <c r="F526" s="114" t="b">
        <v>0</v>
      </c>
      <c r="G526" s="114" t="b">
        <v>0</v>
      </c>
    </row>
    <row r="527" spans="1:7" ht="15">
      <c r="A527" s="114" t="s">
        <v>1077</v>
      </c>
      <c r="B527" s="114">
        <v>2</v>
      </c>
      <c r="C527" s="116">
        <v>0.02612850055101375</v>
      </c>
      <c r="D527" s="114" t="s">
        <v>1039</v>
      </c>
      <c r="E527" s="114" t="b">
        <v>0</v>
      </c>
      <c r="F527" s="114" t="b">
        <v>0</v>
      </c>
      <c r="G527" s="114" t="b">
        <v>0</v>
      </c>
    </row>
    <row r="528" spans="1:7" ht="15">
      <c r="A528" s="114" t="s">
        <v>1088</v>
      </c>
      <c r="B528" s="114">
        <v>2</v>
      </c>
      <c r="C528" s="116">
        <v>0.02612850055101375</v>
      </c>
      <c r="D528" s="114" t="s">
        <v>1039</v>
      </c>
      <c r="E528" s="114" t="b">
        <v>0</v>
      </c>
      <c r="F528" s="114" t="b">
        <v>0</v>
      </c>
      <c r="G528" s="114" t="b">
        <v>0</v>
      </c>
    </row>
    <row r="529" spans="1:7" ht="15">
      <c r="A529" s="114" t="s">
        <v>1320</v>
      </c>
      <c r="B529" s="114">
        <v>2</v>
      </c>
      <c r="C529" s="116">
        <v>0.0752574989159953</v>
      </c>
      <c r="D529" s="114" t="s">
        <v>1040</v>
      </c>
      <c r="E529" s="114" t="b">
        <v>0</v>
      </c>
      <c r="F529" s="114" t="b">
        <v>0</v>
      </c>
      <c r="G529" s="114" t="b">
        <v>0</v>
      </c>
    </row>
    <row r="530" spans="1:7" ht="15">
      <c r="A530" s="114" t="s">
        <v>1207</v>
      </c>
      <c r="B530" s="114">
        <v>3</v>
      </c>
      <c r="C530" s="116">
        <v>0.010380344678068316</v>
      </c>
      <c r="D530" s="114" t="s">
        <v>1041</v>
      </c>
      <c r="E530" s="114" t="b">
        <v>0</v>
      </c>
      <c r="F530" s="114" t="b">
        <v>0</v>
      </c>
      <c r="G530" s="114" t="b">
        <v>0</v>
      </c>
    </row>
    <row r="531" spans="1:7" ht="15">
      <c r="A531" s="114" t="s">
        <v>1081</v>
      </c>
      <c r="B531" s="114">
        <v>3</v>
      </c>
      <c r="C531" s="116">
        <v>0.020760689356136633</v>
      </c>
      <c r="D531" s="114" t="s">
        <v>1041</v>
      </c>
      <c r="E531" s="114" t="b">
        <v>0</v>
      </c>
      <c r="F531" s="114" t="b">
        <v>0</v>
      </c>
      <c r="G531" s="114" t="b">
        <v>0</v>
      </c>
    </row>
    <row r="532" spans="1:7" ht="15">
      <c r="A532" s="114" t="s">
        <v>1092</v>
      </c>
      <c r="B532" s="114">
        <v>3</v>
      </c>
      <c r="C532" s="116">
        <v>0.010380344678068316</v>
      </c>
      <c r="D532" s="114" t="s">
        <v>1041</v>
      </c>
      <c r="E532" s="114" t="b">
        <v>0</v>
      </c>
      <c r="F532" s="114" t="b">
        <v>0</v>
      </c>
      <c r="G532" s="114" t="b">
        <v>0</v>
      </c>
    </row>
    <row r="533" spans="1:7" ht="15">
      <c r="A533" s="114" t="s">
        <v>1352</v>
      </c>
      <c r="B533" s="114">
        <v>2</v>
      </c>
      <c r="C533" s="116">
        <v>0.006920229785378878</v>
      </c>
      <c r="D533" s="114" t="s">
        <v>1041</v>
      </c>
      <c r="E533" s="114" t="b">
        <v>0</v>
      </c>
      <c r="F533" s="114" t="b">
        <v>0</v>
      </c>
      <c r="G533" s="114" t="b">
        <v>0</v>
      </c>
    </row>
    <row r="534" spans="1:7" ht="15">
      <c r="A534" s="114" t="s">
        <v>1353</v>
      </c>
      <c r="B534" s="114">
        <v>2</v>
      </c>
      <c r="C534" s="116">
        <v>0.006920229785378878</v>
      </c>
      <c r="D534" s="114" t="s">
        <v>1041</v>
      </c>
      <c r="E534" s="114" t="b">
        <v>0</v>
      </c>
      <c r="F534" s="114" t="b">
        <v>0</v>
      </c>
      <c r="G534" s="114" t="b">
        <v>0</v>
      </c>
    </row>
    <row r="535" spans="1:7" ht="15">
      <c r="A535" s="114" t="s">
        <v>1354</v>
      </c>
      <c r="B535" s="114">
        <v>2</v>
      </c>
      <c r="C535" s="116">
        <v>0.013840459570757756</v>
      </c>
      <c r="D535" s="114" t="s">
        <v>1041</v>
      </c>
      <c r="E535" s="114" t="b">
        <v>0</v>
      </c>
      <c r="F535" s="114" t="b">
        <v>0</v>
      </c>
      <c r="G535" s="114" t="b">
        <v>0</v>
      </c>
    </row>
    <row r="536" spans="1:7" ht="15">
      <c r="A536" s="114" t="s">
        <v>1093</v>
      </c>
      <c r="B536" s="114">
        <v>2</v>
      </c>
      <c r="C536" s="116">
        <v>0.013840459570757756</v>
      </c>
      <c r="D536" s="114" t="s">
        <v>1041</v>
      </c>
      <c r="E536" s="114" t="b">
        <v>0</v>
      </c>
      <c r="F536" s="114" t="b">
        <v>0</v>
      </c>
      <c r="G536" s="114" t="b">
        <v>0</v>
      </c>
    </row>
    <row r="537" spans="1:7" ht="15">
      <c r="A537" s="114" t="s">
        <v>1355</v>
      </c>
      <c r="B537" s="114">
        <v>2</v>
      </c>
      <c r="C537" s="116">
        <v>0.013840459570757756</v>
      </c>
      <c r="D537" s="114" t="s">
        <v>1041</v>
      </c>
      <c r="E537" s="114" t="b">
        <v>0</v>
      </c>
      <c r="F537" s="114" t="b">
        <v>0</v>
      </c>
      <c r="G537" s="114" t="b">
        <v>0</v>
      </c>
    </row>
    <row r="538" spans="1:7" ht="15">
      <c r="A538" s="114" t="s">
        <v>1356</v>
      </c>
      <c r="B538" s="114">
        <v>2</v>
      </c>
      <c r="C538" s="116">
        <v>0.006920229785378878</v>
      </c>
      <c r="D538" s="114" t="s">
        <v>1041</v>
      </c>
      <c r="E538" s="114" t="b">
        <v>0</v>
      </c>
      <c r="F538" s="114" t="b">
        <v>0</v>
      </c>
      <c r="G538" s="114" t="b">
        <v>0</v>
      </c>
    </row>
    <row r="539" spans="1:7" ht="15">
      <c r="A539" s="114" t="s">
        <v>1357</v>
      </c>
      <c r="B539" s="114">
        <v>2</v>
      </c>
      <c r="C539" s="116">
        <v>0.006920229785378878</v>
      </c>
      <c r="D539" s="114" t="s">
        <v>1041</v>
      </c>
      <c r="E539" s="114" t="b">
        <v>0</v>
      </c>
      <c r="F539" s="114" t="b">
        <v>0</v>
      </c>
      <c r="G539" s="114" t="b">
        <v>0</v>
      </c>
    </row>
    <row r="540" spans="1:7" ht="15">
      <c r="A540" s="114" t="s">
        <v>1126</v>
      </c>
      <c r="B540" s="114">
        <v>2</v>
      </c>
      <c r="C540" s="116">
        <v>0.006920229785378878</v>
      </c>
      <c r="D540" s="114" t="s">
        <v>1041</v>
      </c>
      <c r="E540" s="114" t="b">
        <v>0</v>
      </c>
      <c r="F540" s="114" t="b">
        <v>0</v>
      </c>
      <c r="G540" s="114" t="b">
        <v>0</v>
      </c>
    </row>
    <row r="541" spans="1:7" ht="15">
      <c r="A541" s="114" t="s">
        <v>1358</v>
      </c>
      <c r="B541" s="114">
        <v>2</v>
      </c>
      <c r="C541" s="116">
        <v>0.006920229785378878</v>
      </c>
      <c r="D541" s="114" t="s">
        <v>1041</v>
      </c>
      <c r="E541" s="114" t="b">
        <v>0</v>
      </c>
      <c r="F541" s="114" t="b">
        <v>0</v>
      </c>
      <c r="G541" s="114" t="b">
        <v>0</v>
      </c>
    </row>
    <row r="542" spans="1:7" ht="15">
      <c r="A542" s="114" t="s">
        <v>1110</v>
      </c>
      <c r="B542" s="114">
        <v>2</v>
      </c>
      <c r="C542" s="116">
        <v>0.006920229785378878</v>
      </c>
      <c r="D542" s="114" t="s">
        <v>1041</v>
      </c>
      <c r="E542" s="114" t="b">
        <v>0</v>
      </c>
      <c r="F542" s="114" t="b">
        <v>0</v>
      </c>
      <c r="G542" s="114" t="b">
        <v>0</v>
      </c>
    </row>
    <row r="543" spans="1:7" ht="15">
      <c r="A543" s="114" t="s">
        <v>1359</v>
      </c>
      <c r="B543" s="114">
        <v>2</v>
      </c>
      <c r="C543" s="116">
        <v>0.013840459570757756</v>
      </c>
      <c r="D543" s="114" t="s">
        <v>1041</v>
      </c>
      <c r="E543" s="114" t="b">
        <v>0</v>
      </c>
      <c r="F543" s="114" t="b">
        <v>0</v>
      </c>
      <c r="G543" s="114" t="b">
        <v>0</v>
      </c>
    </row>
    <row r="544" spans="1:7" ht="15">
      <c r="A544" s="114" t="s">
        <v>1079</v>
      </c>
      <c r="B544" s="114">
        <v>3</v>
      </c>
      <c r="C544" s="116">
        <v>0.047996971994947096</v>
      </c>
      <c r="D544" s="114" t="s">
        <v>1042</v>
      </c>
      <c r="E544" s="114" t="b">
        <v>0</v>
      </c>
      <c r="F544" s="114" t="b">
        <v>0</v>
      </c>
      <c r="G544" s="114" t="b">
        <v>0</v>
      </c>
    </row>
    <row r="545" spans="1:7" ht="15">
      <c r="A545" s="114" t="s">
        <v>1293</v>
      </c>
      <c r="B545" s="114">
        <v>2</v>
      </c>
      <c r="C545" s="116">
        <v>0.047310264726110926</v>
      </c>
      <c r="D545" s="114" t="s">
        <v>1042</v>
      </c>
      <c r="E545" s="114" t="b">
        <v>0</v>
      </c>
      <c r="F545" s="114" t="b">
        <v>0</v>
      </c>
      <c r="G545" s="114" t="b">
        <v>0</v>
      </c>
    </row>
    <row r="546" spans="1:7" ht="15">
      <c r="A546" s="114" t="s">
        <v>1190</v>
      </c>
      <c r="B546" s="114">
        <v>2</v>
      </c>
      <c r="C546" s="116">
        <v>0.047310264726110926</v>
      </c>
      <c r="D546" s="114" t="s">
        <v>1042</v>
      </c>
      <c r="E546" s="114" t="b">
        <v>0</v>
      </c>
      <c r="F546" s="114" t="b">
        <v>0</v>
      </c>
      <c r="G546" s="114" t="b">
        <v>0</v>
      </c>
    </row>
    <row r="547" spans="1:7" ht="15">
      <c r="A547" s="114" t="s">
        <v>1111</v>
      </c>
      <c r="B547" s="114">
        <v>2</v>
      </c>
      <c r="C547" s="116">
        <v>0.047310264726110926</v>
      </c>
      <c r="D547" s="114" t="s">
        <v>1042</v>
      </c>
      <c r="E547" s="114" t="b">
        <v>0</v>
      </c>
      <c r="F547" s="114" t="b">
        <v>0</v>
      </c>
      <c r="G547" s="114" t="b">
        <v>0</v>
      </c>
    </row>
    <row r="548" spans="1:7" ht="15">
      <c r="A548" s="114" t="s">
        <v>1127</v>
      </c>
      <c r="B548" s="114">
        <v>4</v>
      </c>
      <c r="C548" s="116">
        <v>0.03762874945799765</v>
      </c>
      <c r="D548" s="114" t="s">
        <v>1044</v>
      </c>
      <c r="E548" s="114" t="b">
        <v>0</v>
      </c>
      <c r="F548" s="114" t="b">
        <v>0</v>
      </c>
      <c r="G548" s="114" t="b">
        <v>0</v>
      </c>
    </row>
    <row r="549" spans="1:7" ht="15">
      <c r="A549" s="114" t="s">
        <v>1188</v>
      </c>
      <c r="B549" s="114">
        <v>2</v>
      </c>
      <c r="C549" s="116">
        <v>0.04863445314897773</v>
      </c>
      <c r="D549" s="114" t="s">
        <v>1044</v>
      </c>
      <c r="E549" s="114" t="b">
        <v>0</v>
      </c>
      <c r="F549" s="114" t="b">
        <v>0</v>
      </c>
      <c r="G549" s="114" t="b">
        <v>0</v>
      </c>
    </row>
    <row r="550" spans="1:7" ht="15">
      <c r="A550" s="114" t="s">
        <v>1179</v>
      </c>
      <c r="B550" s="114">
        <v>3</v>
      </c>
      <c r="C550" s="116">
        <v>0.021761204505829964</v>
      </c>
      <c r="D550" s="114" t="s">
        <v>1046</v>
      </c>
      <c r="E550" s="114" t="b">
        <v>0</v>
      </c>
      <c r="F550" s="114" t="b">
        <v>0</v>
      </c>
      <c r="G550" s="114" t="b">
        <v>0</v>
      </c>
    </row>
    <row r="551" spans="1:7" ht="15">
      <c r="A551" s="114" t="s">
        <v>1177</v>
      </c>
      <c r="B551" s="114">
        <v>2</v>
      </c>
      <c r="C551" s="116">
        <v>0.0072537348352766555</v>
      </c>
      <c r="D551" s="114" t="s">
        <v>1046</v>
      </c>
      <c r="E551" s="114" t="b">
        <v>0</v>
      </c>
      <c r="F551" s="114" t="b">
        <v>0</v>
      </c>
      <c r="G551" s="114" t="b">
        <v>0</v>
      </c>
    </row>
    <row r="552" spans="1:7" ht="15">
      <c r="A552" s="114" t="s">
        <v>1081</v>
      </c>
      <c r="B552" s="114">
        <v>2</v>
      </c>
      <c r="C552" s="116">
        <v>0.0072537348352766555</v>
      </c>
      <c r="D552" s="114" t="s">
        <v>1046</v>
      </c>
      <c r="E552" s="114" t="b">
        <v>0</v>
      </c>
      <c r="F552" s="114" t="b">
        <v>0</v>
      </c>
      <c r="G552" s="114" t="b">
        <v>0</v>
      </c>
    </row>
    <row r="553" spans="1:7" ht="15">
      <c r="A553" s="114" t="s">
        <v>1256</v>
      </c>
      <c r="B553" s="114">
        <v>2</v>
      </c>
      <c r="C553" s="116">
        <v>0.0072537348352766555</v>
      </c>
      <c r="D553" s="114" t="s">
        <v>1046</v>
      </c>
      <c r="E553" s="114" t="b">
        <v>0</v>
      </c>
      <c r="F553" s="114" t="b">
        <v>0</v>
      </c>
      <c r="G553" s="114" t="b">
        <v>0</v>
      </c>
    </row>
    <row r="554" spans="1:7" ht="15">
      <c r="A554" s="114" t="s">
        <v>1257</v>
      </c>
      <c r="B554" s="114">
        <v>2</v>
      </c>
      <c r="C554" s="116">
        <v>0.0072537348352766555</v>
      </c>
      <c r="D554" s="114" t="s">
        <v>1046</v>
      </c>
      <c r="E554" s="114" t="b">
        <v>0</v>
      </c>
      <c r="F554" s="114" t="b">
        <v>0</v>
      </c>
      <c r="G554" s="114" t="b">
        <v>0</v>
      </c>
    </row>
    <row r="555" spans="1:7" ht="15">
      <c r="A555" s="114" t="s">
        <v>1243</v>
      </c>
      <c r="B555" s="114">
        <v>2</v>
      </c>
      <c r="C555" s="116">
        <v>0.014507469670553311</v>
      </c>
      <c r="D555" s="114" t="s">
        <v>1046</v>
      </c>
      <c r="E555" s="114" t="b">
        <v>0</v>
      </c>
      <c r="F555" s="114" t="b">
        <v>0</v>
      </c>
      <c r="G555" s="114" t="b">
        <v>0</v>
      </c>
    </row>
    <row r="556" spans="1:7" ht="15">
      <c r="A556" s="114" t="s">
        <v>1245</v>
      </c>
      <c r="B556" s="114">
        <v>2</v>
      </c>
      <c r="C556" s="116">
        <v>0.014507469670553311</v>
      </c>
      <c r="D556" s="114" t="s">
        <v>1046</v>
      </c>
      <c r="E556" s="114" t="b">
        <v>0</v>
      </c>
      <c r="F556" s="114" t="b">
        <v>0</v>
      </c>
      <c r="G556" s="114" t="b">
        <v>0</v>
      </c>
    </row>
    <row r="557" spans="1:7" ht="15">
      <c r="A557" s="114" t="s">
        <v>1248</v>
      </c>
      <c r="B557" s="114">
        <v>2</v>
      </c>
      <c r="C557" s="116">
        <v>0.014507469670553311</v>
      </c>
      <c r="D557" s="114" t="s">
        <v>1046</v>
      </c>
      <c r="E557" s="114" t="b">
        <v>0</v>
      </c>
      <c r="F557" s="114" t="b">
        <v>0</v>
      </c>
      <c r="G557" s="114" t="b">
        <v>0</v>
      </c>
    </row>
    <row r="558" spans="1:7" ht="15">
      <c r="A558" s="114" t="s">
        <v>1250</v>
      </c>
      <c r="B558" s="114">
        <v>2</v>
      </c>
      <c r="C558" s="116">
        <v>0.014507469670553311</v>
      </c>
      <c r="D558" s="114" t="s">
        <v>1046</v>
      </c>
      <c r="E558" s="114" t="b">
        <v>0</v>
      </c>
      <c r="F558" s="114" t="b">
        <v>0</v>
      </c>
      <c r="G558" s="114" t="b">
        <v>0</v>
      </c>
    </row>
    <row r="559" spans="1:7" ht="15">
      <c r="A559" s="114" t="s">
        <v>1251</v>
      </c>
      <c r="B559" s="114">
        <v>2</v>
      </c>
      <c r="C559" s="116">
        <v>0.014507469670553311</v>
      </c>
      <c r="D559" s="114" t="s">
        <v>1046</v>
      </c>
      <c r="E559" s="114" t="b">
        <v>0</v>
      </c>
      <c r="F559" s="114" t="b">
        <v>0</v>
      </c>
      <c r="G559" s="114" t="b">
        <v>0</v>
      </c>
    </row>
    <row r="560" spans="1:7" ht="15">
      <c r="A560" s="114" t="s">
        <v>1253</v>
      </c>
      <c r="B560" s="114">
        <v>2</v>
      </c>
      <c r="C560" s="116">
        <v>0.014507469670553311</v>
      </c>
      <c r="D560" s="114" t="s">
        <v>1046</v>
      </c>
      <c r="E560" s="114" t="b">
        <v>0</v>
      </c>
      <c r="F560" s="114" t="b">
        <v>0</v>
      </c>
      <c r="G560" s="114" t="b">
        <v>0</v>
      </c>
    </row>
    <row r="561" spans="1:7" ht="15">
      <c r="A561" s="114" t="s">
        <v>1261</v>
      </c>
      <c r="B561" s="114">
        <v>2</v>
      </c>
      <c r="C561" s="116">
        <v>0</v>
      </c>
      <c r="D561" s="114" t="s">
        <v>1047</v>
      </c>
      <c r="E561" s="114" t="b">
        <v>0</v>
      </c>
      <c r="F561" s="114" t="b">
        <v>0</v>
      </c>
      <c r="G561" s="114" t="b">
        <v>0</v>
      </c>
    </row>
    <row r="562" spans="1:7" ht="15">
      <c r="A562" s="114" t="s">
        <v>1134</v>
      </c>
      <c r="B562" s="114">
        <v>2</v>
      </c>
      <c r="C562" s="116">
        <v>0.03010299956639812</v>
      </c>
      <c r="D562" s="114" t="s">
        <v>1047</v>
      </c>
      <c r="E562" s="114" t="b">
        <v>0</v>
      </c>
      <c r="F562" s="114" t="b">
        <v>0</v>
      </c>
      <c r="G562" s="114" t="b">
        <v>0</v>
      </c>
    </row>
    <row r="563" spans="1:7" ht="15">
      <c r="A563" s="114" t="s">
        <v>1370</v>
      </c>
      <c r="B563" s="114">
        <v>2</v>
      </c>
      <c r="C563" s="116">
        <v>0.0177076468037636</v>
      </c>
      <c r="D563" s="114" t="s">
        <v>1048</v>
      </c>
      <c r="E563" s="114" t="b">
        <v>0</v>
      </c>
      <c r="F563" s="114" t="b">
        <v>0</v>
      </c>
      <c r="G563" s="114" t="b">
        <v>0</v>
      </c>
    </row>
    <row r="564" spans="1:7" ht="15">
      <c r="A564" s="114" t="s">
        <v>1371</v>
      </c>
      <c r="B564" s="114">
        <v>2</v>
      </c>
      <c r="C564" s="116">
        <v>0.0177076468037636</v>
      </c>
      <c r="D564" s="114" t="s">
        <v>1048</v>
      </c>
      <c r="E564" s="114" t="b">
        <v>0</v>
      </c>
      <c r="F564" s="114" t="b">
        <v>0</v>
      </c>
      <c r="G564" s="114" t="b">
        <v>0</v>
      </c>
    </row>
    <row r="565" spans="1:7" ht="15">
      <c r="A565" s="114" t="s">
        <v>1106</v>
      </c>
      <c r="B565" s="114">
        <v>3</v>
      </c>
      <c r="C565" s="116">
        <v>0.018814374728998825</v>
      </c>
      <c r="D565" s="114" t="s">
        <v>1049</v>
      </c>
      <c r="E565" s="114" t="b">
        <v>0</v>
      </c>
      <c r="F565" s="114" t="b">
        <v>0</v>
      </c>
      <c r="G565" s="114" t="b">
        <v>0</v>
      </c>
    </row>
    <row r="566" spans="1:7" ht="15">
      <c r="A566" s="114" t="s">
        <v>1094</v>
      </c>
      <c r="B566" s="114">
        <v>2</v>
      </c>
      <c r="C566" s="116">
        <v>0</v>
      </c>
      <c r="D566" s="114" t="s">
        <v>1049</v>
      </c>
      <c r="E566" s="114" t="b">
        <v>0</v>
      </c>
      <c r="F566" s="114" t="b">
        <v>0</v>
      </c>
      <c r="G566" s="114" t="b">
        <v>0</v>
      </c>
    </row>
    <row r="567" spans="1:7" ht="15">
      <c r="A567" s="114" t="s">
        <v>1085</v>
      </c>
      <c r="B567" s="114">
        <v>2</v>
      </c>
      <c r="C567" s="116">
        <v>0</v>
      </c>
      <c r="D567" s="114" t="s">
        <v>1049</v>
      </c>
      <c r="E567" s="114" t="b">
        <v>0</v>
      </c>
      <c r="F567" s="114" t="b">
        <v>0</v>
      </c>
      <c r="G567" s="114" t="b">
        <v>0</v>
      </c>
    </row>
    <row r="568" spans="1:7" ht="15">
      <c r="A568" s="114" t="s">
        <v>1135</v>
      </c>
      <c r="B568" s="114">
        <v>2</v>
      </c>
      <c r="C568" s="116">
        <v>0.012542916485999216</v>
      </c>
      <c r="D568" s="114" t="s">
        <v>1049</v>
      </c>
      <c r="E568" s="114" t="b">
        <v>0</v>
      </c>
      <c r="F568" s="114" t="b">
        <v>0</v>
      </c>
      <c r="G568" s="114" t="b">
        <v>0</v>
      </c>
    </row>
    <row r="569" spans="1:7" ht="15">
      <c r="A569" s="114" t="s">
        <v>1092</v>
      </c>
      <c r="B569" s="114">
        <v>7</v>
      </c>
      <c r="C569" s="116">
        <v>0</v>
      </c>
      <c r="D569" s="114" t="s">
        <v>1050</v>
      </c>
      <c r="E569" s="114" t="b">
        <v>0</v>
      </c>
      <c r="F569" s="114" t="b">
        <v>0</v>
      </c>
      <c r="G569" s="114" t="b">
        <v>0</v>
      </c>
    </row>
    <row r="570" spans="1:7" ht="15">
      <c r="A570" s="114" t="s">
        <v>1102</v>
      </c>
      <c r="B570" s="114">
        <v>7</v>
      </c>
      <c r="C570" s="116">
        <v>0</v>
      </c>
      <c r="D570" s="114" t="s">
        <v>1050</v>
      </c>
      <c r="E570" s="114" t="b">
        <v>0</v>
      </c>
      <c r="F570" s="114" t="b">
        <v>0</v>
      </c>
      <c r="G570" s="114" t="b">
        <v>0</v>
      </c>
    </row>
    <row r="571" spans="1:7" ht="15">
      <c r="A571" s="114" t="s">
        <v>1112</v>
      </c>
      <c r="B571" s="114">
        <v>6</v>
      </c>
      <c r="C571" s="116">
        <v>0</v>
      </c>
      <c r="D571" s="114" t="s">
        <v>1050</v>
      </c>
      <c r="E571" s="114" t="b">
        <v>0</v>
      </c>
      <c r="F571" s="114" t="b">
        <v>0</v>
      </c>
      <c r="G571" s="114" t="b">
        <v>0</v>
      </c>
    </row>
    <row r="572" spans="1:7" ht="15">
      <c r="A572" s="114" t="s">
        <v>1084</v>
      </c>
      <c r="B572" s="114">
        <v>6</v>
      </c>
      <c r="C572" s="116">
        <v>0</v>
      </c>
      <c r="D572" s="114" t="s">
        <v>1050</v>
      </c>
      <c r="E572" s="114" t="b">
        <v>0</v>
      </c>
      <c r="F572" s="114" t="b">
        <v>0</v>
      </c>
      <c r="G572" s="114" t="b">
        <v>0</v>
      </c>
    </row>
    <row r="573" spans="1:7" ht="15">
      <c r="A573" s="114" t="s">
        <v>1081</v>
      </c>
      <c r="B573" s="114">
        <v>5</v>
      </c>
      <c r="C573" s="116">
        <v>0</v>
      </c>
      <c r="D573" s="114" t="s">
        <v>1050</v>
      </c>
      <c r="E573" s="114" t="b">
        <v>0</v>
      </c>
      <c r="F573" s="114" t="b">
        <v>0</v>
      </c>
      <c r="G573" s="114" t="b">
        <v>0</v>
      </c>
    </row>
    <row r="574" spans="1:7" ht="15">
      <c r="A574" s="114" t="s">
        <v>1098</v>
      </c>
      <c r="B574" s="114">
        <v>5</v>
      </c>
      <c r="C574" s="116">
        <v>0</v>
      </c>
      <c r="D574" s="114" t="s">
        <v>1050</v>
      </c>
      <c r="E574" s="114" t="b">
        <v>0</v>
      </c>
      <c r="F574" s="114" t="b">
        <v>0</v>
      </c>
      <c r="G574" s="114" t="b">
        <v>0</v>
      </c>
    </row>
    <row r="575" spans="1:7" ht="15">
      <c r="A575" s="114" t="s">
        <v>1124</v>
      </c>
      <c r="B575" s="114">
        <v>4</v>
      </c>
      <c r="C575" s="116">
        <v>0</v>
      </c>
      <c r="D575" s="114" t="s">
        <v>1050</v>
      </c>
      <c r="E575" s="114" t="b">
        <v>0</v>
      </c>
      <c r="F575" s="114" t="b">
        <v>0</v>
      </c>
      <c r="G575" s="114" t="b">
        <v>0</v>
      </c>
    </row>
    <row r="576" spans="1:7" ht="15">
      <c r="A576" s="114" t="s">
        <v>1117</v>
      </c>
      <c r="B576" s="114">
        <v>4</v>
      </c>
      <c r="C576" s="116">
        <v>0.003726799133453571</v>
      </c>
      <c r="D576" s="114" t="s">
        <v>1050</v>
      </c>
      <c r="E576" s="114" t="b">
        <v>0</v>
      </c>
      <c r="F576" s="114" t="b">
        <v>0</v>
      </c>
      <c r="G576" s="114" t="b">
        <v>0</v>
      </c>
    </row>
    <row r="577" spans="1:7" ht="15">
      <c r="A577" s="114" t="s">
        <v>1148</v>
      </c>
      <c r="B577" s="114">
        <v>4</v>
      </c>
      <c r="C577" s="116">
        <v>0</v>
      </c>
      <c r="D577" s="114" t="s">
        <v>1050</v>
      </c>
      <c r="E577" s="114" t="b">
        <v>0</v>
      </c>
      <c r="F577" s="114" t="b">
        <v>0</v>
      </c>
      <c r="G577" s="114" t="b">
        <v>0</v>
      </c>
    </row>
    <row r="578" spans="1:7" ht="15">
      <c r="A578" s="114" t="s">
        <v>1104</v>
      </c>
      <c r="B578" s="114">
        <v>3</v>
      </c>
      <c r="C578" s="116">
        <v>0.0027950993500901783</v>
      </c>
      <c r="D578" s="114" t="s">
        <v>1050</v>
      </c>
      <c r="E578" s="114" t="b">
        <v>0</v>
      </c>
      <c r="F578" s="114" t="b">
        <v>0</v>
      </c>
      <c r="G578" s="114" t="b">
        <v>0</v>
      </c>
    </row>
    <row r="579" spans="1:7" ht="15">
      <c r="A579" s="114" t="s">
        <v>1295</v>
      </c>
      <c r="B579" s="114">
        <v>2</v>
      </c>
      <c r="C579" s="116">
        <v>0.0050489021663456335</v>
      </c>
      <c r="D579" s="114" t="s">
        <v>1050</v>
      </c>
      <c r="E579" s="114" t="b">
        <v>0</v>
      </c>
      <c r="F579" s="114" t="b">
        <v>0</v>
      </c>
      <c r="G579" s="114" t="b">
        <v>0</v>
      </c>
    </row>
    <row r="580" spans="1:7" ht="15">
      <c r="A580" s="114" t="s">
        <v>1101</v>
      </c>
      <c r="B580" s="114">
        <v>2</v>
      </c>
      <c r="C580" s="116">
        <v>0.0050489021663456335</v>
      </c>
      <c r="D580" s="114" t="s">
        <v>1050</v>
      </c>
      <c r="E580" s="114" t="b">
        <v>0</v>
      </c>
      <c r="F580" s="114" t="b">
        <v>0</v>
      </c>
      <c r="G580" s="114" t="b">
        <v>0</v>
      </c>
    </row>
    <row r="581" spans="1:7" ht="15">
      <c r="A581" s="114" t="s">
        <v>1192</v>
      </c>
      <c r="B581" s="114">
        <v>2</v>
      </c>
      <c r="C581" s="116">
        <v>0.0018633995667267855</v>
      </c>
      <c r="D581" s="114" t="s">
        <v>1050</v>
      </c>
      <c r="E581" s="114" t="b">
        <v>0</v>
      </c>
      <c r="F581" s="114" t="b">
        <v>0</v>
      </c>
      <c r="G581" s="114" t="b">
        <v>0</v>
      </c>
    </row>
    <row r="582" spans="1:7" ht="15">
      <c r="A582" s="114" t="s">
        <v>1296</v>
      </c>
      <c r="B582" s="114">
        <v>2</v>
      </c>
      <c r="C582" s="116">
        <v>0.0050489021663456335</v>
      </c>
      <c r="D582" s="114" t="s">
        <v>1050</v>
      </c>
      <c r="E582" s="114" t="b">
        <v>0</v>
      </c>
      <c r="F582" s="114" t="b">
        <v>0</v>
      </c>
      <c r="G582" s="114" t="b">
        <v>0</v>
      </c>
    </row>
    <row r="583" spans="1:7" ht="15">
      <c r="A583" s="114" t="s">
        <v>1166</v>
      </c>
      <c r="B583" s="114">
        <v>2</v>
      </c>
      <c r="C583" s="116">
        <v>0.0050489021663456335</v>
      </c>
      <c r="D583" s="114" t="s">
        <v>1050</v>
      </c>
      <c r="E583" s="114" t="b">
        <v>0</v>
      </c>
      <c r="F583" s="114" t="b">
        <v>0</v>
      </c>
      <c r="G583" s="114" t="b">
        <v>0</v>
      </c>
    </row>
    <row r="584" spans="1:7" ht="15">
      <c r="A584" s="114" t="s">
        <v>1297</v>
      </c>
      <c r="B584" s="114">
        <v>2</v>
      </c>
      <c r="C584" s="116">
        <v>0.0018633995667267855</v>
      </c>
      <c r="D584" s="114" t="s">
        <v>1050</v>
      </c>
      <c r="E584" s="114" t="b">
        <v>0</v>
      </c>
      <c r="F584" s="114" t="b">
        <v>0</v>
      </c>
      <c r="G584" s="114" t="b">
        <v>0</v>
      </c>
    </row>
    <row r="585" spans="1:7" ht="15">
      <c r="A585" s="114" t="s">
        <v>1298</v>
      </c>
      <c r="B585" s="114">
        <v>2</v>
      </c>
      <c r="C585" s="116">
        <v>0.0050489021663456335</v>
      </c>
      <c r="D585" s="114" t="s">
        <v>1050</v>
      </c>
      <c r="E585" s="114" t="b">
        <v>0</v>
      </c>
      <c r="F585" s="114" t="b">
        <v>0</v>
      </c>
      <c r="G585" s="114" t="b">
        <v>0</v>
      </c>
    </row>
    <row r="586" spans="1:7" ht="15">
      <c r="A586" s="114" t="s">
        <v>1299</v>
      </c>
      <c r="B586" s="114">
        <v>2</v>
      </c>
      <c r="C586" s="116">
        <v>0.0050489021663456335</v>
      </c>
      <c r="D586" s="114" t="s">
        <v>1050</v>
      </c>
      <c r="E586" s="114" t="b">
        <v>0</v>
      </c>
      <c r="F586" s="114" t="b">
        <v>0</v>
      </c>
      <c r="G586" s="114" t="b">
        <v>0</v>
      </c>
    </row>
    <row r="587" spans="1:7" ht="15">
      <c r="A587" s="114" t="s">
        <v>1301</v>
      </c>
      <c r="B587" s="114">
        <v>2</v>
      </c>
      <c r="C587" s="116">
        <v>0.0050489021663456335</v>
      </c>
      <c r="D587" s="114" t="s">
        <v>1050</v>
      </c>
      <c r="E587" s="114" t="b">
        <v>0</v>
      </c>
      <c r="F587" s="114" t="b">
        <v>0</v>
      </c>
      <c r="G587" s="114" t="b">
        <v>0</v>
      </c>
    </row>
    <row r="588" spans="1:7" ht="15">
      <c r="A588" s="114" t="s">
        <v>1302</v>
      </c>
      <c r="B588" s="114">
        <v>2</v>
      </c>
      <c r="C588" s="116">
        <v>0.0050489021663456335</v>
      </c>
      <c r="D588" s="114" t="s">
        <v>1050</v>
      </c>
      <c r="E588" s="114" t="b">
        <v>0</v>
      </c>
      <c r="F588" s="114" t="b">
        <v>0</v>
      </c>
      <c r="G588" s="114" t="b">
        <v>0</v>
      </c>
    </row>
    <row r="589" spans="1:7" ht="15">
      <c r="A589" s="114" t="s">
        <v>1303</v>
      </c>
      <c r="B589" s="114">
        <v>2</v>
      </c>
      <c r="C589" s="116">
        <v>0.0050489021663456335</v>
      </c>
      <c r="D589" s="114" t="s">
        <v>1050</v>
      </c>
      <c r="E589" s="114" t="b">
        <v>0</v>
      </c>
      <c r="F589" s="114" t="b">
        <v>0</v>
      </c>
      <c r="G589" s="114" t="b">
        <v>0</v>
      </c>
    </row>
    <row r="590" spans="1:7" ht="15">
      <c r="A590" s="114" t="s">
        <v>1306</v>
      </c>
      <c r="B590" s="114">
        <v>2</v>
      </c>
      <c r="C590" s="116">
        <v>0.0018633995667267855</v>
      </c>
      <c r="D590" s="114" t="s">
        <v>1050</v>
      </c>
      <c r="E590" s="114" t="b">
        <v>0</v>
      </c>
      <c r="F590" s="114" t="b">
        <v>0</v>
      </c>
      <c r="G590" s="114" t="b">
        <v>0</v>
      </c>
    </row>
    <row r="591" spans="1:7" ht="15">
      <c r="A591" s="114" t="s">
        <v>1307</v>
      </c>
      <c r="B591" s="114">
        <v>2</v>
      </c>
      <c r="C591" s="116">
        <v>0.0018633995667267855</v>
      </c>
      <c r="D591" s="114" t="s">
        <v>1050</v>
      </c>
      <c r="E591" s="114" t="b">
        <v>0</v>
      </c>
      <c r="F591" s="114" t="b">
        <v>0</v>
      </c>
      <c r="G591" s="114" t="b">
        <v>0</v>
      </c>
    </row>
    <row r="592" spans="1:7" ht="15">
      <c r="A592" s="114" t="s">
        <v>1309</v>
      </c>
      <c r="B592" s="114">
        <v>2</v>
      </c>
      <c r="C592" s="116">
        <v>0.0018633995667267855</v>
      </c>
      <c r="D592" s="114" t="s">
        <v>1050</v>
      </c>
      <c r="E592" s="114" t="b">
        <v>0</v>
      </c>
      <c r="F592" s="114" t="b">
        <v>0</v>
      </c>
      <c r="G592" s="114" t="b">
        <v>0</v>
      </c>
    </row>
    <row r="593" spans="1:7" ht="15">
      <c r="A593" s="114" t="s">
        <v>1312</v>
      </c>
      <c r="B593" s="114">
        <v>2</v>
      </c>
      <c r="C593" s="116">
        <v>0.0050489021663456335</v>
      </c>
      <c r="D593" s="114" t="s">
        <v>1050</v>
      </c>
      <c r="E593" s="114" t="b">
        <v>0</v>
      </c>
      <c r="F593" s="114" t="b">
        <v>0</v>
      </c>
      <c r="G593" s="114" t="b">
        <v>0</v>
      </c>
    </row>
    <row r="594" spans="1:7" ht="15">
      <c r="A594" s="114" t="s">
        <v>1313</v>
      </c>
      <c r="B594" s="114">
        <v>2</v>
      </c>
      <c r="C594" s="116">
        <v>0.0050489021663456335</v>
      </c>
      <c r="D594" s="114" t="s">
        <v>1050</v>
      </c>
      <c r="E594" s="114" t="b">
        <v>0</v>
      </c>
      <c r="F594" s="114" t="b">
        <v>0</v>
      </c>
      <c r="G594" s="114" t="b">
        <v>0</v>
      </c>
    </row>
    <row r="595" spans="1:7" ht="15">
      <c r="A595" s="114" t="s">
        <v>1149</v>
      </c>
      <c r="B595" s="114">
        <v>2</v>
      </c>
      <c r="C595" s="116">
        <v>0.0050489021663456335</v>
      </c>
      <c r="D595" s="114" t="s">
        <v>1050</v>
      </c>
      <c r="E595" s="114" t="b">
        <v>0</v>
      </c>
      <c r="F595" s="114" t="b">
        <v>0</v>
      </c>
      <c r="G595" s="114" t="b">
        <v>0</v>
      </c>
    </row>
    <row r="596" spans="1:7" ht="15">
      <c r="A596" s="114" t="s">
        <v>1114</v>
      </c>
      <c r="B596" s="114">
        <v>2</v>
      </c>
      <c r="C596" s="116">
        <v>0.0050489021663456335</v>
      </c>
      <c r="D596" s="114" t="s">
        <v>1050</v>
      </c>
      <c r="E596" s="114" t="b">
        <v>0</v>
      </c>
      <c r="F596" s="114" t="b">
        <v>0</v>
      </c>
      <c r="G596" s="114" t="b">
        <v>0</v>
      </c>
    </row>
    <row r="597" spans="1:7" ht="15">
      <c r="A597" s="114" t="s">
        <v>1314</v>
      </c>
      <c r="B597" s="114">
        <v>2</v>
      </c>
      <c r="C597" s="116">
        <v>0.0050489021663456335</v>
      </c>
      <c r="D597" s="114" t="s">
        <v>1050</v>
      </c>
      <c r="E597" s="114" t="b">
        <v>0</v>
      </c>
      <c r="F597" s="114" t="b">
        <v>0</v>
      </c>
      <c r="G597" s="114" t="b">
        <v>0</v>
      </c>
    </row>
    <row r="598" spans="1:7" ht="15">
      <c r="A598" s="114" t="s">
        <v>1316</v>
      </c>
      <c r="B598" s="114">
        <v>2</v>
      </c>
      <c r="C598" s="116">
        <v>0.0050489021663456335</v>
      </c>
      <c r="D598" s="114" t="s">
        <v>1050</v>
      </c>
      <c r="E598" s="114" t="b">
        <v>0</v>
      </c>
      <c r="F598" s="114" t="b">
        <v>0</v>
      </c>
      <c r="G598" s="114" t="b">
        <v>0</v>
      </c>
    </row>
    <row r="599" spans="1:7" ht="15">
      <c r="A599" s="114" t="s">
        <v>1325</v>
      </c>
      <c r="B599" s="114">
        <v>2</v>
      </c>
      <c r="C599" s="116">
        <v>0</v>
      </c>
      <c r="D599" s="114" t="s">
        <v>1051</v>
      </c>
      <c r="E599" s="114" t="b">
        <v>0</v>
      </c>
      <c r="F599" s="114" t="b">
        <v>0</v>
      </c>
      <c r="G599" s="11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D235-C4FC-4F2C-B586-F1AAEF5AD263}">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1400</v>
      </c>
      <c r="B1" s="13" t="s">
        <v>1401</v>
      </c>
      <c r="C1" s="13" t="s">
        <v>1391</v>
      </c>
      <c r="D1" s="13" t="s">
        <v>1395</v>
      </c>
      <c r="E1" s="13" t="s">
        <v>1402</v>
      </c>
      <c r="F1" s="13" t="s">
        <v>144</v>
      </c>
      <c r="G1" s="13" t="s">
        <v>1403</v>
      </c>
      <c r="H1" s="13" t="s">
        <v>1404</v>
      </c>
      <c r="I1" s="13" t="s">
        <v>1405</v>
      </c>
      <c r="J1" s="13" t="s">
        <v>1406</v>
      </c>
      <c r="K1" s="13" t="s">
        <v>1407</v>
      </c>
      <c r="L1" s="13" t="s">
        <v>1408</v>
      </c>
    </row>
    <row r="2" spans="1:12" ht="15">
      <c r="A2" s="114" t="s">
        <v>1077</v>
      </c>
      <c r="B2" s="114" t="s">
        <v>1090</v>
      </c>
      <c r="C2" s="114">
        <v>10</v>
      </c>
      <c r="D2" s="116">
        <v>0.008049431051080285</v>
      </c>
      <c r="E2" s="116">
        <v>1.5273830569266384</v>
      </c>
      <c r="F2" s="114" t="s">
        <v>1396</v>
      </c>
      <c r="G2" s="114" t="b">
        <v>0</v>
      </c>
      <c r="H2" s="114" t="b">
        <v>0</v>
      </c>
      <c r="I2" s="114" t="b">
        <v>0</v>
      </c>
      <c r="J2" s="114" t="b">
        <v>0</v>
      </c>
      <c r="K2" s="114" t="b">
        <v>0</v>
      </c>
      <c r="L2" s="114" t="b">
        <v>0</v>
      </c>
    </row>
    <row r="3" spans="1:12" ht="15">
      <c r="A3" s="114" t="s">
        <v>1077</v>
      </c>
      <c r="B3" s="114" t="s">
        <v>1088</v>
      </c>
      <c r="C3" s="114">
        <v>7</v>
      </c>
      <c r="D3" s="116">
        <v>0.005861006436728764</v>
      </c>
      <c r="E3" s="116">
        <v>1.3724810969408954</v>
      </c>
      <c r="F3" s="114" t="s">
        <v>1396</v>
      </c>
      <c r="G3" s="114" t="b">
        <v>0</v>
      </c>
      <c r="H3" s="114" t="b">
        <v>0</v>
      </c>
      <c r="I3" s="114" t="b">
        <v>0</v>
      </c>
      <c r="J3" s="114" t="b">
        <v>0</v>
      </c>
      <c r="K3" s="114" t="b">
        <v>0</v>
      </c>
      <c r="L3" s="114" t="b">
        <v>0</v>
      </c>
    </row>
    <row r="4" spans="1:12" ht="15">
      <c r="A4" s="114" t="s">
        <v>1083</v>
      </c>
      <c r="B4" s="114" t="s">
        <v>1087</v>
      </c>
      <c r="C4" s="114">
        <v>5</v>
      </c>
      <c r="D4" s="116">
        <v>0.004593929085651477</v>
      </c>
      <c r="E4" s="116">
        <v>2.041118422767106</v>
      </c>
      <c r="F4" s="114" t="s">
        <v>1396</v>
      </c>
      <c r="G4" s="114" t="b">
        <v>0</v>
      </c>
      <c r="H4" s="114" t="b">
        <v>0</v>
      </c>
      <c r="I4" s="114" t="b">
        <v>0</v>
      </c>
      <c r="J4" s="114" t="b">
        <v>0</v>
      </c>
      <c r="K4" s="114" t="b">
        <v>0</v>
      </c>
      <c r="L4" s="114" t="b">
        <v>0</v>
      </c>
    </row>
    <row r="5" spans="1:12" ht="15">
      <c r="A5" s="114" t="s">
        <v>1094</v>
      </c>
      <c r="B5" s="114" t="s">
        <v>1085</v>
      </c>
      <c r="C5" s="114">
        <v>5</v>
      </c>
      <c r="D5" s="116">
        <v>0.004593929085651477</v>
      </c>
      <c r="E5" s="116">
        <v>2.011960194025893</v>
      </c>
      <c r="F5" s="114" t="s">
        <v>1396</v>
      </c>
      <c r="G5" s="114" t="b">
        <v>0</v>
      </c>
      <c r="H5" s="114" t="b">
        <v>0</v>
      </c>
      <c r="I5" s="114" t="b">
        <v>0</v>
      </c>
      <c r="J5" s="114" t="b">
        <v>0</v>
      </c>
      <c r="K5" s="114" t="b">
        <v>0</v>
      </c>
      <c r="L5" s="114" t="b">
        <v>0</v>
      </c>
    </row>
    <row r="6" spans="1:12" ht="15">
      <c r="A6" s="114" t="s">
        <v>1119</v>
      </c>
      <c r="B6" s="114" t="s">
        <v>1095</v>
      </c>
      <c r="C6" s="114">
        <v>5</v>
      </c>
      <c r="D6" s="116">
        <v>0.005703633515857941</v>
      </c>
      <c r="E6" s="116">
        <v>2.296390927870412</v>
      </c>
      <c r="F6" s="114" t="s">
        <v>1396</v>
      </c>
      <c r="G6" s="114" t="b">
        <v>0</v>
      </c>
      <c r="H6" s="114" t="b">
        <v>0</v>
      </c>
      <c r="I6" s="114" t="b">
        <v>0</v>
      </c>
      <c r="J6" s="114" t="b">
        <v>0</v>
      </c>
      <c r="K6" s="114" t="b">
        <v>0</v>
      </c>
      <c r="L6" s="114" t="b">
        <v>0</v>
      </c>
    </row>
    <row r="7" spans="1:12" ht="15">
      <c r="A7" s="114" t="s">
        <v>1121</v>
      </c>
      <c r="B7" s="114" t="s">
        <v>1122</v>
      </c>
      <c r="C7" s="114">
        <v>4</v>
      </c>
      <c r="D7" s="116">
        <v>0.004170065186237538</v>
      </c>
      <c r="E7" s="116">
        <v>2.4036008975182805</v>
      </c>
      <c r="F7" s="114" t="s">
        <v>1396</v>
      </c>
      <c r="G7" s="114" t="b">
        <v>0</v>
      </c>
      <c r="H7" s="114" t="b">
        <v>0</v>
      </c>
      <c r="I7" s="114" t="b">
        <v>0</v>
      </c>
      <c r="J7" s="114" t="b">
        <v>0</v>
      </c>
      <c r="K7" s="114" t="b">
        <v>0</v>
      </c>
      <c r="L7" s="114" t="b">
        <v>0</v>
      </c>
    </row>
    <row r="8" spans="1:12" ht="15">
      <c r="A8" s="114" t="s">
        <v>1145</v>
      </c>
      <c r="B8" s="114" t="s">
        <v>1077</v>
      </c>
      <c r="C8" s="114">
        <v>4</v>
      </c>
      <c r="D8" s="116">
        <v>0.004562906812686353</v>
      </c>
      <c r="E8" s="116">
        <v>1.5182396774867686</v>
      </c>
      <c r="F8" s="114" t="s">
        <v>1396</v>
      </c>
      <c r="G8" s="114" t="b">
        <v>0</v>
      </c>
      <c r="H8" s="114" t="b">
        <v>0</v>
      </c>
      <c r="I8" s="114" t="b">
        <v>0</v>
      </c>
      <c r="J8" s="114" t="b">
        <v>0</v>
      </c>
      <c r="K8" s="114" t="b">
        <v>0</v>
      </c>
      <c r="L8" s="114" t="b">
        <v>0</v>
      </c>
    </row>
    <row r="9" spans="1:12" ht="15">
      <c r="A9" s="114" t="s">
        <v>1077</v>
      </c>
      <c r="B9" s="114" t="s">
        <v>1146</v>
      </c>
      <c r="C9" s="114">
        <v>4</v>
      </c>
      <c r="D9" s="116">
        <v>0.004562906812686353</v>
      </c>
      <c r="E9" s="116">
        <v>1.5273830569266384</v>
      </c>
      <c r="F9" s="114" t="s">
        <v>1396</v>
      </c>
      <c r="G9" s="114" t="b">
        <v>0</v>
      </c>
      <c r="H9" s="114" t="b">
        <v>0</v>
      </c>
      <c r="I9" s="114" t="b">
        <v>0</v>
      </c>
      <c r="J9" s="114" t="b">
        <v>0</v>
      </c>
      <c r="K9" s="114" t="b">
        <v>0</v>
      </c>
      <c r="L9" s="114" t="b">
        <v>0</v>
      </c>
    </row>
    <row r="10" spans="1:12" ht="15">
      <c r="A10" s="114" t="s">
        <v>1146</v>
      </c>
      <c r="B10" s="114" t="s">
        <v>1079</v>
      </c>
      <c r="C10" s="114">
        <v>4</v>
      </c>
      <c r="D10" s="116">
        <v>0.004562906812686353</v>
      </c>
      <c r="E10" s="116">
        <v>1.969031993484082</v>
      </c>
      <c r="F10" s="114" t="s">
        <v>1396</v>
      </c>
      <c r="G10" s="114" t="b">
        <v>0</v>
      </c>
      <c r="H10" s="114" t="b">
        <v>0</v>
      </c>
      <c r="I10" s="114" t="b">
        <v>0</v>
      </c>
      <c r="J10" s="114" t="b">
        <v>0</v>
      </c>
      <c r="K10" s="114" t="b">
        <v>0</v>
      </c>
      <c r="L10" s="114" t="b">
        <v>0</v>
      </c>
    </row>
    <row r="11" spans="1:12" ht="15">
      <c r="A11" s="114" t="s">
        <v>1079</v>
      </c>
      <c r="B11" s="114" t="s">
        <v>1147</v>
      </c>
      <c r="C11" s="114">
        <v>4</v>
      </c>
      <c r="D11" s="116">
        <v>0.004562906812686353</v>
      </c>
      <c r="E11" s="116">
        <v>2.0233896558066746</v>
      </c>
      <c r="F11" s="114" t="s">
        <v>1396</v>
      </c>
      <c r="G11" s="114" t="b">
        <v>0</v>
      </c>
      <c r="H11" s="114" t="b">
        <v>0</v>
      </c>
      <c r="I11" s="114" t="b">
        <v>0</v>
      </c>
      <c r="J11" s="114" t="b">
        <v>0</v>
      </c>
      <c r="K11" s="114" t="b">
        <v>0</v>
      </c>
      <c r="L11" s="114" t="b">
        <v>0</v>
      </c>
    </row>
    <row r="12" spans="1:12" ht="15">
      <c r="A12" s="114" t="s">
        <v>1147</v>
      </c>
      <c r="B12" s="114" t="s">
        <v>1096</v>
      </c>
      <c r="C12" s="114">
        <v>4</v>
      </c>
      <c r="D12" s="116">
        <v>0.004562906812686353</v>
      </c>
      <c r="E12" s="116">
        <v>2.421329664478712</v>
      </c>
      <c r="F12" s="114" t="s">
        <v>1396</v>
      </c>
      <c r="G12" s="114" t="b">
        <v>0</v>
      </c>
      <c r="H12" s="114" t="b">
        <v>0</v>
      </c>
      <c r="I12" s="114" t="b">
        <v>0</v>
      </c>
      <c r="J12" s="114" t="b">
        <v>0</v>
      </c>
      <c r="K12" s="114" t="b">
        <v>0</v>
      </c>
      <c r="L12" s="114" t="b">
        <v>0</v>
      </c>
    </row>
    <row r="13" spans="1:12" ht="15">
      <c r="A13" s="114" t="s">
        <v>1124</v>
      </c>
      <c r="B13" s="114" t="s">
        <v>1092</v>
      </c>
      <c r="C13" s="114">
        <v>4</v>
      </c>
      <c r="D13" s="116">
        <v>0.004170065186237538</v>
      </c>
      <c r="E13" s="116">
        <v>2.1025709018542993</v>
      </c>
      <c r="F13" s="114" t="s">
        <v>1396</v>
      </c>
      <c r="G13" s="114" t="b">
        <v>0</v>
      </c>
      <c r="H13" s="114" t="b">
        <v>0</v>
      </c>
      <c r="I13" s="114" t="b">
        <v>0</v>
      </c>
      <c r="J13" s="114" t="b">
        <v>0</v>
      </c>
      <c r="K13" s="114" t="b">
        <v>0</v>
      </c>
      <c r="L13" s="114" t="b">
        <v>0</v>
      </c>
    </row>
    <row r="14" spans="1:12" ht="15">
      <c r="A14" s="114" t="s">
        <v>1083</v>
      </c>
      <c r="B14" s="114" t="s">
        <v>1165</v>
      </c>
      <c r="C14" s="114">
        <v>3</v>
      </c>
      <c r="D14" s="116">
        <v>0.0031275488896781536</v>
      </c>
      <c r="E14" s="116">
        <v>2.1202996688147313</v>
      </c>
      <c r="F14" s="114" t="s">
        <v>1396</v>
      </c>
      <c r="G14" s="114" t="b">
        <v>0</v>
      </c>
      <c r="H14" s="114" t="b">
        <v>0</v>
      </c>
      <c r="I14" s="114" t="b">
        <v>0</v>
      </c>
      <c r="J14" s="114" t="b">
        <v>0</v>
      </c>
      <c r="K14" s="114" t="b">
        <v>0</v>
      </c>
      <c r="L14" s="114" t="b">
        <v>0</v>
      </c>
    </row>
    <row r="15" spans="1:12" ht="15">
      <c r="A15" s="114" t="s">
        <v>1128</v>
      </c>
      <c r="B15" s="114" t="s">
        <v>1115</v>
      </c>
      <c r="C15" s="114">
        <v>3</v>
      </c>
      <c r="D15" s="116">
        <v>0.0031275488896781536</v>
      </c>
      <c r="E15" s="116">
        <v>2.5005109105263372</v>
      </c>
      <c r="F15" s="114" t="s">
        <v>1396</v>
      </c>
      <c r="G15" s="114" t="b">
        <v>0</v>
      </c>
      <c r="H15" s="114" t="b">
        <v>0</v>
      </c>
      <c r="I15" s="114" t="b">
        <v>0</v>
      </c>
      <c r="J15" s="114" t="b">
        <v>0</v>
      </c>
      <c r="K15" s="114" t="b">
        <v>0</v>
      </c>
      <c r="L15" s="114" t="b">
        <v>0</v>
      </c>
    </row>
    <row r="16" spans="1:12" ht="15">
      <c r="A16" s="114" t="s">
        <v>1120</v>
      </c>
      <c r="B16" s="114" t="s">
        <v>1078</v>
      </c>
      <c r="C16" s="114">
        <v>3</v>
      </c>
      <c r="D16" s="116">
        <v>0.0031275488896781536</v>
      </c>
      <c r="E16" s="116">
        <v>1.6352094844237932</v>
      </c>
      <c r="F16" s="114" t="s">
        <v>1396</v>
      </c>
      <c r="G16" s="114" t="b">
        <v>0</v>
      </c>
      <c r="H16" s="114" t="b">
        <v>0</v>
      </c>
      <c r="I16" s="114" t="b">
        <v>0</v>
      </c>
      <c r="J16" s="114" t="b">
        <v>0</v>
      </c>
      <c r="K16" s="114" t="b">
        <v>0</v>
      </c>
      <c r="L16" s="114" t="b">
        <v>0</v>
      </c>
    </row>
    <row r="17" spans="1:12" ht="15">
      <c r="A17" s="114" t="s">
        <v>1082</v>
      </c>
      <c r="B17" s="114" t="s">
        <v>1077</v>
      </c>
      <c r="C17" s="114">
        <v>3</v>
      </c>
      <c r="D17" s="116">
        <v>0.0031275488896781536</v>
      </c>
      <c r="E17" s="116">
        <v>0.8814175798995944</v>
      </c>
      <c r="F17" s="114" t="s">
        <v>1396</v>
      </c>
      <c r="G17" s="114" t="b">
        <v>0</v>
      </c>
      <c r="H17" s="114" t="b">
        <v>0</v>
      </c>
      <c r="I17" s="114" t="b">
        <v>0</v>
      </c>
      <c r="J17" s="114" t="b">
        <v>0</v>
      </c>
      <c r="K17" s="114" t="b">
        <v>0</v>
      </c>
      <c r="L17" s="114" t="b">
        <v>0</v>
      </c>
    </row>
    <row r="18" spans="1:12" ht="15">
      <c r="A18" s="114" t="s">
        <v>1090</v>
      </c>
      <c r="B18" s="114" t="s">
        <v>1077</v>
      </c>
      <c r="C18" s="114">
        <v>3</v>
      </c>
      <c r="D18" s="116">
        <v>0.0031275488896781536</v>
      </c>
      <c r="E18" s="116">
        <v>1.0411184227671062</v>
      </c>
      <c r="F18" s="114" t="s">
        <v>1396</v>
      </c>
      <c r="G18" s="114" t="b">
        <v>0</v>
      </c>
      <c r="H18" s="114" t="b">
        <v>0</v>
      </c>
      <c r="I18" s="114" t="b">
        <v>0</v>
      </c>
      <c r="J18" s="114" t="b">
        <v>0</v>
      </c>
      <c r="K18" s="114" t="b">
        <v>0</v>
      </c>
      <c r="L18" s="114" t="b">
        <v>0</v>
      </c>
    </row>
    <row r="19" spans="1:12" ht="15">
      <c r="A19" s="114" t="s">
        <v>1117</v>
      </c>
      <c r="B19" s="114" t="s">
        <v>1102</v>
      </c>
      <c r="C19" s="114">
        <v>3</v>
      </c>
      <c r="D19" s="116">
        <v>0.003422180109514765</v>
      </c>
      <c r="E19" s="116">
        <v>2.132534125231743</v>
      </c>
      <c r="F19" s="114" t="s">
        <v>1396</v>
      </c>
      <c r="G19" s="114" t="b">
        <v>0</v>
      </c>
      <c r="H19" s="114" t="b">
        <v>0</v>
      </c>
      <c r="I19" s="114" t="b">
        <v>0</v>
      </c>
      <c r="J19" s="114" t="b">
        <v>0</v>
      </c>
      <c r="K19" s="114" t="b">
        <v>0</v>
      </c>
      <c r="L19" s="114" t="b">
        <v>0</v>
      </c>
    </row>
    <row r="20" spans="1:12" ht="15">
      <c r="A20" s="114" t="s">
        <v>1084</v>
      </c>
      <c r="B20" s="114" t="s">
        <v>1117</v>
      </c>
      <c r="C20" s="114">
        <v>3</v>
      </c>
      <c r="D20" s="116">
        <v>0.003422180109514765</v>
      </c>
      <c r="E20" s="116">
        <v>1.8984509191983747</v>
      </c>
      <c r="F20" s="114" t="s">
        <v>1396</v>
      </c>
      <c r="G20" s="114" t="b">
        <v>0</v>
      </c>
      <c r="H20" s="114" t="b">
        <v>0</v>
      </c>
      <c r="I20" s="114" t="b">
        <v>0</v>
      </c>
      <c r="J20" s="114" t="b">
        <v>0</v>
      </c>
      <c r="K20" s="114" t="b">
        <v>0</v>
      </c>
      <c r="L20" s="114" t="b">
        <v>0</v>
      </c>
    </row>
    <row r="21" spans="1:12" ht="15">
      <c r="A21" s="114" t="s">
        <v>1102</v>
      </c>
      <c r="B21" s="114" t="s">
        <v>1148</v>
      </c>
      <c r="C21" s="114">
        <v>3</v>
      </c>
      <c r="D21" s="116">
        <v>0.0031275488896781536</v>
      </c>
      <c r="E21" s="116">
        <v>2.229444138239799</v>
      </c>
      <c r="F21" s="114" t="s">
        <v>1396</v>
      </c>
      <c r="G21" s="114" t="b">
        <v>0</v>
      </c>
      <c r="H21" s="114" t="b">
        <v>0</v>
      </c>
      <c r="I21" s="114" t="b">
        <v>0</v>
      </c>
      <c r="J21" s="114" t="b">
        <v>0</v>
      </c>
      <c r="K21" s="114" t="b">
        <v>0</v>
      </c>
      <c r="L21" s="114" t="b">
        <v>0</v>
      </c>
    </row>
    <row r="22" spans="1:12" ht="15">
      <c r="A22" s="114" t="s">
        <v>1200</v>
      </c>
      <c r="B22" s="114" t="s">
        <v>1108</v>
      </c>
      <c r="C22" s="114">
        <v>3</v>
      </c>
      <c r="D22" s="116">
        <v>0.003925855506610104</v>
      </c>
      <c r="E22" s="116">
        <v>2.4213296644787126</v>
      </c>
      <c r="F22" s="114" t="s">
        <v>1396</v>
      </c>
      <c r="G22" s="114" t="b">
        <v>0</v>
      </c>
      <c r="H22" s="114" t="b">
        <v>0</v>
      </c>
      <c r="I22" s="114" t="b">
        <v>0</v>
      </c>
      <c r="J22" s="114" t="b">
        <v>0</v>
      </c>
      <c r="K22" s="114" t="b">
        <v>0</v>
      </c>
      <c r="L22" s="114" t="b">
        <v>0</v>
      </c>
    </row>
    <row r="23" spans="1:12" ht="15">
      <c r="A23" s="114" t="s">
        <v>1202</v>
      </c>
      <c r="B23" s="114" t="s">
        <v>1203</v>
      </c>
      <c r="C23" s="114">
        <v>3</v>
      </c>
      <c r="D23" s="116">
        <v>0.0031275488896781536</v>
      </c>
      <c r="E23" s="116">
        <v>2.7223596601426934</v>
      </c>
      <c r="F23" s="114" t="s">
        <v>1396</v>
      </c>
      <c r="G23" s="114" t="b">
        <v>0</v>
      </c>
      <c r="H23" s="114" t="b">
        <v>0</v>
      </c>
      <c r="I23" s="114" t="b">
        <v>0</v>
      </c>
      <c r="J23" s="114" t="b">
        <v>0</v>
      </c>
      <c r="K23" s="114" t="b">
        <v>0</v>
      </c>
      <c r="L23" s="114" t="b">
        <v>0</v>
      </c>
    </row>
    <row r="24" spans="1:12" ht="15">
      <c r="A24" s="114" t="s">
        <v>1208</v>
      </c>
      <c r="B24" s="114" t="s">
        <v>1136</v>
      </c>
      <c r="C24" s="114">
        <v>3</v>
      </c>
      <c r="D24" s="116">
        <v>0.0031275488896781536</v>
      </c>
      <c r="E24" s="116">
        <v>2.5974209235343935</v>
      </c>
      <c r="F24" s="114" t="s">
        <v>1396</v>
      </c>
      <c r="G24" s="114" t="b">
        <v>0</v>
      </c>
      <c r="H24" s="114" t="b">
        <v>0</v>
      </c>
      <c r="I24" s="114" t="b">
        <v>0</v>
      </c>
      <c r="J24" s="114" t="b">
        <v>0</v>
      </c>
      <c r="K24" s="114" t="b">
        <v>0</v>
      </c>
      <c r="L24" s="114" t="b">
        <v>0</v>
      </c>
    </row>
    <row r="25" spans="1:12" ht="15">
      <c r="A25" s="114" t="s">
        <v>1136</v>
      </c>
      <c r="B25" s="114" t="s">
        <v>1157</v>
      </c>
      <c r="C25" s="114">
        <v>3</v>
      </c>
      <c r="D25" s="116">
        <v>0.0031275488896781536</v>
      </c>
      <c r="E25" s="116">
        <v>2.4724821869260936</v>
      </c>
      <c r="F25" s="114" t="s">
        <v>1396</v>
      </c>
      <c r="G25" s="114" t="b">
        <v>0</v>
      </c>
      <c r="H25" s="114" t="b">
        <v>0</v>
      </c>
      <c r="I25" s="114" t="b">
        <v>0</v>
      </c>
      <c r="J25" s="114" t="b">
        <v>0</v>
      </c>
      <c r="K25" s="114" t="b">
        <v>0</v>
      </c>
      <c r="L25" s="114" t="b">
        <v>0</v>
      </c>
    </row>
    <row r="26" spans="1:12" ht="15">
      <c r="A26" s="114" t="s">
        <v>1157</v>
      </c>
      <c r="B26" s="114" t="s">
        <v>1209</v>
      </c>
      <c r="C26" s="114">
        <v>3</v>
      </c>
      <c r="D26" s="116">
        <v>0.0031275488896781536</v>
      </c>
      <c r="E26" s="116">
        <v>2.5974209235343935</v>
      </c>
      <c r="F26" s="114" t="s">
        <v>1396</v>
      </c>
      <c r="G26" s="114" t="b">
        <v>0</v>
      </c>
      <c r="H26" s="114" t="b">
        <v>0</v>
      </c>
      <c r="I26" s="114" t="b">
        <v>0</v>
      </c>
      <c r="J26" s="114" t="b">
        <v>0</v>
      </c>
      <c r="K26" s="114" t="b">
        <v>0</v>
      </c>
      <c r="L26" s="114" t="b">
        <v>0</v>
      </c>
    </row>
    <row r="27" spans="1:12" ht="15">
      <c r="A27" s="114" t="s">
        <v>1161</v>
      </c>
      <c r="B27" s="114" t="s">
        <v>1214</v>
      </c>
      <c r="C27" s="114">
        <v>2</v>
      </c>
      <c r="D27" s="116">
        <v>0.0026172370044067364</v>
      </c>
      <c r="E27" s="116">
        <v>2.7223596601426934</v>
      </c>
      <c r="F27" s="114" t="s">
        <v>1396</v>
      </c>
      <c r="G27" s="114" t="b">
        <v>0</v>
      </c>
      <c r="H27" s="114" t="b">
        <v>0</v>
      </c>
      <c r="I27" s="114" t="b">
        <v>0</v>
      </c>
      <c r="J27" s="114" t="b">
        <v>0</v>
      </c>
      <c r="K27" s="114" t="b">
        <v>0</v>
      </c>
      <c r="L27" s="114" t="b">
        <v>0</v>
      </c>
    </row>
    <row r="28" spans="1:12" ht="15">
      <c r="A28" s="114" t="s">
        <v>1214</v>
      </c>
      <c r="B28" s="114" t="s">
        <v>1113</v>
      </c>
      <c r="C28" s="114">
        <v>2</v>
      </c>
      <c r="D28" s="116">
        <v>0.0026172370044067364</v>
      </c>
      <c r="E28" s="116">
        <v>2.5974209235343935</v>
      </c>
      <c r="F28" s="114" t="s">
        <v>1396</v>
      </c>
      <c r="G28" s="114" t="b">
        <v>0</v>
      </c>
      <c r="H28" s="114" t="b">
        <v>0</v>
      </c>
      <c r="I28" s="114" t="b">
        <v>0</v>
      </c>
      <c r="J28" s="114" t="b">
        <v>0</v>
      </c>
      <c r="K28" s="114" t="b">
        <v>0</v>
      </c>
      <c r="L28" s="114" t="b">
        <v>0</v>
      </c>
    </row>
    <row r="29" spans="1:12" ht="15">
      <c r="A29" s="114" t="s">
        <v>1114</v>
      </c>
      <c r="B29" s="114" t="s">
        <v>1220</v>
      </c>
      <c r="C29" s="114">
        <v>2</v>
      </c>
      <c r="D29" s="116">
        <v>0.0022814534063431767</v>
      </c>
      <c r="E29" s="116">
        <v>2.5005109105263372</v>
      </c>
      <c r="F29" s="114" t="s">
        <v>1396</v>
      </c>
      <c r="G29" s="114" t="b">
        <v>0</v>
      </c>
      <c r="H29" s="114" t="b">
        <v>0</v>
      </c>
      <c r="I29" s="114" t="b">
        <v>0</v>
      </c>
      <c r="J29" s="114" t="b">
        <v>0</v>
      </c>
      <c r="K29" s="114" t="b">
        <v>0</v>
      </c>
      <c r="L29" s="114" t="b">
        <v>0</v>
      </c>
    </row>
    <row r="30" spans="1:12" ht="15">
      <c r="A30" s="114" t="s">
        <v>1225</v>
      </c>
      <c r="B30" s="114" t="s">
        <v>1169</v>
      </c>
      <c r="C30" s="114">
        <v>2</v>
      </c>
      <c r="D30" s="116">
        <v>0.0022814534063431767</v>
      </c>
      <c r="E30" s="116">
        <v>2.7223596601426934</v>
      </c>
      <c r="F30" s="114" t="s">
        <v>1396</v>
      </c>
      <c r="G30" s="114" t="b">
        <v>0</v>
      </c>
      <c r="H30" s="114" t="b">
        <v>0</v>
      </c>
      <c r="I30" s="114" t="b">
        <v>0</v>
      </c>
      <c r="J30" s="114" t="b">
        <v>0</v>
      </c>
      <c r="K30" s="114" t="b">
        <v>0</v>
      </c>
      <c r="L30" s="114" t="b">
        <v>0</v>
      </c>
    </row>
    <row r="31" spans="1:12" ht="15">
      <c r="A31" s="114" t="s">
        <v>1171</v>
      </c>
      <c r="B31" s="114" t="s">
        <v>1227</v>
      </c>
      <c r="C31" s="114">
        <v>2</v>
      </c>
      <c r="D31" s="116">
        <v>0.0022814534063431767</v>
      </c>
      <c r="E31" s="116">
        <v>2.7223596601426934</v>
      </c>
      <c r="F31" s="114" t="s">
        <v>1396</v>
      </c>
      <c r="G31" s="114" t="b">
        <v>0</v>
      </c>
      <c r="H31" s="114" t="b">
        <v>0</v>
      </c>
      <c r="I31" s="114" t="b">
        <v>0</v>
      </c>
      <c r="J31" s="114" t="b">
        <v>0</v>
      </c>
      <c r="K31" s="114" t="b">
        <v>0</v>
      </c>
      <c r="L31" s="114" t="b">
        <v>0</v>
      </c>
    </row>
    <row r="32" spans="1:12" ht="15">
      <c r="A32" s="114" t="s">
        <v>1227</v>
      </c>
      <c r="B32" s="114" t="s">
        <v>1130</v>
      </c>
      <c r="C32" s="114">
        <v>2</v>
      </c>
      <c r="D32" s="116">
        <v>0.0022814534063431767</v>
      </c>
      <c r="E32" s="116">
        <v>2.5974209235343935</v>
      </c>
      <c r="F32" s="114" t="s">
        <v>1396</v>
      </c>
      <c r="G32" s="114" t="b">
        <v>0</v>
      </c>
      <c r="H32" s="114" t="b">
        <v>0</v>
      </c>
      <c r="I32" s="114" t="b">
        <v>0</v>
      </c>
      <c r="J32" s="114" t="b">
        <v>0</v>
      </c>
      <c r="K32" s="114" t="b">
        <v>0</v>
      </c>
      <c r="L32" s="114" t="b">
        <v>0</v>
      </c>
    </row>
    <row r="33" spans="1:12" ht="15">
      <c r="A33" s="114" t="s">
        <v>1130</v>
      </c>
      <c r="B33" s="114" t="s">
        <v>1228</v>
      </c>
      <c r="C33" s="114">
        <v>2</v>
      </c>
      <c r="D33" s="116">
        <v>0.0022814534063431767</v>
      </c>
      <c r="E33" s="116">
        <v>2.5974209235343935</v>
      </c>
      <c r="F33" s="114" t="s">
        <v>1396</v>
      </c>
      <c r="G33" s="114" t="b">
        <v>0</v>
      </c>
      <c r="H33" s="114" t="b">
        <v>0</v>
      </c>
      <c r="I33" s="114" t="b">
        <v>0</v>
      </c>
      <c r="J33" s="114" t="b">
        <v>0</v>
      </c>
      <c r="K33" s="114" t="b">
        <v>0</v>
      </c>
      <c r="L33" s="114" t="b">
        <v>0</v>
      </c>
    </row>
    <row r="34" spans="1:12" ht="15">
      <c r="A34" s="114" t="s">
        <v>1228</v>
      </c>
      <c r="B34" s="114" t="s">
        <v>1229</v>
      </c>
      <c r="C34" s="114">
        <v>2</v>
      </c>
      <c r="D34" s="116">
        <v>0.0022814534063431767</v>
      </c>
      <c r="E34" s="116">
        <v>2.8984509191983747</v>
      </c>
      <c r="F34" s="114" t="s">
        <v>1396</v>
      </c>
      <c r="G34" s="114" t="b">
        <v>0</v>
      </c>
      <c r="H34" s="114" t="b">
        <v>0</v>
      </c>
      <c r="I34" s="114" t="b">
        <v>0</v>
      </c>
      <c r="J34" s="114" t="b">
        <v>0</v>
      </c>
      <c r="K34" s="114" t="b">
        <v>0</v>
      </c>
      <c r="L34" s="114" t="b">
        <v>0</v>
      </c>
    </row>
    <row r="35" spans="1:12" ht="15">
      <c r="A35" s="114" t="s">
        <v>1098</v>
      </c>
      <c r="B35" s="114" t="s">
        <v>1230</v>
      </c>
      <c r="C35" s="114">
        <v>2</v>
      </c>
      <c r="D35" s="116">
        <v>0.0022814534063431767</v>
      </c>
      <c r="E35" s="116">
        <v>2.354382874848099</v>
      </c>
      <c r="F35" s="114" t="s">
        <v>1396</v>
      </c>
      <c r="G35" s="114" t="b">
        <v>0</v>
      </c>
      <c r="H35" s="114" t="b">
        <v>0</v>
      </c>
      <c r="I35" s="114" t="b">
        <v>0</v>
      </c>
      <c r="J35" s="114" t="b">
        <v>0</v>
      </c>
      <c r="K35" s="114" t="b">
        <v>0</v>
      </c>
      <c r="L35" s="114" t="b">
        <v>0</v>
      </c>
    </row>
    <row r="36" spans="1:12" ht="15">
      <c r="A36" s="114" t="s">
        <v>1084</v>
      </c>
      <c r="B36" s="114" t="s">
        <v>1231</v>
      </c>
      <c r="C36" s="114">
        <v>2</v>
      </c>
      <c r="D36" s="116">
        <v>0.0022814534063431767</v>
      </c>
      <c r="E36" s="116">
        <v>2.120299668814731</v>
      </c>
      <c r="F36" s="114" t="s">
        <v>1396</v>
      </c>
      <c r="G36" s="114" t="b">
        <v>0</v>
      </c>
      <c r="H36" s="114" t="b">
        <v>0</v>
      </c>
      <c r="I36" s="114" t="b">
        <v>0</v>
      </c>
      <c r="J36" s="114" t="b">
        <v>0</v>
      </c>
      <c r="K36" s="114" t="b">
        <v>0</v>
      </c>
      <c r="L36" s="114" t="b">
        <v>0</v>
      </c>
    </row>
    <row r="37" spans="1:12" ht="15">
      <c r="A37" s="114" t="s">
        <v>1087</v>
      </c>
      <c r="B37" s="114" t="s">
        <v>1085</v>
      </c>
      <c r="C37" s="114">
        <v>2</v>
      </c>
      <c r="D37" s="116">
        <v>0.0022814534063431767</v>
      </c>
      <c r="E37" s="116">
        <v>1.7601482210320933</v>
      </c>
      <c r="F37" s="114" t="s">
        <v>1396</v>
      </c>
      <c r="G37" s="114" t="b">
        <v>0</v>
      </c>
      <c r="H37" s="114" t="b">
        <v>0</v>
      </c>
      <c r="I37" s="114" t="b">
        <v>0</v>
      </c>
      <c r="J37" s="114" t="b">
        <v>0</v>
      </c>
      <c r="K37" s="114" t="b">
        <v>0</v>
      </c>
      <c r="L37" s="114" t="b">
        <v>0</v>
      </c>
    </row>
    <row r="38" spans="1:12" ht="15">
      <c r="A38" s="114" t="s">
        <v>1115</v>
      </c>
      <c r="B38" s="114" t="s">
        <v>1164</v>
      </c>
      <c r="C38" s="114">
        <v>2</v>
      </c>
      <c r="D38" s="116">
        <v>0.0022814534063431767</v>
      </c>
      <c r="E38" s="116">
        <v>2.324419651470656</v>
      </c>
      <c r="F38" s="114" t="s">
        <v>1396</v>
      </c>
      <c r="G38" s="114" t="b">
        <v>0</v>
      </c>
      <c r="H38" s="114" t="b">
        <v>0</v>
      </c>
      <c r="I38" s="114" t="b">
        <v>0</v>
      </c>
      <c r="J38" s="114" t="b">
        <v>0</v>
      </c>
      <c r="K38" s="114" t="b">
        <v>0</v>
      </c>
      <c r="L38" s="114" t="b">
        <v>0</v>
      </c>
    </row>
    <row r="39" spans="1:12" ht="15">
      <c r="A39" s="114" t="s">
        <v>1237</v>
      </c>
      <c r="B39" s="114" t="s">
        <v>1116</v>
      </c>
      <c r="C39" s="114">
        <v>2</v>
      </c>
      <c r="D39" s="116">
        <v>0.0022814534063431767</v>
      </c>
      <c r="E39" s="116">
        <v>2.5005109105263372</v>
      </c>
      <c r="F39" s="114" t="s">
        <v>1396</v>
      </c>
      <c r="G39" s="114" t="b">
        <v>0</v>
      </c>
      <c r="H39" s="114" t="b">
        <v>0</v>
      </c>
      <c r="I39" s="114" t="b">
        <v>0</v>
      </c>
      <c r="J39" s="114" t="b">
        <v>0</v>
      </c>
      <c r="K39" s="114" t="b">
        <v>0</v>
      </c>
      <c r="L39" s="114" t="b">
        <v>0</v>
      </c>
    </row>
    <row r="40" spans="1:12" ht="15">
      <c r="A40" s="114" t="s">
        <v>1116</v>
      </c>
      <c r="B40" s="114" t="s">
        <v>1105</v>
      </c>
      <c r="C40" s="114">
        <v>2</v>
      </c>
      <c r="D40" s="116">
        <v>0.0022814534063431767</v>
      </c>
      <c r="E40" s="116">
        <v>2.0233896558066746</v>
      </c>
      <c r="F40" s="114" t="s">
        <v>1396</v>
      </c>
      <c r="G40" s="114" t="b">
        <v>0</v>
      </c>
      <c r="H40" s="114" t="b">
        <v>0</v>
      </c>
      <c r="I40" s="114" t="b">
        <v>0</v>
      </c>
      <c r="J40" s="114" t="b">
        <v>0</v>
      </c>
      <c r="K40" s="114" t="b">
        <v>0</v>
      </c>
      <c r="L40" s="114" t="b">
        <v>0</v>
      </c>
    </row>
    <row r="41" spans="1:12" ht="15">
      <c r="A41" s="114" t="s">
        <v>1081</v>
      </c>
      <c r="B41" s="114" t="s">
        <v>1178</v>
      </c>
      <c r="C41" s="114">
        <v>2</v>
      </c>
      <c r="D41" s="116">
        <v>0.0022814534063431767</v>
      </c>
      <c r="E41" s="116">
        <v>1.8772616201284364</v>
      </c>
      <c r="F41" s="114" t="s">
        <v>1396</v>
      </c>
      <c r="G41" s="114" t="b">
        <v>0</v>
      </c>
      <c r="H41" s="114" t="b">
        <v>0</v>
      </c>
      <c r="I41" s="114" t="b">
        <v>0</v>
      </c>
      <c r="J41" s="114" t="b">
        <v>0</v>
      </c>
      <c r="K41" s="114" t="b">
        <v>0</v>
      </c>
      <c r="L41" s="114" t="b">
        <v>0</v>
      </c>
    </row>
    <row r="42" spans="1:12" ht="15">
      <c r="A42" s="114" t="s">
        <v>1256</v>
      </c>
      <c r="B42" s="114" t="s">
        <v>1257</v>
      </c>
      <c r="C42" s="114">
        <v>2</v>
      </c>
      <c r="D42" s="116">
        <v>0.0022814534063431767</v>
      </c>
      <c r="E42" s="116">
        <v>2.8984509191983747</v>
      </c>
      <c r="F42" s="114" t="s">
        <v>1396</v>
      </c>
      <c r="G42" s="114" t="b">
        <v>0</v>
      </c>
      <c r="H42" s="114" t="b">
        <v>0</v>
      </c>
      <c r="I42" s="114" t="b">
        <v>0</v>
      </c>
      <c r="J42" s="114" t="b">
        <v>0</v>
      </c>
      <c r="K42" s="114" t="b">
        <v>0</v>
      </c>
      <c r="L42" s="114" t="b">
        <v>0</v>
      </c>
    </row>
    <row r="43" spans="1:12" ht="15">
      <c r="A43" s="114" t="s">
        <v>1258</v>
      </c>
      <c r="B43" s="114" t="s">
        <v>1094</v>
      </c>
      <c r="C43" s="114">
        <v>2</v>
      </c>
      <c r="D43" s="116">
        <v>0.0022814534063431767</v>
      </c>
      <c r="E43" s="116">
        <v>2.5005109105263372</v>
      </c>
      <c r="F43" s="114" t="s">
        <v>1396</v>
      </c>
      <c r="G43" s="114" t="b">
        <v>0</v>
      </c>
      <c r="H43" s="114" t="b">
        <v>0</v>
      </c>
      <c r="I43" s="114" t="b">
        <v>0</v>
      </c>
      <c r="J43" s="114" t="b">
        <v>0</v>
      </c>
      <c r="K43" s="114" t="b">
        <v>0</v>
      </c>
      <c r="L43" s="114" t="b">
        <v>0</v>
      </c>
    </row>
    <row r="44" spans="1:12" ht="15">
      <c r="A44" s="114" t="s">
        <v>1264</v>
      </c>
      <c r="B44" s="114" t="s">
        <v>1265</v>
      </c>
      <c r="C44" s="114">
        <v>2</v>
      </c>
      <c r="D44" s="116">
        <v>0.0022814534063431767</v>
      </c>
      <c r="E44" s="116">
        <v>2.8984509191983747</v>
      </c>
      <c r="F44" s="114" t="s">
        <v>1396</v>
      </c>
      <c r="G44" s="114" t="b">
        <v>0</v>
      </c>
      <c r="H44" s="114" t="b">
        <v>0</v>
      </c>
      <c r="I44" s="114" t="b">
        <v>0</v>
      </c>
      <c r="J44" s="114" t="b">
        <v>0</v>
      </c>
      <c r="K44" s="114" t="b">
        <v>0</v>
      </c>
      <c r="L44" s="114" t="b">
        <v>0</v>
      </c>
    </row>
    <row r="45" spans="1:12" ht="15">
      <c r="A45" s="114" t="s">
        <v>1078</v>
      </c>
      <c r="B45" s="114" t="s">
        <v>1275</v>
      </c>
      <c r="C45" s="114">
        <v>2</v>
      </c>
      <c r="D45" s="116">
        <v>0.0022814534063431767</v>
      </c>
      <c r="E45" s="116">
        <v>1.920727313909527</v>
      </c>
      <c r="F45" s="114" t="s">
        <v>1396</v>
      </c>
      <c r="G45" s="114" t="b">
        <v>0</v>
      </c>
      <c r="H45" s="114" t="b">
        <v>0</v>
      </c>
      <c r="I45" s="114" t="b">
        <v>0</v>
      </c>
      <c r="J45" s="114" t="b">
        <v>0</v>
      </c>
      <c r="K45" s="114" t="b">
        <v>0</v>
      </c>
      <c r="L45" s="114" t="b">
        <v>0</v>
      </c>
    </row>
    <row r="46" spans="1:12" ht="15">
      <c r="A46" s="114" t="s">
        <v>1079</v>
      </c>
      <c r="B46" s="114" t="s">
        <v>1077</v>
      </c>
      <c r="C46" s="114">
        <v>2</v>
      </c>
      <c r="D46" s="116">
        <v>0.0022814534063431767</v>
      </c>
      <c r="E46" s="116">
        <v>0.6431784140950686</v>
      </c>
      <c r="F46" s="114" t="s">
        <v>1396</v>
      </c>
      <c r="G46" s="114" t="b">
        <v>0</v>
      </c>
      <c r="H46" s="114" t="b">
        <v>0</v>
      </c>
      <c r="I46" s="114" t="b">
        <v>0</v>
      </c>
      <c r="J46" s="114" t="b">
        <v>0</v>
      </c>
      <c r="K46" s="114" t="b">
        <v>0</v>
      </c>
      <c r="L46" s="114" t="b">
        <v>0</v>
      </c>
    </row>
    <row r="47" spans="1:12" ht="15">
      <c r="A47" s="114" t="s">
        <v>1108</v>
      </c>
      <c r="B47" s="114" t="s">
        <v>1108</v>
      </c>
      <c r="C47" s="114">
        <v>2</v>
      </c>
      <c r="D47" s="116">
        <v>0.0022814534063431767</v>
      </c>
      <c r="E47" s="116">
        <v>1.9442084097590497</v>
      </c>
      <c r="F47" s="114" t="s">
        <v>1396</v>
      </c>
      <c r="G47" s="114" t="b">
        <v>0</v>
      </c>
      <c r="H47" s="114" t="b">
        <v>0</v>
      </c>
      <c r="I47" s="114" t="b">
        <v>0</v>
      </c>
      <c r="J47" s="114" t="b">
        <v>0</v>
      </c>
      <c r="K47" s="114" t="b">
        <v>0</v>
      </c>
      <c r="L47" s="114" t="b">
        <v>0</v>
      </c>
    </row>
    <row r="48" spans="1:12" ht="15">
      <c r="A48" s="114" t="s">
        <v>1285</v>
      </c>
      <c r="B48" s="114" t="s">
        <v>1077</v>
      </c>
      <c r="C48" s="114">
        <v>2</v>
      </c>
      <c r="D48" s="116">
        <v>0.0022814534063431767</v>
      </c>
      <c r="E48" s="116">
        <v>1.5182396774867686</v>
      </c>
      <c r="F48" s="114" t="s">
        <v>1396</v>
      </c>
      <c r="G48" s="114" t="b">
        <v>0</v>
      </c>
      <c r="H48" s="114" t="b">
        <v>0</v>
      </c>
      <c r="I48" s="114" t="b">
        <v>0</v>
      </c>
      <c r="J48" s="114" t="b">
        <v>0</v>
      </c>
      <c r="K48" s="114" t="b">
        <v>0</v>
      </c>
      <c r="L48" s="114" t="b">
        <v>0</v>
      </c>
    </row>
    <row r="49" spans="1:12" ht="15">
      <c r="A49" s="114" t="s">
        <v>1090</v>
      </c>
      <c r="B49" s="114" t="s">
        <v>1289</v>
      </c>
      <c r="C49" s="114">
        <v>2</v>
      </c>
      <c r="D49" s="116">
        <v>0.0022814534063431767</v>
      </c>
      <c r="E49" s="116">
        <v>2.245238405423031</v>
      </c>
      <c r="F49" s="114" t="s">
        <v>1396</v>
      </c>
      <c r="G49" s="114" t="b">
        <v>0</v>
      </c>
      <c r="H49" s="114" t="b">
        <v>0</v>
      </c>
      <c r="I49" s="114" t="b">
        <v>0</v>
      </c>
      <c r="J49" s="114" t="b">
        <v>0</v>
      </c>
      <c r="K49" s="114" t="b">
        <v>0</v>
      </c>
      <c r="L49" s="114" t="b">
        <v>0</v>
      </c>
    </row>
    <row r="50" spans="1:12" ht="15">
      <c r="A50" s="114" t="s">
        <v>1077</v>
      </c>
      <c r="B50" s="114" t="s">
        <v>1123</v>
      </c>
      <c r="C50" s="114">
        <v>2</v>
      </c>
      <c r="D50" s="116">
        <v>0.0022814534063431767</v>
      </c>
      <c r="E50" s="116">
        <v>1.2263530612626572</v>
      </c>
      <c r="F50" s="114" t="s">
        <v>1396</v>
      </c>
      <c r="G50" s="114" t="b">
        <v>0</v>
      </c>
      <c r="H50" s="114" t="b">
        <v>0</v>
      </c>
      <c r="I50" s="114" t="b">
        <v>0</v>
      </c>
      <c r="J50" s="114" t="b">
        <v>0</v>
      </c>
      <c r="K50" s="114" t="b">
        <v>0</v>
      </c>
      <c r="L50" s="114" t="b">
        <v>0</v>
      </c>
    </row>
    <row r="51" spans="1:12" ht="15">
      <c r="A51" s="114" t="s">
        <v>1290</v>
      </c>
      <c r="B51" s="114" t="s">
        <v>1109</v>
      </c>
      <c r="C51" s="114">
        <v>2</v>
      </c>
      <c r="D51" s="116">
        <v>0.0026172370044067364</v>
      </c>
      <c r="E51" s="116">
        <v>2.421329664478712</v>
      </c>
      <c r="F51" s="114" t="s">
        <v>1396</v>
      </c>
      <c r="G51" s="114" t="b">
        <v>0</v>
      </c>
      <c r="H51" s="114" t="b">
        <v>0</v>
      </c>
      <c r="I51" s="114" t="b">
        <v>0</v>
      </c>
      <c r="J51" s="114" t="b">
        <v>0</v>
      </c>
      <c r="K51" s="114" t="b">
        <v>0</v>
      </c>
      <c r="L51" s="114" t="b">
        <v>0</v>
      </c>
    </row>
    <row r="52" spans="1:12" ht="15">
      <c r="A52" s="114" t="s">
        <v>1077</v>
      </c>
      <c r="B52" s="114" t="s">
        <v>1109</v>
      </c>
      <c r="C52" s="114">
        <v>2</v>
      </c>
      <c r="D52" s="116">
        <v>0.0022814534063431767</v>
      </c>
      <c r="E52" s="116">
        <v>1.0502618022069758</v>
      </c>
      <c r="F52" s="114" t="s">
        <v>1396</v>
      </c>
      <c r="G52" s="114" t="b">
        <v>0</v>
      </c>
      <c r="H52" s="114" t="b">
        <v>0</v>
      </c>
      <c r="I52" s="114" t="b">
        <v>0</v>
      </c>
      <c r="J52" s="114" t="b">
        <v>0</v>
      </c>
      <c r="K52" s="114" t="b">
        <v>0</v>
      </c>
      <c r="L52" s="114" t="b">
        <v>0</v>
      </c>
    </row>
    <row r="53" spans="1:12" ht="15">
      <c r="A53" s="114" t="s">
        <v>1109</v>
      </c>
      <c r="B53" s="114" t="s">
        <v>1077</v>
      </c>
      <c r="C53" s="114">
        <v>2</v>
      </c>
      <c r="D53" s="116">
        <v>0.0022814534063431767</v>
      </c>
      <c r="E53" s="116">
        <v>1.120299668814731</v>
      </c>
      <c r="F53" s="114" t="s">
        <v>1396</v>
      </c>
      <c r="G53" s="114" t="b">
        <v>0</v>
      </c>
      <c r="H53" s="114" t="b">
        <v>0</v>
      </c>
      <c r="I53" s="114" t="b">
        <v>0</v>
      </c>
      <c r="J53" s="114" t="b">
        <v>0</v>
      </c>
      <c r="K53" s="114" t="b">
        <v>0</v>
      </c>
      <c r="L53" s="114" t="b">
        <v>0</v>
      </c>
    </row>
    <row r="54" spans="1:12" ht="15">
      <c r="A54" s="114" t="s">
        <v>1088</v>
      </c>
      <c r="B54" s="114" t="s">
        <v>1077</v>
      </c>
      <c r="C54" s="114">
        <v>2</v>
      </c>
      <c r="D54" s="116">
        <v>0.0022814534063431767</v>
      </c>
      <c r="E54" s="116">
        <v>0.865027163711425</v>
      </c>
      <c r="F54" s="114" t="s">
        <v>1396</v>
      </c>
      <c r="G54" s="114" t="b">
        <v>0</v>
      </c>
      <c r="H54" s="114" t="b">
        <v>0</v>
      </c>
      <c r="I54" s="114" t="b">
        <v>0</v>
      </c>
      <c r="J54" s="114" t="b">
        <v>0</v>
      </c>
      <c r="K54" s="114" t="b">
        <v>0</v>
      </c>
      <c r="L54" s="114" t="b">
        <v>0</v>
      </c>
    </row>
    <row r="55" spans="1:12" ht="15">
      <c r="A55" s="114" t="s">
        <v>1091</v>
      </c>
      <c r="B55" s="114" t="s">
        <v>1123</v>
      </c>
      <c r="C55" s="114">
        <v>2</v>
      </c>
      <c r="D55" s="116">
        <v>0.0022814534063431767</v>
      </c>
      <c r="E55" s="116">
        <v>2.053352879184118</v>
      </c>
      <c r="F55" s="114" t="s">
        <v>1396</v>
      </c>
      <c r="G55" s="114" t="b">
        <v>0</v>
      </c>
      <c r="H55" s="114" t="b">
        <v>0</v>
      </c>
      <c r="I55" s="114" t="b">
        <v>0</v>
      </c>
      <c r="J55" s="114" t="b">
        <v>0</v>
      </c>
      <c r="K55" s="114" t="b">
        <v>0</v>
      </c>
      <c r="L55" s="114" t="b">
        <v>0</v>
      </c>
    </row>
    <row r="56" spans="1:12" ht="15">
      <c r="A56" s="114" t="s">
        <v>1096</v>
      </c>
      <c r="B56" s="114" t="s">
        <v>1145</v>
      </c>
      <c r="C56" s="114">
        <v>2</v>
      </c>
      <c r="D56" s="116">
        <v>0.0022814534063431767</v>
      </c>
      <c r="E56" s="116">
        <v>2.245238405423031</v>
      </c>
      <c r="F56" s="114" t="s">
        <v>1396</v>
      </c>
      <c r="G56" s="114" t="b">
        <v>0</v>
      </c>
      <c r="H56" s="114" t="b">
        <v>0</v>
      </c>
      <c r="I56" s="114" t="b">
        <v>0</v>
      </c>
      <c r="J56" s="114" t="b">
        <v>0</v>
      </c>
      <c r="K56" s="114" t="b">
        <v>0</v>
      </c>
      <c r="L56" s="114" t="b">
        <v>0</v>
      </c>
    </row>
    <row r="57" spans="1:12" ht="15">
      <c r="A57" s="114" t="s">
        <v>1090</v>
      </c>
      <c r="B57" s="114" t="s">
        <v>1086</v>
      </c>
      <c r="C57" s="114">
        <v>2</v>
      </c>
      <c r="D57" s="116">
        <v>0.0022814534063431767</v>
      </c>
      <c r="E57" s="116">
        <v>1.5920258916476873</v>
      </c>
      <c r="F57" s="114" t="s">
        <v>1396</v>
      </c>
      <c r="G57" s="114" t="b">
        <v>0</v>
      </c>
      <c r="H57" s="114" t="b">
        <v>0</v>
      </c>
      <c r="I57" s="114" t="b">
        <v>0</v>
      </c>
      <c r="J57" s="114" t="b">
        <v>1</v>
      </c>
      <c r="K57" s="114" t="b">
        <v>0</v>
      </c>
      <c r="L57" s="114" t="b">
        <v>0</v>
      </c>
    </row>
    <row r="58" spans="1:12" ht="15">
      <c r="A58" s="114" t="s">
        <v>1293</v>
      </c>
      <c r="B58" s="114" t="s">
        <v>1190</v>
      </c>
      <c r="C58" s="114">
        <v>2</v>
      </c>
      <c r="D58" s="116">
        <v>0.0022814534063431767</v>
      </c>
      <c r="E58" s="116">
        <v>2.7223596601426934</v>
      </c>
      <c r="F58" s="114" t="s">
        <v>1396</v>
      </c>
      <c r="G58" s="114" t="b">
        <v>0</v>
      </c>
      <c r="H58" s="114" t="b">
        <v>0</v>
      </c>
      <c r="I58" s="114" t="b">
        <v>0</v>
      </c>
      <c r="J58" s="114" t="b">
        <v>0</v>
      </c>
      <c r="K58" s="114" t="b">
        <v>0</v>
      </c>
      <c r="L58" s="114" t="b">
        <v>0</v>
      </c>
    </row>
    <row r="59" spans="1:12" ht="15">
      <c r="A59" s="114" t="s">
        <v>1190</v>
      </c>
      <c r="B59" s="114" t="s">
        <v>1079</v>
      </c>
      <c r="C59" s="114">
        <v>2</v>
      </c>
      <c r="D59" s="116">
        <v>0.0022814534063431767</v>
      </c>
      <c r="E59" s="116">
        <v>1.7929407344284007</v>
      </c>
      <c r="F59" s="114" t="s">
        <v>1396</v>
      </c>
      <c r="G59" s="114" t="b">
        <v>0</v>
      </c>
      <c r="H59" s="114" t="b">
        <v>0</v>
      </c>
      <c r="I59" s="114" t="b">
        <v>0</v>
      </c>
      <c r="J59" s="114" t="b">
        <v>0</v>
      </c>
      <c r="K59" s="114" t="b">
        <v>0</v>
      </c>
      <c r="L59" s="114" t="b">
        <v>0</v>
      </c>
    </row>
    <row r="60" spans="1:12" ht="15">
      <c r="A60" s="114" t="s">
        <v>1092</v>
      </c>
      <c r="B60" s="114" t="s">
        <v>1081</v>
      </c>
      <c r="C60" s="114">
        <v>2</v>
      </c>
      <c r="D60" s="116">
        <v>0.0022814534063431767</v>
      </c>
      <c r="E60" s="116">
        <v>1.354382874848099</v>
      </c>
      <c r="F60" s="114" t="s">
        <v>1396</v>
      </c>
      <c r="G60" s="114" t="b">
        <v>0</v>
      </c>
      <c r="H60" s="114" t="b">
        <v>0</v>
      </c>
      <c r="I60" s="114" t="b">
        <v>0</v>
      </c>
      <c r="J60" s="114" t="b">
        <v>0</v>
      </c>
      <c r="K60" s="114" t="b">
        <v>0</v>
      </c>
      <c r="L60" s="114" t="b">
        <v>0</v>
      </c>
    </row>
    <row r="61" spans="1:12" ht="15">
      <c r="A61" s="114" t="s">
        <v>1081</v>
      </c>
      <c r="B61" s="114" t="s">
        <v>1112</v>
      </c>
      <c r="C61" s="114">
        <v>2</v>
      </c>
      <c r="D61" s="116">
        <v>0.0022814534063431767</v>
      </c>
      <c r="E61" s="116">
        <v>1.5762316244644554</v>
      </c>
      <c r="F61" s="114" t="s">
        <v>1396</v>
      </c>
      <c r="G61" s="114" t="b">
        <v>0</v>
      </c>
      <c r="H61" s="114" t="b">
        <v>0</v>
      </c>
      <c r="I61" s="114" t="b">
        <v>0</v>
      </c>
      <c r="J61" s="114" t="b">
        <v>0</v>
      </c>
      <c r="K61" s="114" t="b">
        <v>0</v>
      </c>
      <c r="L61" s="114" t="b">
        <v>0</v>
      </c>
    </row>
    <row r="62" spans="1:12" ht="15">
      <c r="A62" s="114" t="s">
        <v>1300</v>
      </c>
      <c r="B62" s="114" t="s">
        <v>1101</v>
      </c>
      <c r="C62" s="114">
        <v>2</v>
      </c>
      <c r="D62" s="116">
        <v>0.0022814534063431767</v>
      </c>
      <c r="E62" s="116">
        <v>2.354382874848099</v>
      </c>
      <c r="F62" s="114" t="s">
        <v>1396</v>
      </c>
      <c r="G62" s="114" t="b">
        <v>0</v>
      </c>
      <c r="H62" s="114" t="b">
        <v>0</v>
      </c>
      <c r="I62" s="114" t="b">
        <v>0</v>
      </c>
      <c r="J62" s="114" t="b">
        <v>0</v>
      </c>
      <c r="K62" s="114" t="b">
        <v>0</v>
      </c>
      <c r="L62" s="114" t="b">
        <v>0</v>
      </c>
    </row>
    <row r="63" spans="1:12" ht="15">
      <c r="A63" s="114" t="s">
        <v>1312</v>
      </c>
      <c r="B63" s="114" t="s">
        <v>1313</v>
      </c>
      <c r="C63" s="114">
        <v>2</v>
      </c>
      <c r="D63" s="116">
        <v>0.0026172370044067364</v>
      </c>
      <c r="E63" s="116">
        <v>2.8984509191983747</v>
      </c>
      <c r="F63" s="114" t="s">
        <v>1396</v>
      </c>
      <c r="G63" s="114" t="b">
        <v>0</v>
      </c>
      <c r="H63" s="114" t="b">
        <v>0</v>
      </c>
      <c r="I63" s="114" t="b">
        <v>0</v>
      </c>
      <c r="J63" s="114" t="b">
        <v>0</v>
      </c>
      <c r="K63" s="114" t="b">
        <v>0</v>
      </c>
      <c r="L63" s="114" t="b">
        <v>0</v>
      </c>
    </row>
    <row r="64" spans="1:12" ht="15">
      <c r="A64" s="114" t="s">
        <v>1313</v>
      </c>
      <c r="B64" s="114" t="s">
        <v>1098</v>
      </c>
      <c r="C64" s="114">
        <v>2</v>
      </c>
      <c r="D64" s="116">
        <v>0.0026172370044067364</v>
      </c>
      <c r="E64" s="116">
        <v>2.354382874848099</v>
      </c>
      <c r="F64" s="114" t="s">
        <v>1396</v>
      </c>
      <c r="G64" s="114" t="b">
        <v>0</v>
      </c>
      <c r="H64" s="114" t="b">
        <v>0</v>
      </c>
      <c r="I64" s="114" t="b">
        <v>0</v>
      </c>
      <c r="J64" s="114" t="b">
        <v>0</v>
      </c>
      <c r="K64" s="114" t="b">
        <v>0</v>
      </c>
      <c r="L64" s="114" t="b">
        <v>0</v>
      </c>
    </row>
    <row r="65" spans="1:12" ht="15">
      <c r="A65" s="114" t="s">
        <v>1098</v>
      </c>
      <c r="B65" s="114" t="s">
        <v>1104</v>
      </c>
      <c r="C65" s="114">
        <v>2</v>
      </c>
      <c r="D65" s="116">
        <v>0.0026172370044067364</v>
      </c>
      <c r="E65" s="116">
        <v>1.8772616201284364</v>
      </c>
      <c r="F65" s="114" t="s">
        <v>1396</v>
      </c>
      <c r="G65" s="114" t="b">
        <v>0</v>
      </c>
      <c r="H65" s="114" t="b">
        <v>0</v>
      </c>
      <c r="I65" s="114" t="b">
        <v>0</v>
      </c>
      <c r="J65" s="114" t="b">
        <v>0</v>
      </c>
      <c r="K65" s="114" t="b">
        <v>0</v>
      </c>
      <c r="L65" s="114" t="b">
        <v>0</v>
      </c>
    </row>
    <row r="66" spans="1:12" ht="15">
      <c r="A66" s="114" t="s">
        <v>1085</v>
      </c>
      <c r="B66" s="114" t="s">
        <v>1319</v>
      </c>
      <c r="C66" s="114">
        <v>2</v>
      </c>
      <c r="D66" s="116">
        <v>0.0022814534063431767</v>
      </c>
      <c r="E66" s="116">
        <v>2.158088229704131</v>
      </c>
      <c r="F66" s="114" t="s">
        <v>1396</v>
      </c>
      <c r="G66" s="114" t="b">
        <v>0</v>
      </c>
      <c r="H66" s="114" t="b">
        <v>0</v>
      </c>
      <c r="I66" s="114" t="b">
        <v>0</v>
      </c>
      <c r="J66" s="114" t="b">
        <v>0</v>
      </c>
      <c r="K66" s="114" t="b">
        <v>0</v>
      </c>
      <c r="L66" s="114" t="b">
        <v>0</v>
      </c>
    </row>
    <row r="67" spans="1:12" ht="15">
      <c r="A67" s="114" t="s">
        <v>1195</v>
      </c>
      <c r="B67" s="114" t="s">
        <v>1322</v>
      </c>
      <c r="C67" s="114">
        <v>2</v>
      </c>
      <c r="D67" s="116">
        <v>0.0022814534063431767</v>
      </c>
      <c r="E67" s="116">
        <v>2.7223596601426934</v>
      </c>
      <c r="F67" s="114" t="s">
        <v>1396</v>
      </c>
      <c r="G67" s="114" t="b">
        <v>0</v>
      </c>
      <c r="H67" s="114" t="b">
        <v>0</v>
      </c>
      <c r="I67" s="114" t="b">
        <v>0</v>
      </c>
      <c r="J67" s="114" t="b">
        <v>0</v>
      </c>
      <c r="K67" s="114" t="b">
        <v>0</v>
      </c>
      <c r="L67" s="114" t="b">
        <v>0</v>
      </c>
    </row>
    <row r="68" spans="1:12" ht="15">
      <c r="A68" s="114" t="s">
        <v>1086</v>
      </c>
      <c r="B68" s="114" t="s">
        <v>1077</v>
      </c>
      <c r="C68" s="114">
        <v>2</v>
      </c>
      <c r="D68" s="116">
        <v>0.0022814534063431767</v>
      </c>
      <c r="E68" s="116">
        <v>0.865027163711425</v>
      </c>
      <c r="F68" s="114" t="s">
        <v>1396</v>
      </c>
      <c r="G68" s="114" t="b">
        <v>1</v>
      </c>
      <c r="H68" s="114" t="b">
        <v>0</v>
      </c>
      <c r="I68" s="114" t="b">
        <v>0</v>
      </c>
      <c r="J68" s="114" t="b">
        <v>0</v>
      </c>
      <c r="K68" s="114" t="b">
        <v>0</v>
      </c>
      <c r="L68" s="114" t="b">
        <v>0</v>
      </c>
    </row>
    <row r="69" spans="1:12" ht="15">
      <c r="A69" s="114" t="s">
        <v>1197</v>
      </c>
      <c r="B69" s="114" t="s">
        <v>1080</v>
      </c>
      <c r="C69" s="114">
        <v>2</v>
      </c>
      <c r="D69" s="116">
        <v>0.0022814534063431767</v>
      </c>
      <c r="E69" s="116">
        <v>1.8772616201284364</v>
      </c>
      <c r="F69" s="114" t="s">
        <v>1396</v>
      </c>
      <c r="G69" s="114" t="b">
        <v>0</v>
      </c>
      <c r="H69" s="114" t="b">
        <v>0</v>
      </c>
      <c r="I69" s="114" t="b">
        <v>0</v>
      </c>
      <c r="J69" s="114" t="b">
        <v>0</v>
      </c>
      <c r="K69" s="114" t="b">
        <v>0</v>
      </c>
      <c r="L69" s="114" t="b">
        <v>0</v>
      </c>
    </row>
    <row r="70" spans="1:12" ht="15">
      <c r="A70" s="114" t="s">
        <v>1324</v>
      </c>
      <c r="B70" s="114" t="s">
        <v>1197</v>
      </c>
      <c r="C70" s="114">
        <v>2</v>
      </c>
      <c r="D70" s="116">
        <v>0.0022814534063431767</v>
      </c>
      <c r="E70" s="116">
        <v>2.7223596601426934</v>
      </c>
      <c r="F70" s="114" t="s">
        <v>1396</v>
      </c>
      <c r="G70" s="114" t="b">
        <v>0</v>
      </c>
      <c r="H70" s="114" t="b">
        <v>0</v>
      </c>
      <c r="I70" s="114" t="b">
        <v>0</v>
      </c>
      <c r="J70" s="114" t="b">
        <v>0</v>
      </c>
      <c r="K70" s="114" t="b">
        <v>0</v>
      </c>
      <c r="L70" s="114" t="b">
        <v>0</v>
      </c>
    </row>
    <row r="71" spans="1:12" ht="15">
      <c r="A71" s="114" t="s">
        <v>1133</v>
      </c>
      <c r="B71" s="114" t="s">
        <v>1329</v>
      </c>
      <c r="C71" s="114">
        <v>2</v>
      </c>
      <c r="D71" s="116">
        <v>0.0022814534063431767</v>
      </c>
      <c r="E71" s="116">
        <v>2.5974209235343935</v>
      </c>
      <c r="F71" s="114" t="s">
        <v>1396</v>
      </c>
      <c r="G71" s="114" t="b">
        <v>0</v>
      </c>
      <c r="H71" s="114" t="b">
        <v>0</v>
      </c>
      <c r="I71" s="114" t="b">
        <v>0</v>
      </c>
      <c r="J71" s="114" t="b">
        <v>0</v>
      </c>
      <c r="K71" s="114" t="b">
        <v>0</v>
      </c>
      <c r="L71" s="114" t="b">
        <v>0</v>
      </c>
    </row>
    <row r="72" spans="1:12" ht="15">
      <c r="A72" s="114" t="s">
        <v>1329</v>
      </c>
      <c r="B72" s="114" t="s">
        <v>1330</v>
      </c>
      <c r="C72" s="114">
        <v>2</v>
      </c>
      <c r="D72" s="116">
        <v>0.0022814534063431767</v>
      </c>
      <c r="E72" s="116">
        <v>2.8984509191983747</v>
      </c>
      <c r="F72" s="114" t="s">
        <v>1396</v>
      </c>
      <c r="G72" s="114" t="b">
        <v>0</v>
      </c>
      <c r="H72" s="114" t="b">
        <v>0</v>
      </c>
      <c r="I72" s="114" t="b">
        <v>0</v>
      </c>
      <c r="J72" s="114" t="b">
        <v>0</v>
      </c>
      <c r="K72" s="114" t="b">
        <v>0</v>
      </c>
      <c r="L72" s="114" t="b">
        <v>0</v>
      </c>
    </row>
    <row r="73" spans="1:12" ht="15">
      <c r="A73" s="114" t="s">
        <v>1125</v>
      </c>
      <c r="B73" s="114" t="s">
        <v>1333</v>
      </c>
      <c r="C73" s="114">
        <v>2</v>
      </c>
      <c r="D73" s="116">
        <v>0.0022814534063431767</v>
      </c>
      <c r="E73" s="116">
        <v>2.5005109105263372</v>
      </c>
      <c r="F73" s="114" t="s">
        <v>1396</v>
      </c>
      <c r="G73" s="114" t="b">
        <v>0</v>
      </c>
      <c r="H73" s="114" t="b">
        <v>0</v>
      </c>
      <c r="I73" s="114" t="b">
        <v>0</v>
      </c>
      <c r="J73" s="114" t="b">
        <v>0</v>
      </c>
      <c r="K73" s="114" t="b">
        <v>0</v>
      </c>
      <c r="L73" s="114" t="b">
        <v>0</v>
      </c>
    </row>
    <row r="74" spans="1:12" ht="15">
      <c r="A74" s="114" t="s">
        <v>1335</v>
      </c>
      <c r="B74" s="114" t="s">
        <v>1119</v>
      </c>
      <c r="C74" s="114">
        <v>2</v>
      </c>
      <c r="D74" s="116">
        <v>0.0026172370044067364</v>
      </c>
      <c r="E74" s="116">
        <v>2.5005109105263372</v>
      </c>
      <c r="F74" s="114" t="s">
        <v>1396</v>
      </c>
      <c r="G74" s="114" t="b">
        <v>0</v>
      </c>
      <c r="H74" s="114" t="b">
        <v>0</v>
      </c>
      <c r="I74" s="114" t="b">
        <v>0</v>
      </c>
      <c r="J74" s="114" t="b">
        <v>0</v>
      </c>
      <c r="K74" s="114" t="b">
        <v>0</v>
      </c>
      <c r="L74" s="114" t="b">
        <v>0</v>
      </c>
    </row>
    <row r="75" spans="1:12" ht="15">
      <c r="A75" s="114" t="s">
        <v>1095</v>
      </c>
      <c r="B75" s="114" t="s">
        <v>1200</v>
      </c>
      <c r="C75" s="114">
        <v>2</v>
      </c>
      <c r="D75" s="116">
        <v>0.0026172370044067364</v>
      </c>
      <c r="E75" s="116">
        <v>2.120299668814731</v>
      </c>
      <c r="F75" s="114" t="s">
        <v>1396</v>
      </c>
      <c r="G75" s="114" t="b">
        <v>0</v>
      </c>
      <c r="H75" s="114" t="b">
        <v>0</v>
      </c>
      <c r="I75" s="114" t="b">
        <v>0</v>
      </c>
      <c r="J75" s="114" t="b">
        <v>0</v>
      </c>
      <c r="K75" s="114" t="b">
        <v>0</v>
      </c>
      <c r="L75" s="114" t="b">
        <v>0</v>
      </c>
    </row>
    <row r="76" spans="1:12" ht="15">
      <c r="A76" s="114" t="s">
        <v>1108</v>
      </c>
      <c r="B76" s="114" t="s">
        <v>1153</v>
      </c>
      <c r="C76" s="114">
        <v>2</v>
      </c>
      <c r="D76" s="116">
        <v>0.0026172370044067364</v>
      </c>
      <c r="E76" s="116">
        <v>2.120299668814731</v>
      </c>
      <c r="F76" s="114" t="s">
        <v>1396</v>
      </c>
      <c r="G76" s="114" t="b">
        <v>0</v>
      </c>
      <c r="H76" s="114" t="b">
        <v>0</v>
      </c>
      <c r="I76" s="114" t="b">
        <v>0</v>
      </c>
      <c r="J76" s="114" t="b">
        <v>0</v>
      </c>
      <c r="K76" s="114" t="b">
        <v>0</v>
      </c>
      <c r="L76" s="114" t="b">
        <v>0</v>
      </c>
    </row>
    <row r="77" spans="1:12" ht="15">
      <c r="A77" s="114" t="s">
        <v>1153</v>
      </c>
      <c r="B77" s="114" t="s">
        <v>1119</v>
      </c>
      <c r="C77" s="114">
        <v>2</v>
      </c>
      <c r="D77" s="116">
        <v>0.0026172370044067364</v>
      </c>
      <c r="E77" s="116">
        <v>2.199480914862356</v>
      </c>
      <c r="F77" s="114" t="s">
        <v>1396</v>
      </c>
      <c r="G77" s="114" t="b">
        <v>0</v>
      </c>
      <c r="H77" s="114" t="b">
        <v>0</v>
      </c>
      <c r="I77" s="114" t="b">
        <v>0</v>
      </c>
      <c r="J77" s="114" t="b">
        <v>0</v>
      </c>
      <c r="K77" s="114" t="b">
        <v>0</v>
      </c>
      <c r="L77" s="114" t="b">
        <v>0</v>
      </c>
    </row>
    <row r="78" spans="1:12" ht="15">
      <c r="A78" s="114" t="s">
        <v>1199</v>
      </c>
      <c r="B78" s="114" t="s">
        <v>1110</v>
      </c>
      <c r="C78" s="114">
        <v>2</v>
      </c>
      <c r="D78" s="116">
        <v>0.0026172370044067364</v>
      </c>
      <c r="E78" s="116">
        <v>2.324419651470656</v>
      </c>
      <c r="F78" s="114" t="s">
        <v>1396</v>
      </c>
      <c r="G78" s="114" t="b">
        <v>0</v>
      </c>
      <c r="H78" s="114" t="b">
        <v>0</v>
      </c>
      <c r="I78" s="114" t="b">
        <v>0</v>
      </c>
      <c r="J78" s="114" t="b">
        <v>0</v>
      </c>
      <c r="K78" s="114" t="b">
        <v>0</v>
      </c>
      <c r="L78" s="114" t="b">
        <v>0</v>
      </c>
    </row>
    <row r="79" spans="1:12" ht="15">
      <c r="A79" s="114" t="s">
        <v>1155</v>
      </c>
      <c r="B79" s="114" t="s">
        <v>1091</v>
      </c>
      <c r="C79" s="114">
        <v>2</v>
      </c>
      <c r="D79" s="116">
        <v>0.0022814534063431767</v>
      </c>
      <c r="E79" s="116">
        <v>1.9953609322064312</v>
      </c>
      <c r="F79" s="114" t="s">
        <v>1396</v>
      </c>
      <c r="G79" s="114" t="b">
        <v>0</v>
      </c>
      <c r="H79" s="114" t="b">
        <v>0</v>
      </c>
      <c r="I79" s="114" t="b">
        <v>0</v>
      </c>
      <c r="J79" s="114" t="b">
        <v>0</v>
      </c>
      <c r="K79" s="114" t="b">
        <v>0</v>
      </c>
      <c r="L79" s="114" t="b">
        <v>0</v>
      </c>
    </row>
    <row r="80" spans="1:12" ht="15">
      <c r="A80" s="114" t="s">
        <v>1091</v>
      </c>
      <c r="B80" s="114" t="s">
        <v>1201</v>
      </c>
      <c r="C80" s="114">
        <v>2</v>
      </c>
      <c r="D80" s="116">
        <v>0.0022814534063431767</v>
      </c>
      <c r="E80" s="116">
        <v>2.1782916157924177</v>
      </c>
      <c r="F80" s="114" t="s">
        <v>1396</v>
      </c>
      <c r="G80" s="114" t="b">
        <v>0</v>
      </c>
      <c r="H80" s="114" t="b">
        <v>0</v>
      </c>
      <c r="I80" s="114" t="b">
        <v>0</v>
      </c>
      <c r="J80" s="114" t="b">
        <v>0</v>
      </c>
      <c r="K80" s="114" t="b">
        <v>0</v>
      </c>
      <c r="L80" s="114" t="b">
        <v>0</v>
      </c>
    </row>
    <row r="81" spans="1:12" ht="15">
      <c r="A81" s="114" t="s">
        <v>1155</v>
      </c>
      <c r="B81" s="114" t="s">
        <v>1144</v>
      </c>
      <c r="C81" s="114">
        <v>2</v>
      </c>
      <c r="D81" s="116">
        <v>0.0022814534063431767</v>
      </c>
      <c r="E81" s="116">
        <v>2.296390927870412</v>
      </c>
      <c r="F81" s="114" t="s">
        <v>1396</v>
      </c>
      <c r="G81" s="114" t="b">
        <v>0</v>
      </c>
      <c r="H81" s="114" t="b">
        <v>0</v>
      </c>
      <c r="I81" s="114" t="b">
        <v>0</v>
      </c>
      <c r="J81" s="114" t="b">
        <v>0</v>
      </c>
      <c r="K81" s="114" t="b">
        <v>0</v>
      </c>
      <c r="L81" s="114" t="b">
        <v>0</v>
      </c>
    </row>
    <row r="82" spans="1:12" ht="15">
      <c r="A82" s="114" t="s">
        <v>1144</v>
      </c>
      <c r="B82" s="114" t="s">
        <v>1091</v>
      </c>
      <c r="C82" s="114">
        <v>2</v>
      </c>
      <c r="D82" s="116">
        <v>0.0022814534063431767</v>
      </c>
      <c r="E82" s="116">
        <v>1.9953609322064312</v>
      </c>
      <c r="F82" s="114" t="s">
        <v>1396</v>
      </c>
      <c r="G82" s="114" t="b">
        <v>0</v>
      </c>
      <c r="H82" s="114" t="b">
        <v>0</v>
      </c>
      <c r="I82" s="114" t="b">
        <v>0</v>
      </c>
      <c r="J82" s="114" t="b">
        <v>0</v>
      </c>
      <c r="K82" s="114" t="b">
        <v>0</v>
      </c>
      <c r="L82" s="114" t="b">
        <v>0</v>
      </c>
    </row>
    <row r="83" spans="1:12" ht="15">
      <c r="A83" s="114" t="s">
        <v>1156</v>
      </c>
      <c r="B83" s="114" t="s">
        <v>1156</v>
      </c>
      <c r="C83" s="114">
        <v>2</v>
      </c>
      <c r="D83" s="116">
        <v>0.0022814534063431767</v>
      </c>
      <c r="E83" s="116">
        <v>2.5974209235343935</v>
      </c>
      <c r="F83" s="114" t="s">
        <v>1396</v>
      </c>
      <c r="G83" s="114" t="b">
        <v>0</v>
      </c>
      <c r="H83" s="114" t="b">
        <v>0</v>
      </c>
      <c r="I83" s="114" t="b">
        <v>0</v>
      </c>
      <c r="J83" s="114" t="b">
        <v>0</v>
      </c>
      <c r="K83" s="114" t="b">
        <v>0</v>
      </c>
      <c r="L83" s="114" t="b">
        <v>0</v>
      </c>
    </row>
    <row r="84" spans="1:12" ht="15">
      <c r="A84" s="114" t="s">
        <v>1347</v>
      </c>
      <c r="B84" s="114" t="s">
        <v>1126</v>
      </c>
      <c r="C84" s="114">
        <v>2</v>
      </c>
      <c r="D84" s="116">
        <v>0.0022814534063431767</v>
      </c>
      <c r="E84" s="116">
        <v>2.5005109105263372</v>
      </c>
      <c r="F84" s="114" t="s">
        <v>1396</v>
      </c>
      <c r="G84" s="114" t="b">
        <v>0</v>
      </c>
      <c r="H84" s="114" t="b">
        <v>0</v>
      </c>
      <c r="I84" s="114" t="b">
        <v>0</v>
      </c>
      <c r="J84" s="114" t="b">
        <v>0</v>
      </c>
      <c r="K84" s="114" t="b">
        <v>0</v>
      </c>
      <c r="L84" s="114" t="b">
        <v>0</v>
      </c>
    </row>
    <row r="85" spans="1:12" ht="15">
      <c r="A85" s="114" t="s">
        <v>1349</v>
      </c>
      <c r="B85" s="114" t="s">
        <v>1350</v>
      </c>
      <c r="C85" s="114">
        <v>2</v>
      </c>
      <c r="D85" s="116">
        <v>0.0026172370044067364</v>
      </c>
      <c r="E85" s="116">
        <v>2.8984509191983747</v>
      </c>
      <c r="F85" s="114" t="s">
        <v>1396</v>
      </c>
      <c r="G85" s="114" t="b">
        <v>0</v>
      </c>
      <c r="H85" s="114" t="b">
        <v>0</v>
      </c>
      <c r="I85" s="114" t="b">
        <v>0</v>
      </c>
      <c r="J85" s="114" t="b">
        <v>0</v>
      </c>
      <c r="K85" s="114" t="b">
        <v>0</v>
      </c>
      <c r="L85" s="114" t="b">
        <v>0</v>
      </c>
    </row>
    <row r="86" spans="1:12" ht="15">
      <c r="A86" s="114" t="s">
        <v>1206</v>
      </c>
      <c r="B86" s="114" t="s">
        <v>1351</v>
      </c>
      <c r="C86" s="114">
        <v>2</v>
      </c>
      <c r="D86" s="116">
        <v>0.0026172370044067364</v>
      </c>
      <c r="E86" s="116">
        <v>2.7223596601426934</v>
      </c>
      <c r="F86" s="114" t="s">
        <v>1396</v>
      </c>
      <c r="G86" s="114" t="b">
        <v>0</v>
      </c>
      <c r="H86" s="114" t="b">
        <v>0</v>
      </c>
      <c r="I86" s="114" t="b">
        <v>0</v>
      </c>
      <c r="J86" s="114" t="b">
        <v>0</v>
      </c>
      <c r="K86" s="114" t="b">
        <v>0</v>
      </c>
      <c r="L86" s="114" t="b">
        <v>0</v>
      </c>
    </row>
    <row r="87" spans="1:12" ht="15">
      <c r="A87" s="114" t="s">
        <v>1355</v>
      </c>
      <c r="B87" s="114" t="s">
        <v>1092</v>
      </c>
      <c r="C87" s="114">
        <v>2</v>
      </c>
      <c r="D87" s="116">
        <v>0.0026172370044067364</v>
      </c>
      <c r="E87" s="116">
        <v>2.199480914862356</v>
      </c>
      <c r="F87" s="114" t="s">
        <v>1396</v>
      </c>
      <c r="G87" s="114" t="b">
        <v>0</v>
      </c>
      <c r="H87" s="114" t="b">
        <v>0</v>
      </c>
      <c r="I87" s="114" t="b">
        <v>0</v>
      </c>
      <c r="J87" s="114" t="b">
        <v>0</v>
      </c>
      <c r="K87" s="114" t="b">
        <v>0</v>
      </c>
      <c r="L87" s="114" t="b">
        <v>0</v>
      </c>
    </row>
    <row r="88" spans="1:12" ht="15">
      <c r="A88" s="114" t="s">
        <v>1363</v>
      </c>
      <c r="B88" s="114" t="s">
        <v>1364</v>
      </c>
      <c r="C88" s="114">
        <v>2</v>
      </c>
      <c r="D88" s="116">
        <v>0.0026172370044067364</v>
      </c>
      <c r="E88" s="116">
        <v>2.8984509191983747</v>
      </c>
      <c r="F88" s="114" t="s">
        <v>1396</v>
      </c>
      <c r="G88" s="114" t="b">
        <v>0</v>
      </c>
      <c r="H88" s="114" t="b">
        <v>0</v>
      </c>
      <c r="I88" s="114" t="b">
        <v>0</v>
      </c>
      <c r="J88" s="114" t="b">
        <v>0</v>
      </c>
      <c r="K88" s="114" t="b">
        <v>0</v>
      </c>
      <c r="L88" s="114" t="b">
        <v>0</v>
      </c>
    </row>
    <row r="89" spans="1:12" ht="15">
      <c r="A89" s="114" t="s">
        <v>1365</v>
      </c>
      <c r="B89" s="114" t="s">
        <v>1366</v>
      </c>
      <c r="C89" s="114">
        <v>2</v>
      </c>
      <c r="D89" s="116">
        <v>0.0022814534063431767</v>
      </c>
      <c r="E89" s="116">
        <v>2.8984509191983747</v>
      </c>
      <c r="F89" s="114" t="s">
        <v>1396</v>
      </c>
      <c r="G89" s="114" t="b">
        <v>0</v>
      </c>
      <c r="H89" s="114" t="b">
        <v>0</v>
      </c>
      <c r="I89" s="114" t="b">
        <v>0</v>
      </c>
      <c r="J89" s="114" t="b">
        <v>0</v>
      </c>
      <c r="K89" s="114" t="b">
        <v>0</v>
      </c>
      <c r="L89" s="114" t="b">
        <v>0</v>
      </c>
    </row>
    <row r="90" spans="1:12" ht="15">
      <c r="A90" s="114" t="s">
        <v>1099</v>
      </c>
      <c r="B90" s="114" t="s">
        <v>1208</v>
      </c>
      <c r="C90" s="114">
        <v>2</v>
      </c>
      <c r="D90" s="116">
        <v>0.0022814534063431767</v>
      </c>
      <c r="E90" s="116">
        <v>2.421329664478712</v>
      </c>
      <c r="F90" s="114" t="s">
        <v>1396</v>
      </c>
      <c r="G90" s="114" t="b">
        <v>0</v>
      </c>
      <c r="H90" s="114" t="b">
        <v>0</v>
      </c>
      <c r="I90" s="114" t="b">
        <v>0</v>
      </c>
      <c r="J90" s="114" t="b">
        <v>0</v>
      </c>
      <c r="K90" s="114" t="b">
        <v>0</v>
      </c>
      <c r="L90" s="114" t="b">
        <v>0</v>
      </c>
    </row>
    <row r="91" spans="1:12" ht="15">
      <c r="A91" s="114" t="s">
        <v>1373</v>
      </c>
      <c r="B91" s="114" t="s">
        <v>1134</v>
      </c>
      <c r="C91" s="114">
        <v>2</v>
      </c>
      <c r="D91" s="116">
        <v>0.0026172370044067364</v>
      </c>
      <c r="E91" s="116">
        <v>2.5974209235343935</v>
      </c>
      <c r="F91" s="114" t="s">
        <v>1396</v>
      </c>
      <c r="G91" s="114" t="b">
        <v>0</v>
      </c>
      <c r="H91" s="114" t="b">
        <v>0</v>
      </c>
      <c r="I91" s="114" t="b">
        <v>0</v>
      </c>
      <c r="J91" s="114" t="b">
        <v>0</v>
      </c>
      <c r="K91" s="114" t="b">
        <v>0</v>
      </c>
      <c r="L91" s="114" t="b">
        <v>0</v>
      </c>
    </row>
    <row r="92" spans="1:12" ht="15">
      <c r="A92" s="114" t="s">
        <v>1079</v>
      </c>
      <c r="B92" s="114" t="s">
        <v>1375</v>
      </c>
      <c r="C92" s="114">
        <v>2</v>
      </c>
      <c r="D92" s="116">
        <v>0.0026172370044067364</v>
      </c>
      <c r="E92" s="116">
        <v>2.0233896558066746</v>
      </c>
      <c r="F92" s="114" t="s">
        <v>1396</v>
      </c>
      <c r="G92" s="114" t="b">
        <v>0</v>
      </c>
      <c r="H92" s="114" t="b">
        <v>0</v>
      </c>
      <c r="I92" s="114" t="b">
        <v>0</v>
      </c>
      <c r="J92" s="114" t="b">
        <v>0</v>
      </c>
      <c r="K92" s="114" t="b">
        <v>0</v>
      </c>
      <c r="L92" s="114" t="b">
        <v>0</v>
      </c>
    </row>
    <row r="93" spans="1:12" ht="15">
      <c r="A93" s="114" t="s">
        <v>1378</v>
      </c>
      <c r="B93" s="114" t="s">
        <v>1158</v>
      </c>
      <c r="C93" s="114">
        <v>2</v>
      </c>
      <c r="D93" s="116">
        <v>0.0026172370044067364</v>
      </c>
      <c r="E93" s="116">
        <v>2.5974209235343935</v>
      </c>
      <c r="F93" s="114" t="s">
        <v>1396</v>
      </c>
      <c r="G93" s="114" t="b">
        <v>0</v>
      </c>
      <c r="H93" s="114" t="b">
        <v>0</v>
      </c>
      <c r="I93" s="114" t="b">
        <v>0</v>
      </c>
      <c r="J93" s="114" t="b">
        <v>0</v>
      </c>
      <c r="K93" s="114" t="b">
        <v>0</v>
      </c>
      <c r="L93" s="114" t="b">
        <v>0</v>
      </c>
    </row>
    <row r="94" spans="1:12" ht="15">
      <c r="A94" s="114" t="s">
        <v>1158</v>
      </c>
      <c r="B94" s="114" t="s">
        <v>1158</v>
      </c>
      <c r="C94" s="114">
        <v>2</v>
      </c>
      <c r="D94" s="116">
        <v>0.0026172370044067364</v>
      </c>
      <c r="E94" s="116">
        <v>2.296390927870412</v>
      </c>
      <c r="F94" s="114" t="s">
        <v>1396</v>
      </c>
      <c r="G94" s="114" t="b">
        <v>0</v>
      </c>
      <c r="H94" s="114" t="b">
        <v>0</v>
      </c>
      <c r="I94" s="114" t="b">
        <v>0</v>
      </c>
      <c r="J94" s="114" t="b">
        <v>0</v>
      </c>
      <c r="K94" s="114" t="b">
        <v>0</v>
      </c>
      <c r="L94" s="114" t="b">
        <v>0</v>
      </c>
    </row>
    <row r="95" spans="1:12" ht="15">
      <c r="A95" s="114" t="s">
        <v>1158</v>
      </c>
      <c r="B95" s="114" t="s">
        <v>1379</v>
      </c>
      <c r="C95" s="114">
        <v>2</v>
      </c>
      <c r="D95" s="116">
        <v>0.0026172370044067364</v>
      </c>
      <c r="E95" s="116">
        <v>2.5974209235343935</v>
      </c>
      <c r="F95" s="114" t="s">
        <v>1396</v>
      </c>
      <c r="G95" s="114" t="b">
        <v>0</v>
      </c>
      <c r="H95" s="114" t="b">
        <v>0</v>
      </c>
      <c r="I95" s="114" t="b">
        <v>0</v>
      </c>
      <c r="J95" s="114" t="b">
        <v>0</v>
      </c>
      <c r="K95" s="114" t="b">
        <v>0</v>
      </c>
      <c r="L95" s="114" t="b">
        <v>0</v>
      </c>
    </row>
    <row r="96" spans="1:12" ht="15">
      <c r="A96" s="114" t="s">
        <v>1379</v>
      </c>
      <c r="B96" s="114" t="s">
        <v>1380</v>
      </c>
      <c r="C96" s="114">
        <v>2</v>
      </c>
      <c r="D96" s="116">
        <v>0.0026172370044067364</v>
      </c>
      <c r="E96" s="116">
        <v>2.8984509191983747</v>
      </c>
      <c r="F96" s="114" t="s">
        <v>1396</v>
      </c>
      <c r="G96" s="114" t="b">
        <v>0</v>
      </c>
      <c r="H96" s="114" t="b">
        <v>0</v>
      </c>
      <c r="I96" s="114" t="b">
        <v>0</v>
      </c>
      <c r="J96" s="114" t="b">
        <v>0</v>
      </c>
      <c r="K96" s="114" t="b">
        <v>0</v>
      </c>
      <c r="L96" s="114" t="b">
        <v>0</v>
      </c>
    </row>
    <row r="97" spans="1:12" ht="15">
      <c r="A97" s="114" t="s">
        <v>1023</v>
      </c>
      <c r="B97" s="114" t="s">
        <v>1381</v>
      </c>
      <c r="C97" s="114">
        <v>2</v>
      </c>
      <c r="D97" s="116">
        <v>0.0026172370044067364</v>
      </c>
      <c r="E97" s="116">
        <v>2.8984509191983747</v>
      </c>
      <c r="F97" s="114" t="s">
        <v>1396</v>
      </c>
      <c r="G97" s="114" t="b">
        <v>0</v>
      </c>
      <c r="H97" s="114" t="b">
        <v>0</v>
      </c>
      <c r="I97" s="114" t="b">
        <v>0</v>
      </c>
      <c r="J97" s="114" t="b">
        <v>0</v>
      </c>
      <c r="K97" s="114" t="b">
        <v>0</v>
      </c>
      <c r="L97" s="114" t="b">
        <v>0</v>
      </c>
    </row>
    <row r="98" spans="1:12" ht="15">
      <c r="A98" s="114" t="s">
        <v>1381</v>
      </c>
      <c r="B98" s="114" t="s">
        <v>1159</v>
      </c>
      <c r="C98" s="114">
        <v>2</v>
      </c>
      <c r="D98" s="116">
        <v>0.0026172370044067364</v>
      </c>
      <c r="E98" s="116">
        <v>2.5974209235343935</v>
      </c>
      <c r="F98" s="114" t="s">
        <v>1396</v>
      </c>
      <c r="G98" s="114" t="b">
        <v>0</v>
      </c>
      <c r="H98" s="114" t="b">
        <v>0</v>
      </c>
      <c r="I98" s="114" t="b">
        <v>0</v>
      </c>
      <c r="J98" s="114" t="b">
        <v>0</v>
      </c>
      <c r="K98" s="114" t="b">
        <v>0</v>
      </c>
      <c r="L98" s="114" t="b">
        <v>0</v>
      </c>
    </row>
    <row r="99" spans="1:12" ht="15">
      <c r="A99" s="114" t="s">
        <v>1159</v>
      </c>
      <c r="B99" s="114" t="s">
        <v>1095</v>
      </c>
      <c r="C99" s="114">
        <v>2</v>
      </c>
      <c r="D99" s="116">
        <v>0.0026172370044067364</v>
      </c>
      <c r="E99" s="116">
        <v>1.9953609322064312</v>
      </c>
      <c r="F99" s="114" t="s">
        <v>1396</v>
      </c>
      <c r="G99" s="114" t="b">
        <v>0</v>
      </c>
      <c r="H99" s="114" t="b">
        <v>0</v>
      </c>
      <c r="I99" s="114" t="b">
        <v>0</v>
      </c>
      <c r="J99" s="114" t="b">
        <v>0</v>
      </c>
      <c r="K99" s="114" t="b">
        <v>0</v>
      </c>
      <c r="L99" s="114" t="b">
        <v>0</v>
      </c>
    </row>
    <row r="100" spans="1:12" ht="15">
      <c r="A100" s="114" t="s">
        <v>1095</v>
      </c>
      <c r="B100" s="114" t="s">
        <v>1382</v>
      </c>
      <c r="C100" s="114">
        <v>2</v>
      </c>
      <c r="D100" s="116">
        <v>0.0026172370044067364</v>
      </c>
      <c r="E100" s="116">
        <v>2.296390927870412</v>
      </c>
      <c r="F100" s="114" t="s">
        <v>1396</v>
      </c>
      <c r="G100" s="114" t="b">
        <v>0</v>
      </c>
      <c r="H100" s="114" t="b">
        <v>0</v>
      </c>
      <c r="I100" s="114" t="b">
        <v>0</v>
      </c>
      <c r="J100" s="114" t="b">
        <v>0</v>
      </c>
      <c r="K100" s="114" t="b">
        <v>0</v>
      </c>
      <c r="L100" s="114" t="b">
        <v>0</v>
      </c>
    </row>
    <row r="101" spans="1:12" ht="15">
      <c r="A101" s="114" t="s">
        <v>1382</v>
      </c>
      <c r="B101" s="114" t="s">
        <v>1153</v>
      </c>
      <c r="C101" s="114">
        <v>2</v>
      </c>
      <c r="D101" s="116">
        <v>0.0026172370044067364</v>
      </c>
      <c r="E101" s="116">
        <v>2.5974209235343935</v>
      </c>
      <c r="F101" s="114" t="s">
        <v>1396</v>
      </c>
      <c r="G101" s="114" t="b">
        <v>0</v>
      </c>
      <c r="H101" s="114" t="b">
        <v>0</v>
      </c>
      <c r="I101" s="114" t="b">
        <v>0</v>
      </c>
      <c r="J101" s="114" t="b">
        <v>0</v>
      </c>
      <c r="K101" s="114" t="b">
        <v>0</v>
      </c>
      <c r="L101" s="114" t="b">
        <v>0</v>
      </c>
    </row>
    <row r="102" spans="1:12" ht="15">
      <c r="A102" s="114" t="s">
        <v>1153</v>
      </c>
      <c r="B102" s="114" t="s">
        <v>1383</v>
      </c>
      <c r="C102" s="114">
        <v>2</v>
      </c>
      <c r="D102" s="116">
        <v>0.0026172370044067364</v>
      </c>
      <c r="E102" s="116">
        <v>2.5974209235343935</v>
      </c>
      <c r="F102" s="114" t="s">
        <v>1396</v>
      </c>
      <c r="G102" s="114" t="b">
        <v>0</v>
      </c>
      <c r="H102" s="114" t="b">
        <v>0</v>
      </c>
      <c r="I102" s="114" t="b">
        <v>0</v>
      </c>
      <c r="J102" s="114" t="b">
        <v>0</v>
      </c>
      <c r="K102" s="114" t="b">
        <v>0</v>
      </c>
      <c r="L102" s="114" t="b">
        <v>0</v>
      </c>
    </row>
    <row r="103" spans="1:12" ht="15">
      <c r="A103" s="114" t="s">
        <v>1383</v>
      </c>
      <c r="B103" s="114" t="s">
        <v>1078</v>
      </c>
      <c r="C103" s="114">
        <v>2</v>
      </c>
      <c r="D103" s="116">
        <v>0.0026172370044067364</v>
      </c>
      <c r="E103" s="116">
        <v>1.8570582340401496</v>
      </c>
      <c r="F103" s="114" t="s">
        <v>1396</v>
      </c>
      <c r="G103" s="114" t="b">
        <v>0</v>
      </c>
      <c r="H103" s="114" t="b">
        <v>0</v>
      </c>
      <c r="I103" s="114" t="b">
        <v>0</v>
      </c>
      <c r="J103" s="114" t="b">
        <v>0</v>
      </c>
      <c r="K103" s="114" t="b">
        <v>0</v>
      </c>
      <c r="L103" s="114" t="b">
        <v>0</v>
      </c>
    </row>
    <row r="104" spans="1:12" ht="15">
      <c r="A104" s="114" t="s">
        <v>1078</v>
      </c>
      <c r="B104" s="114" t="s">
        <v>1213</v>
      </c>
      <c r="C104" s="114">
        <v>2</v>
      </c>
      <c r="D104" s="116">
        <v>0.0026172370044067364</v>
      </c>
      <c r="E104" s="116">
        <v>1.7446360548538458</v>
      </c>
      <c r="F104" s="114" t="s">
        <v>1396</v>
      </c>
      <c r="G104" s="114" t="b">
        <v>0</v>
      </c>
      <c r="H104" s="114" t="b">
        <v>0</v>
      </c>
      <c r="I104" s="114" t="b">
        <v>0</v>
      </c>
      <c r="J104" s="114" t="b">
        <v>1</v>
      </c>
      <c r="K104" s="114" t="b">
        <v>0</v>
      </c>
      <c r="L104" s="114" t="b">
        <v>0</v>
      </c>
    </row>
    <row r="105" spans="1:12" ht="15">
      <c r="A105" s="114" t="s">
        <v>1100</v>
      </c>
      <c r="B105" s="114" t="s">
        <v>1103</v>
      </c>
      <c r="C105" s="114">
        <v>2</v>
      </c>
      <c r="D105" s="116">
        <v>0.0022814534063431767</v>
      </c>
      <c r="E105" s="116">
        <v>1.8772616201284364</v>
      </c>
      <c r="F105" s="114" t="s">
        <v>1396</v>
      </c>
      <c r="G105" s="114" t="b">
        <v>0</v>
      </c>
      <c r="H105" s="114" t="b">
        <v>0</v>
      </c>
      <c r="I105" s="114" t="b">
        <v>0</v>
      </c>
      <c r="J105" s="114" t="b">
        <v>0</v>
      </c>
      <c r="K105" s="114" t="b">
        <v>0</v>
      </c>
      <c r="L105" s="114" t="b">
        <v>0</v>
      </c>
    </row>
    <row r="106" spans="1:12" ht="15">
      <c r="A106" s="114" t="s">
        <v>1390</v>
      </c>
      <c r="B106" s="114" t="s">
        <v>1103</v>
      </c>
      <c r="C106" s="114">
        <v>2</v>
      </c>
      <c r="D106" s="116">
        <v>0.0022814534063431767</v>
      </c>
      <c r="E106" s="116">
        <v>2.354382874848099</v>
      </c>
      <c r="F106" s="114" t="s">
        <v>1396</v>
      </c>
      <c r="G106" s="114" t="b">
        <v>0</v>
      </c>
      <c r="H106" s="114" t="b">
        <v>0</v>
      </c>
      <c r="I106" s="114" t="b">
        <v>0</v>
      </c>
      <c r="J106" s="114" t="b">
        <v>0</v>
      </c>
      <c r="K106" s="114" t="b">
        <v>0</v>
      </c>
      <c r="L106" s="114" t="b">
        <v>0</v>
      </c>
    </row>
    <row r="107" spans="1:12" ht="15">
      <c r="A107" s="114" t="s">
        <v>1363</v>
      </c>
      <c r="B107" s="114" t="s">
        <v>1364</v>
      </c>
      <c r="C107" s="114">
        <v>2</v>
      </c>
      <c r="D107" s="116">
        <v>0.01378245744135447</v>
      </c>
      <c r="E107" s="116">
        <v>1.9590413923210934</v>
      </c>
      <c r="F107" s="114" t="s">
        <v>1031</v>
      </c>
      <c r="G107" s="114" t="b">
        <v>0</v>
      </c>
      <c r="H107" s="114" t="b">
        <v>0</v>
      </c>
      <c r="I107" s="114" t="b">
        <v>0</v>
      </c>
      <c r="J107" s="114" t="b">
        <v>0</v>
      </c>
      <c r="K107" s="114" t="b">
        <v>0</v>
      </c>
      <c r="L107" s="114" t="b">
        <v>0</v>
      </c>
    </row>
    <row r="108" spans="1:12" ht="15">
      <c r="A108" s="114" t="s">
        <v>1100</v>
      </c>
      <c r="B108" s="114" t="s">
        <v>1103</v>
      </c>
      <c r="C108" s="114">
        <v>2</v>
      </c>
      <c r="D108" s="116">
        <v>0.010915505101697505</v>
      </c>
      <c r="E108" s="116">
        <v>1.414973347970818</v>
      </c>
      <c r="F108" s="114" t="s">
        <v>1031</v>
      </c>
      <c r="G108" s="114" t="b">
        <v>0</v>
      </c>
      <c r="H108" s="114" t="b">
        <v>0</v>
      </c>
      <c r="I108" s="114" t="b">
        <v>0</v>
      </c>
      <c r="J108" s="114" t="b">
        <v>0</v>
      </c>
      <c r="K108" s="114" t="b">
        <v>0</v>
      </c>
      <c r="L108" s="114" t="b">
        <v>0</v>
      </c>
    </row>
    <row r="109" spans="1:12" ht="15">
      <c r="A109" s="114" t="s">
        <v>1390</v>
      </c>
      <c r="B109" s="114" t="s">
        <v>1103</v>
      </c>
      <c r="C109" s="114">
        <v>2</v>
      </c>
      <c r="D109" s="116">
        <v>0.010915505101697505</v>
      </c>
      <c r="E109" s="116">
        <v>1.414973347970818</v>
      </c>
      <c r="F109" s="114" t="s">
        <v>1031</v>
      </c>
      <c r="G109" s="114" t="b">
        <v>0</v>
      </c>
      <c r="H109" s="114" t="b">
        <v>0</v>
      </c>
      <c r="I109" s="114" t="b">
        <v>0</v>
      </c>
      <c r="J109" s="114" t="b">
        <v>0</v>
      </c>
      <c r="K109" s="114" t="b">
        <v>0</v>
      </c>
      <c r="L109" s="114" t="b">
        <v>0</v>
      </c>
    </row>
    <row r="110" spans="1:12" ht="15">
      <c r="A110" s="114" t="s">
        <v>1023</v>
      </c>
      <c r="B110" s="114" t="s">
        <v>1381</v>
      </c>
      <c r="C110" s="114">
        <v>2</v>
      </c>
      <c r="D110" s="116">
        <v>0.01378245744135447</v>
      </c>
      <c r="E110" s="116">
        <v>1.9590413923210934</v>
      </c>
      <c r="F110" s="114" t="s">
        <v>1031</v>
      </c>
      <c r="G110" s="114" t="b">
        <v>0</v>
      </c>
      <c r="H110" s="114" t="b">
        <v>0</v>
      </c>
      <c r="I110" s="114" t="b">
        <v>0</v>
      </c>
      <c r="J110" s="114" t="b">
        <v>0</v>
      </c>
      <c r="K110" s="114" t="b">
        <v>0</v>
      </c>
      <c r="L110" s="114" t="b">
        <v>0</v>
      </c>
    </row>
    <row r="111" spans="1:12" ht="15">
      <c r="A111" s="114" t="s">
        <v>1381</v>
      </c>
      <c r="B111" s="114" t="s">
        <v>1159</v>
      </c>
      <c r="C111" s="114">
        <v>2</v>
      </c>
      <c r="D111" s="116">
        <v>0.01378245744135447</v>
      </c>
      <c r="E111" s="116">
        <v>1.6580113966571124</v>
      </c>
      <c r="F111" s="114" t="s">
        <v>1031</v>
      </c>
      <c r="G111" s="114" t="b">
        <v>0</v>
      </c>
      <c r="H111" s="114" t="b">
        <v>0</v>
      </c>
      <c r="I111" s="114" t="b">
        <v>0</v>
      </c>
      <c r="J111" s="114" t="b">
        <v>0</v>
      </c>
      <c r="K111" s="114" t="b">
        <v>0</v>
      </c>
      <c r="L111" s="114" t="b">
        <v>0</v>
      </c>
    </row>
    <row r="112" spans="1:12" ht="15">
      <c r="A112" s="114" t="s">
        <v>1159</v>
      </c>
      <c r="B112" s="114" t="s">
        <v>1095</v>
      </c>
      <c r="C112" s="114">
        <v>2</v>
      </c>
      <c r="D112" s="116">
        <v>0.01378245744135447</v>
      </c>
      <c r="E112" s="116">
        <v>1.6580113966571124</v>
      </c>
      <c r="F112" s="114" t="s">
        <v>1031</v>
      </c>
      <c r="G112" s="114" t="b">
        <v>0</v>
      </c>
      <c r="H112" s="114" t="b">
        <v>0</v>
      </c>
      <c r="I112" s="114" t="b">
        <v>0</v>
      </c>
      <c r="J112" s="114" t="b">
        <v>0</v>
      </c>
      <c r="K112" s="114" t="b">
        <v>0</v>
      </c>
      <c r="L112" s="114" t="b">
        <v>0</v>
      </c>
    </row>
    <row r="113" spans="1:12" ht="15">
      <c r="A113" s="114" t="s">
        <v>1095</v>
      </c>
      <c r="B113" s="114" t="s">
        <v>1382</v>
      </c>
      <c r="C113" s="114">
        <v>2</v>
      </c>
      <c r="D113" s="116">
        <v>0.01378245744135447</v>
      </c>
      <c r="E113" s="116">
        <v>1.9590413923210934</v>
      </c>
      <c r="F113" s="114" t="s">
        <v>1031</v>
      </c>
      <c r="G113" s="114" t="b">
        <v>0</v>
      </c>
      <c r="H113" s="114" t="b">
        <v>0</v>
      </c>
      <c r="I113" s="114" t="b">
        <v>0</v>
      </c>
      <c r="J113" s="114" t="b">
        <v>0</v>
      </c>
      <c r="K113" s="114" t="b">
        <v>0</v>
      </c>
      <c r="L113" s="114" t="b">
        <v>0</v>
      </c>
    </row>
    <row r="114" spans="1:12" ht="15">
      <c r="A114" s="114" t="s">
        <v>1382</v>
      </c>
      <c r="B114" s="114" t="s">
        <v>1153</v>
      </c>
      <c r="C114" s="114">
        <v>2</v>
      </c>
      <c r="D114" s="116">
        <v>0.01378245744135447</v>
      </c>
      <c r="E114" s="116">
        <v>1.9590413923210934</v>
      </c>
      <c r="F114" s="114" t="s">
        <v>1031</v>
      </c>
      <c r="G114" s="114" t="b">
        <v>0</v>
      </c>
      <c r="H114" s="114" t="b">
        <v>0</v>
      </c>
      <c r="I114" s="114" t="b">
        <v>0</v>
      </c>
      <c r="J114" s="114" t="b">
        <v>0</v>
      </c>
      <c r="K114" s="114" t="b">
        <v>0</v>
      </c>
      <c r="L114" s="114" t="b">
        <v>0</v>
      </c>
    </row>
    <row r="115" spans="1:12" ht="15">
      <c r="A115" s="114" t="s">
        <v>1153</v>
      </c>
      <c r="B115" s="114" t="s">
        <v>1383</v>
      </c>
      <c r="C115" s="114">
        <v>2</v>
      </c>
      <c r="D115" s="116">
        <v>0.01378245744135447</v>
      </c>
      <c r="E115" s="116">
        <v>1.9590413923210934</v>
      </c>
      <c r="F115" s="114" t="s">
        <v>1031</v>
      </c>
      <c r="G115" s="114" t="b">
        <v>0</v>
      </c>
      <c r="H115" s="114" t="b">
        <v>0</v>
      </c>
      <c r="I115" s="114" t="b">
        <v>0</v>
      </c>
      <c r="J115" s="114" t="b">
        <v>0</v>
      </c>
      <c r="K115" s="114" t="b">
        <v>0</v>
      </c>
      <c r="L115" s="114" t="b">
        <v>0</v>
      </c>
    </row>
    <row r="116" spans="1:12" ht="15">
      <c r="A116" s="114" t="s">
        <v>1383</v>
      </c>
      <c r="B116" s="114" t="s">
        <v>1078</v>
      </c>
      <c r="C116" s="114">
        <v>2</v>
      </c>
      <c r="D116" s="116">
        <v>0.01378245744135447</v>
      </c>
      <c r="E116" s="116">
        <v>1.2186787028268498</v>
      </c>
      <c r="F116" s="114" t="s">
        <v>1031</v>
      </c>
      <c r="G116" s="114" t="b">
        <v>0</v>
      </c>
      <c r="H116" s="114" t="b">
        <v>0</v>
      </c>
      <c r="I116" s="114" t="b">
        <v>0</v>
      </c>
      <c r="J116" s="114" t="b">
        <v>0</v>
      </c>
      <c r="K116" s="114" t="b">
        <v>0</v>
      </c>
      <c r="L116" s="114" t="b">
        <v>0</v>
      </c>
    </row>
    <row r="117" spans="1:12" ht="15">
      <c r="A117" s="114" t="s">
        <v>1078</v>
      </c>
      <c r="B117" s="114" t="s">
        <v>1213</v>
      </c>
      <c r="C117" s="114">
        <v>2</v>
      </c>
      <c r="D117" s="116">
        <v>0.01378245744135447</v>
      </c>
      <c r="E117" s="116">
        <v>1.0425874437711684</v>
      </c>
      <c r="F117" s="114" t="s">
        <v>1031</v>
      </c>
      <c r="G117" s="114" t="b">
        <v>0</v>
      </c>
      <c r="H117" s="114" t="b">
        <v>0</v>
      </c>
      <c r="I117" s="114" t="b">
        <v>0</v>
      </c>
      <c r="J117" s="114" t="b">
        <v>1</v>
      </c>
      <c r="K117" s="114" t="b">
        <v>0</v>
      </c>
      <c r="L117" s="114" t="b">
        <v>0</v>
      </c>
    </row>
    <row r="118" spans="1:12" ht="15">
      <c r="A118" s="114" t="s">
        <v>1079</v>
      </c>
      <c r="B118" s="114" t="s">
        <v>1375</v>
      </c>
      <c r="C118" s="114">
        <v>2</v>
      </c>
      <c r="D118" s="116">
        <v>0.01378245744135447</v>
      </c>
      <c r="E118" s="116">
        <v>1.5611013836490562</v>
      </c>
      <c r="F118" s="114" t="s">
        <v>1031</v>
      </c>
      <c r="G118" s="114" t="b">
        <v>0</v>
      </c>
      <c r="H118" s="114" t="b">
        <v>0</v>
      </c>
      <c r="I118" s="114" t="b">
        <v>0</v>
      </c>
      <c r="J118" s="114" t="b">
        <v>0</v>
      </c>
      <c r="K118" s="114" t="b">
        <v>0</v>
      </c>
      <c r="L118" s="114" t="b">
        <v>0</v>
      </c>
    </row>
    <row r="119" spans="1:12" ht="15">
      <c r="A119" s="114" t="s">
        <v>1378</v>
      </c>
      <c r="B119" s="114" t="s">
        <v>1158</v>
      </c>
      <c r="C119" s="114">
        <v>2</v>
      </c>
      <c r="D119" s="116">
        <v>0.01378245744135447</v>
      </c>
      <c r="E119" s="116">
        <v>1.6580113966571124</v>
      </c>
      <c r="F119" s="114" t="s">
        <v>1031</v>
      </c>
      <c r="G119" s="114" t="b">
        <v>0</v>
      </c>
      <c r="H119" s="114" t="b">
        <v>0</v>
      </c>
      <c r="I119" s="114" t="b">
        <v>0</v>
      </c>
      <c r="J119" s="114" t="b">
        <v>0</v>
      </c>
      <c r="K119" s="114" t="b">
        <v>0</v>
      </c>
      <c r="L119" s="114" t="b">
        <v>0</v>
      </c>
    </row>
    <row r="120" spans="1:12" ht="15">
      <c r="A120" s="114" t="s">
        <v>1158</v>
      </c>
      <c r="B120" s="114" t="s">
        <v>1158</v>
      </c>
      <c r="C120" s="114">
        <v>2</v>
      </c>
      <c r="D120" s="116">
        <v>0.01378245744135447</v>
      </c>
      <c r="E120" s="116">
        <v>1.3569814009931311</v>
      </c>
      <c r="F120" s="114" t="s">
        <v>1031</v>
      </c>
      <c r="G120" s="114" t="b">
        <v>0</v>
      </c>
      <c r="H120" s="114" t="b">
        <v>0</v>
      </c>
      <c r="I120" s="114" t="b">
        <v>0</v>
      </c>
      <c r="J120" s="114" t="b">
        <v>0</v>
      </c>
      <c r="K120" s="114" t="b">
        <v>0</v>
      </c>
      <c r="L120" s="114" t="b">
        <v>0</v>
      </c>
    </row>
    <row r="121" spans="1:12" ht="15">
      <c r="A121" s="114" t="s">
        <v>1158</v>
      </c>
      <c r="B121" s="114" t="s">
        <v>1379</v>
      </c>
      <c r="C121" s="114">
        <v>2</v>
      </c>
      <c r="D121" s="116">
        <v>0.01378245744135447</v>
      </c>
      <c r="E121" s="116">
        <v>1.6580113966571124</v>
      </c>
      <c r="F121" s="114" t="s">
        <v>1031</v>
      </c>
      <c r="G121" s="114" t="b">
        <v>0</v>
      </c>
      <c r="H121" s="114" t="b">
        <v>0</v>
      </c>
      <c r="I121" s="114" t="b">
        <v>0</v>
      </c>
      <c r="J121" s="114" t="b">
        <v>0</v>
      </c>
      <c r="K121" s="114" t="b">
        <v>0</v>
      </c>
      <c r="L121" s="114" t="b">
        <v>0</v>
      </c>
    </row>
    <row r="122" spans="1:12" ht="15">
      <c r="A122" s="114" t="s">
        <v>1379</v>
      </c>
      <c r="B122" s="114" t="s">
        <v>1380</v>
      </c>
      <c r="C122" s="114">
        <v>2</v>
      </c>
      <c r="D122" s="116">
        <v>0.01378245744135447</v>
      </c>
      <c r="E122" s="116">
        <v>1.9590413923210934</v>
      </c>
      <c r="F122" s="114" t="s">
        <v>1031</v>
      </c>
      <c r="G122" s="114" t="b">
        <v>0</v>
      </c>
      <c r="H122" s="114" t="b">
        <v>0</v>
      </c>
      <c r="I122" s="114" t="b">
        <v>0</v>
      </c>
      <c r="J122" s="114" t="b">
        <v>0</v>
      </c>
      <c r="K122" s="114" t="b">
        <v>0</v>
      </c>
      <c r="L122" s="114" t="b">
        <v>0</v>
      </c>
    </row>
    <row r="123" spans="1:12" ht="15">
      <c r="A123" s="114" t="s">
        <v>1077</v>
      </c>
      <c r="B123" s="114" t="s">
        <v>1090</v>
      </c>
      <c r="C123" s="114">
        <v>10</v>
      </c>
      <c r="D123" s="116">
        <v>0.024265065401582825</v>
      </c>
      <c r="E123" s="116">
        <v>0.9236116541365452</v>
      </c>
      <c r="F123" s="114" t="s">
        <v>1032</v>
      </c>
      <c r="G123" s="114" t="b">
        <v>0</v>
      </c>
      <c r="H123" s="114" t="b">
        <v>0</v>
      </c>
      <c r="I123" s="114" t="b">
        <v>0</v>
      </c>
      <c r="J123" s="114" t="b">
        <v>0</v>
      </c>
      <c r="K123" s="114" t="b">
        <v>0</v>
      </c>
      <c r="L123" s="114" t="b">
        <v>0</v>
      </c>
    </row>
    <row r="124" spans="1:12" ht="15">
      <c r="A124" s="114" t="s">
        <v>1077</v>
      </c>
      <c r="B124" s="114" t="s">
        <v>1088</v>
      </c>
      <c r="C124" s="114">
        <v>4</v>
      </c>
      <c r="D124" s="116">
        <v>0.013706424774107962</v>
      </c>
      <c r="E124" s="116">
        <v>0.9236116541365452</v>
      </c>
      <c r="F124" s="114" t="s">
        <v>1032</v>
      </c>
      <c r="G124" s="114" t="b">
        <v>0</v>
      </c>
      <c r="H124" s="114" t="b">
        <v>0</v>
      </c>
      <c r="I124" s="114" t="b">
        <v>0</v>
      </c>
      <c r="J124" s="114" t="b">
        <v>0</v>
      </c>
      <c r="K124" s="114" t="b">
        <v>0</v>
      </c>
      <c r="L124" s="114" t="b">
        <v>0</v>
      </c>
    </row>
    <row r="125" spans="1:12" ht="15">
      <c r="A125" s="114" t="s">
        <v>1145</v>
      </c>
      <c r="B125" s="114" t="s">
        <v>1077</v>
      </c>
      <c r="C125" s="114">
        <v>4</v>
      </c>
      <c r="D125" s="116">
        <v>0.017706823387582796</v>
      </c>
      <c r="E125" s="116">
        <v>0.9378520932511555</v>
      </c>
      <c r="F125" s="114" t="s">
        <v>1032</v>
      </c>
      <c r="G125" s="114" t="b">
        <v>0</v>
      </c>
      <c r="H125" s="114" t="b">
        <v>0</v>
      </c>
      <c r="I125" s="114" t="b">
        <v>0</v>
      </c>
      <c r="J125" s="114" t="b">
        <v>0</v>
      </c>
      <c r="K125" s="114" t="b">
        <v>0</v>
      </c>
      <c r="L125" s="114" t="b">
        <v>0</v>
      </c>
    </row>
    <row r="126" spans="1:12" ht="15">
      <c r="A126" s="114" t="s">
        <v>1077</v>
      </c>
      <c r="B126" s="114" t="s">
        <v>1146</v>
      </c>
      <c r="C126" s="114">
        <v>4</v>
      </c>
      <c r="D126" s="116">
        <v>0.017706823387582796</v>
      </c>
      <c r="E126" s="116">
        <v>0.9236116541365452</v>
      </c>
      <c r="F126" s="114" t="s">
        <v>1032</v>
      </c>
      <c r="G126" s="114" t="b">
        <v>0</v>
      </c>
      <c r="H126" s="114" t="b">
        <v>0</v>
      </c>
      <c r="I126" s="114" t="b">
        <v>0</v>
      </c>
      <c r="J126" s="114" t="b">
        <v>0</v>
      </c>
      <c r="K126" s="114" t="b">
        <v>0</v>
      </c>
      <c r="L126" s="114" t="b">
        <v>0</v>
      </c>
    </row>
    <row r="127" spans="1:12" ht="15">
      <c r="A127" s="114" t="s">
        <v>1146</v>
      </c>
      <c r="B127" s="114" t="s">
        <v>1079</v>
      </c>
      <c r="C127" s="114">
        <v>4</v>
      </c>
      <c r="D127" s="116">
        <v>0.017706823387582796</v>
      </c>
      <c r="E127" s="116">
        <v>1.716003343634799</v>
      </c>
      <c r="F127" s="114" t="s">
        <v>1032</v>
      </c>
      <c r="G127" s="114" t="b">
        <v>0</v>
      </c>
      <c r="H127" s="114" t="b">
        <v>0</v>
      </c>
      <c r="I127" s="114" t="b">
        <v>0</v>
      </c>
      <c r="J127" s="114" t="b">
        <v>0</v>
      </c>
      <c r="K127" s="114" t="b">
        <v>0</v>
      </c>
      <c r="L127" s="114" t="b">
        <v>0</v>
      </c>
    </row>
    <row r="128" spans="1:12" ht="15">
      <c r="A128" s="114" t="s">
        <v>1079</v>
      </c>
      <c r="B128" s="114" t="s">
        <v>1147</v>
      </c>
      <c r="C128" s="114">
        <v>4</v>
      </c>
      <c r="D128" s="116">
        <v>0.017706823387582796</v>
      </c>
      <c r="E128" s="116">
        <v>1.716003343634799</v>
      </c>
      <c r="F128" s="114" t="s">
        <v>1032</v>
      </c>
      <c r="G128" s="114" t="b">
        <v>0</v>
      </c>
      <c r="H128" s="114" t="b">
        <v>0</v>
      </c>
      <c r="I128" s="114" t="b">
        <v>0</v>
      </c>
      <c r="J128" s="114" t="b">
        <v>0</v>
      </c>
      <c r="K128" s="114" t="b">
        <v>0</v>
      </c>
      <c r="L128" s="114" t="b">
        <v>0</v>
      </c>
    </row>
    <row r="129" spans="1:12" ht="15">
      <c r="A129" s="114" t="s">
        <v>1147</v>
      </c>
      <c r="B129" s="114" t="s">
        <v>1096</v>
      </c>
      <c r="C129" s="114">
        <v>4</v>
      </c>
      <c r="D129" s="116">
        <v>0.017706823387582796</v>
      </c>
      <c r="E129" s="116">
        <v>1.716003343634799</v>
      </c>
      <c r="F129" s="114" t="s">
        <v>1032</v>
      </c>
      <c r="G129" s="114" t="b">
        <v>0</v>
      </c>
      <c r="H129" s="114" t="b">
        <v>0</v>
      </c>
      <c r="I129" s="114" t="b">
        <v>0</v>
      </c>
      <c r="J129" s="114" t="b">
        <v>0</v>
      </c>
      <c r="K129" s="114" t="b">
        <v>0</v>
      </c>
      <c r="L129" s="114" t="b">
        <v>0</v>
      </c>
    </row>
    <row r="130" spans="1:12" ht="15">
      <c r="A130" s="114" t="s">
        <v>1121</v>
      </c>
      <c r="B130" s="114" t="s">
        <v>1122</v>
      </c>
      <c r="C130" s="114">
        <v>4</v>
      </c>
      <c r="D130" s="116">
        <v>0.01536674021076311</v>
      </c>
      <c r="E130" s="116">
        <v>1.6190933306267428</v>
      </c>
      <c r="F130" s="114" t="s">
        <v>1032</v>
      </c>
      <c r="G130" s="114" t="b">
        <v>0</v>
      </c>
      <c r="H130" s="114" t="b">
        <v>0</v>
      </c>
      <c r="I130" s="114" t="b">
        <v>0</v>
      </c>
      <c r="J130" s="114" t="b">
        <v>0</v>
      </c>
      <c r="K130" s="114" t="b">
        <v>0</v>
      </c>
      <c r="L130" s="114" t="b">
        <v>0</v>
      </c>
    </row>
    <row r="131" spans="1:12" ht="15">
      <c r="A131" s="114" t="s">
        <v>1120</v>
      </c>
      <c r="B131" s="114" t="s">
        <v>1078</v>
      </c>
      <c r="C131" s="114">
        <v>3</v>
      </c>
      <c r="D131" s="116">
        <v>0.011525055158072332</v>
      </c>
      <c r="E131" s="116">
        <v>1.2900346113625178</v>
      </c>
      <c r="F131" s="114" t="s">
        <v>1032</v>
      </c>
      <c r="G131" s="114" t="b">
        <v>0</v>
      </c>
      <c r="H131" s="114" t="b">
        <v>0</v>
      </c>
      <c r="I131" s="114" t="b">
        <v>0</v>
      </c>
      <c r="J131" s="114" t="b">
        <v>0</v>
      </c>
      <c r="K131" s="114" t="b">
        <v>0</v>
      </c>
      <c r="L131" s="114" t="b">
        <v>0</v>
      </c>
    </row>
    <row r="132" spans="1:12" ht="15">
      <c r="A132" s="114" t="s">
        <v>1082</v>
      </c>
      <c r="B132" s="114" t="s">
        <v>1077</v>
      </c>
      <c r="C132" s="114">
        <v>3</v>
      </c>
      <c r="D132" s="116">
        <v>0.011525055158072332</v>
      </c>
      <c r="E132" s="116">
        <v>0.6368220975871743</v>
      </c>
      <c r="F132" s="114" t="s">
        <v>1032</v>
      </c>
      <c r="G132" s="114" t="b">
        <v>0</v>
      </c>
      <c r="H132" s="114" t="b">
        <v>0</v>
      </c>
      <c r="I132" s="114" t="b">
        <v>0</v>
      </c>
      <c r="J132" s="114" t="b">
        <v>0</v>
      </c>
      <c r="K132" s="114" t="b">
        <v>0</v>
      </c>
      <c r="L132" s="114" t="b">
        <v>0</v>
      </c>
    </row>
    <row r="133" spans="1:12" ht="15">
      <c r="A133" s="114" t="s">
        <v>1090</v>
      </c>
      <c r="B133" s="114" t="s">
        <v>1077</v>
      </c>
      <c r="C133" s="114">
        <v>3</v>
      </c>
      <c r="D133" s="116">
        <v>0.011525055158072332</v>
      </c>
      <c r="E133" s="116">
        <v>0.460730838531493</v>
      </c>
      <c r="F133" s="114" t="s">
        <v>1032</v>
      </c>
      <c r="G133" s="114" t="b">
        <v>0</v>
      </c>
      <c r="H133" s="114" t="b">
        <v>0</v>
      </c>
      <c r="I133" s="114" t="b">
        <v>0</v>
      </c>
      <c r="J133" s="114" t="b">
        <v>0</v>
      </c>
      <c r="K133" s="114" t="b">
        <v>0</v>
      </c>
      <c r="L133" s="114" t="b">
        <v>0</v>
      </c>
    </row>
    <row r="134" spans="1:12" ht="15">
      <c r="A134" s="114" t="s">
        <v>1161</v>
      </c>
      <c r="B134" s="114" t="s">
        <v>1214</v>
      </c>
      <c r="C134" s="114">
        <v>2</v>
      </c>
      <c r="D134" s="116">
        <v>0.010853611000528814</v>
      </c>
      <c r="E134" s="116">
        <v>1.9378520932511554</v>
      </c>
      <c r="F134" s="114" t="s">
        <v>1032</v>
      </c>
      <c r="G134" s="114" t="b">
        <v>0</v>
      </c>
      <c r="H134" s="114" t="b">
        <v>0</v>
      </c>
      <c r="I134" s="114" t="b">
        <v>0</v>
      </c>
      <c r="J134" s="114" t="b">
        <v>0</v>
      </c>
      <c r="K134" s="114" t="b">
        <v>0</v>
      </c>
      <c r="L134" s="114" t="b">
        <v>0</v>
      </c>
    </row>
    <row r="135" spans="1:12" ht="15">
      <c r="A135" s="114" t="s">
        <v>1214</v>
      </c>
      <c r="B135" s="114" t="s">
        <v>1113</v>
      </c>
      <c r="C135" s="114">
        <v>2</v>
      </c>
      <c r="D135" s="116">
        <v>0.010853611000528814</v>
      </c>
      <c r="E135" s="116">
        <v>1.9378520932511554</v>
      </c>
      <c r="F135" s="114" t="s">
        <v>1032</v>
      </c>
      <c r="G135" s="114" t="b">
        <v>0</v>
      </c>
      <c r="H135" s="114" t="b">
        <v>0</v>
      </c>
      <c r="I135" s="114" t="b">
        <v>0</v>
      </c>
      <c r="J135" s="114" t="b">
        <v>0</v>
      </c>
      <c r="K135" s="114" t="b">
        <v>0</v>
      </c>
      <c r="L135" s="114" t="b">
        <v>0</v>
      </c>
    </row>
    <row r="136" spans="1:12" ht="15">
      <c r="A136" s="114" t="s">
        <v>1090</v>
      </c>
      <c r="B136" s="114" t="s">
        <v>1086</v>
      </c>
      <c r="C136" s="114">
        <v>2</v>
      </c>
      <c r="D136" s="116">
        <v>0.008853411693791398</v>
      </c>
      <c r="E136" s="116">
        <v>1.0627908298594555</v>
      </c>
      <c r="F136" s="114" t="s">
        <v>1032</v>
      </c>
      <c r="G136" s="114" t="b">
        <v>0</v>
      </c>
      <c r="H136" s="114" t="b">
        <v>0</v>
      </c>
      <c r="I136" s="114" t="b">
        <v>0</v>
      </c>
      <c r="J136" s="114" t="b">
        <v>1</v>
      </c>
      <c r="K136" s="114" t="b">
        <v>0</v>
      </c>
      <c r="L136" s="114" t="b">
        <v>0</v>
      </c>
    </row>
    <row r="137" spans="1:12" ht="15">
      <c r="A137" s="114" t="s">
        <v>1096</v>
      </c>
      <c r="B137" s="114" t="s">
        <v>1145</v>
      </c>
      <c r="C137" s="114">
        <v>2</v>
      </c>
      <c r="D137" s="116">
        <v>0.008853411693791398</v>
      </c>
      <c r="E137" s="116">
        <v>1.6368220975871743</v>
      </c>
      <c r="F137" s="114" t="s">
        <v>1032</v>
      </c>
      <c r="G137" s="114" t="b">
        <v>0</v>
      </c>
      <c r="H137" s="114" t="b">
        <v>0</v>
      </c>
      <c r="I137" s="114" t="b">
        <v>0</v>
      </c>
      <c r="J137" s="114" t="b">
        <v>0</v>
      </c>
      <c r="K137" s="114" t="b">
        <v>0</v>
      </c>
      <c r="L137" s="114" t="b">
        <v>0</v>
      </c>
    </row>
    <row r="138" spans="1:12" ht="15">
      <c r="A138" s="114" t="s">
        <v>1077</v>
      </c>
      <c r="B138" s="114" t="s">
        <v>1109</v>
      </c>
      <c r="C138" s="114">
        <v>2</v>
      </c>
      <c r="D138" s="116">
        <v>0.008853411693791398</v>
      </c>
      <c r="E138" s="116">
        <v>0.4464903994168829</v>
      </c>
      <c r="F138" s="114" t="s">
        <v>1032</v>
      </c>
      <c r="G138" s="114" t="b">
        <v>0</v>
      </c>
      <c r="H138" s="114" t="b">
        <v>0</v>
      </c>
      <c r="I138" s="114" t="b">
        <v>0</v>
      </c>
      <c r="J138" s="114" t="b">
        <v>0</v>
      </c>
      <c r="K138" s="114" t="b">
        <v>0</v>
      </c>
      <c r="L138" s="114" t="b">
        <v>0</v>
      </c>
    </row>
    <row r="139" spans="1:12" ht="15">
      <c r="A139" s="114" t="s">
        <v>1109</v>
      </c>
      <c r="B139" s="114" t="s">
        <v>1077</v>
      </c>
      <c r="C139" s="114">
        <v>2</v>
      </c>
      <c r="D139" s="116">
        <v>0.008853411693791398</v>
      </c>
      <c r="E139" s="116">
        <v>0.5399120845791179</v>
      </c>
      <c r="F139" s="114" t="s">
        <v>1032</v>
      </c>
      <c r="G139" s="114" t="b">
        <v>0</v>
      </c>
      <c r="H139" s="114" t="b">
        <v>0</v>
      </c>
      <c r="I139" s="114" t="b">
        <v>0</v>
      </c>
      <c r="J139" s="114" t="b">
        <v>0</v>
      </c>
      <c r="K139" s="114" t="b">
        <v>0</v>
      </c>
      <c r="L139" s="114" t="b">
        <v>0</v>
      </c>
    </row>
    <row r="140" spans="1:12" ht="15">
      <c r="A140" s="114" t="s">
        <v>1088</v>
      </c>
      <c r="B140" s="114" t="s">
        <v>1077</v>
      </c>
      <c r="C140" s="114">
        <v>2</v>
      </c>
      <c r="D140" s="116">
        <v>0.008853411693791398</v>
      </c>
      <c r="E140" s="116">
        <v>0.7617608341954742</v>
      </c>
      <c r="F140" s="114" t="s">
        <v>1032</v>
      </c>
      <c r="G140" s="114" t="b">
        <v>0</v>
      </c>
      <c r="H140" s="114" t="b">
        <v>0</v>
      </c>
      <c r="I140" s="114" t="b">
        <v>0</v>
      </c>
      <c r="J140" s="114" t="b">
        <v>0</v>
      </c>
      <c r="K140" s="114" t="b">
        <v>0</v>
      </c>
      <c r="L140" s="114" t="b">
        <v>0</v>
      </c>
    </row>
    <row r="141" spans="1:12" ht="15">
      <c r="A141" s="114" t="s">
        <v>1290</v>
      </c>
      <c r="B141" s="114" t="s">
        <v>1109</v>
      </c>
      <c r="C141" s="114">
        <v>2</v>
      </c>
      <c r="D141" s="116">
        <v>0.010853611000528814</v>
      </c>
      <c r="E141" s="116">
        <v>1.6368220975871743</v>
      </c>
      <c r="F141" s="114" t="s">
        <v>1032</v>
      </c>
      <c r="G141" s="114" t="b">
        <v>0</v>
      </c>
      <c r="H141" s="114" t="b">
        <v>0</v>
      </c>
      <c r="I141" s="114" t="b">
        <v>0</v>
      </c>
      <c r="J141" s="114" t="b">
        <v>0</v>
      </c>
      <c r="K141" s="114" t="b">
        <v>0</v>
      </c>
      <c r="L141" s="114" t="b">
        <v>0</v>
      </c>
    </row>
    <row r="142" spans="1:12" ht="15">
      <c r="A142" s="114" t="s">
        <v>1090</v>
      </c>
      <c r="B142" s="114" t="s">
        <v>1289</v>
      </c>
      <c r="C142" s="114">
        <v>2</v>
      </c>
      <c r="D142" s="116">
        <v>0.008853411693791398</v>
      </c>
      <c r="E142" s="116">
        <v>1.460730838531493</v>
      </c>
      <c r="F142" s="114" t="s">
        <v>1032</v>
      </c>
      <c r="G142" s="114" t="b">
        <v>0</v>
      </c>
      <c r="H142" s="114" t="b">
        <v>0</v>
      </c>
      <c r="I142" s="114" t="b">
        <v>0</v>
      </c>
      <c r="J142" s="114" t="b">
        <v>0</v>
      </c>
      <c r="K142" s="114" t="b">
        <v>0</v>
      </c>
      <c r="L142" s="114" t="b">
        <v>0</v>
      </c>
    </row>
    <row r="143" spans="1:12" ht="15">
      <c r="A143" s="114" t="s">
        <v>1077</v>
      </c>
      <c r="B143" s="114" t="s">
        <v>1123</v>
      </c>
      <c r="C143" s="114">
        <v>2</v>
      </c>
      <c r="D143" s="116">
        <v>0.008853411693791398</v>
      </c>
      <c r="E143" s="116">
        <v>0.6225816584725641</v>
      </c>
      <c r="F143" s="114" t="s">
        <v>1032</v>
      </c>
      <c r="G143" s="114" t="b">
        <v>0</v>
      </c>
      <c r="H143" s="114" t="b">
        <v>0</v>
      </c>
      <c r="I143" s="114" t="b">
        <v>0</v>
      </c>
      <c r="J143" s="114" t="b">
        <v>0</v>
      </c>
      <c r="K143" s="114" t="b">
        <v>0</v>
      </c>
      <c r="L143" s="114" t="b">
        <v>0</v>
      </c>
    </row>
    <row r="144" spans="1:12" ht="15">
      <c r="A144" s="114" t="s">
        <v>1091</v>
      </c>
      <c r="B144" s="114" t="s">
        <v>1123</v>
      </c>
      <c r="C144" s="114">
        <v>2</v>
      </c>
      <c r="D144" s="116">
        <v>0.008853411693791398</v>
      </c>
      <c r="E144" s="116">
        <v>1.5118833609788744</v>
      </c>
      <c r="F144" s="114" t="s">
        <v>1032</v>
      </c>
      <c r="G144" s="114" t="b">
        <v>0</v>
      </c>
      <c r="H144" s="114" t="b">
        <v>0</v>
      </c>
      <c r="I144" s="114" t="b">
        <v>0</v>
      </c>
      <c r="J144" s="114" t="b">
        <v>0</v>
      </c>
      <c r="K144" s="114" t="b">
        <v>0</v>
      </c>
      <c r="L144" s="114" t="b">
        <v>0</v>
      </c>
    </row>
    <row r="145" spans="1:12" ht="15">
      <c r="A145" s="114" t="s">
        <v>1195</v>
      </c>
      <c r="B145" s="114" t="s">
        <v>1322</v>
      </c>
      <c r="C145" s="114">
        <v>2</v>
      </c>
      <c r="D145" s="116">
        <v>0.008853411693791398</v>
      </c>
      <c r="E145" s="116">
        <v>1.9378520932511554</v>
      </c>
      <c r="F145" s="114" t="s">
        <v>1032</v>
      </c>
      <c r="G145" s="114" t="b">
        <v>0</v>
      </c>
      <c r="H145" s="114" t="b">
        <v>0</v>
      </c>
      <c r="I145" s="114" t="b">
        <v>0</v>
      </c>
      <c r="J145" s="114" t="b">
        <v>0</v>
      </c>
      <c r="K145" s="114" t="b">
        <v>0</v>
      </c>
      <c r="L145" s="114" t="b">
        <v>0</v>
      </c>
    </row>
    <row r="146" spans="1:12" ht="15">
      <c r="A146" s="114" t="s">
        <v>1086</v>
      </c>
      <c r="B146" s="114" t="s">
        <v>1077</v>
      </c>
      <c r="C146" s="114">
        <v>2</v>
      </c>
      <c r="D146" s="116">
        <v>0.008853411693791398</v>
      </c>
      <c r="E146" s="116">
        <v>0.460730838531493</v>
      </c>
      <c r="F146" s="114" t="s">
        <v>1032</v>
      </c>
      <c r="G146" s="114" t="b">
        <v>1</v>
      </c>
      <c r="H146" s="114" t="b">
        <v>0</v>
      </c>
      <c r="I146" s="114" t="b">
        <v>0</v>
      </c>
      <c r="J146" s="114" t="b">
        <v>0</v>
      </c>
      <c r="K146" s="114" t="b">
        <v>0</v>
      </c>
      <c r="L146" s="114" t="b">
        <v>0</v>
      </c>
    </row>
    <row r="147" spans="1:12" ht="15">
      <c r="A147" s="114" t="s">
        <v>1324</v>
      </c>
      <c r="B147" s="114" t="s">
        <v>1197</v>
      </c>
      <c r="C147" s="114">
        <v>2</v>
      </c>
      <c r="D147" s="116">
        <v>0.008853411693791398</v>
      </c>
      <c r="E147" s="116">
        <v>1.9378520932511554</v>
      </c>
      <c r="F147" s="114" t="s">
        <v>1032</v>
      </c>
      <c r="G147" s="114" t="b">
        <v>0</v>
      </c>
      <c r="H147" s="114" t="b">
        <v>0</v>
      </c>
      <c r="I147" s="114" t="b">
        <v>0</v>
      </c>
      <c r="J147" s="114" t="b">
        <v>0</v>
      </c>
      <c r="K147" s="114" t="b">
        <v>0</v>
      </c>
      <c r="L147" s="114" t="b">
        <v>0</v>
      </c>
    </row>
    <row r="148" spans="1:12" ht="15">
      <c r="A148" s="114" t="s">
        <v>1197</v>
      </c>
      <c r="B148" s="114" t="s">
        <v>1080</v>
      </c>
      <c r="C148" s="114">
        <v>2</v>
      </c>
      <c r="D148" s="116">
        <v>0.008853411693791398</v>
      </c>
      <c r="E148" s="116">
        <v>1.39378404890088</v>
      </c>
      <c r="F148" s="114" t="s">
        <v>1032</v>
      </c>
      <c r="G148" s="114" t="b">
        <v>0</v>
      </c>
      <c r="H148" s="114" t="b">
        <v>0</v>
      </c>
      <c r="I148" s="114" t="b">
        <v>0</v>
      </c>
      <c r="J148" s="114" t="b">
        <v>0</v>
      </c>
      <c r="K148" s="114" t="b">
        <v>0</v>
      </c>
      <c r="L148" s="114" t="b">
        <v>0</v>
      </c>
    </row>
    <row r="149" spans="1:12" ht="15">
      <c r="A149" s="114" t="s">
        <v>1285</v>
      </c>
      <c r="B149" s="114" t="s">
        <v>1077</v>
      </c>
      <c r="C149" s="114">
        <v>2</v>
      </c>
      <c r="D149" s="116">
        <v>0.017391304347826087</v>
      </c>
      <c r="E149" s="116">
        <v>1.0746336182969043</v>
      </c>
      <c r="F149" s="114" t="s">
        <v>1033</v>
      </c>
      <c r="G149" s="114" t="b">
        <v>0</v>
      </c>
      <c r="H149" s="114" t="b">
        <v>0</v>
      </c>
      <c r="I149" s="114" t="b">
        <v>0</v>
      </c>
      <c r="J149" s="114" t="b">
        <v>0</v>
      </c>
      <c r="K149" s="114" t="b">
        <v>0</v>
      </c>
      <c r="L149" s="114" t="b">
        <v>0</v>
      </c>
    </row>
    <row r="150" spans="1:12" ht="15">
      <c r="A150" s="114" t="s">
        <v>1083</v>
      </c>
      <c r="B150" s="114" t="s">
        <v>1087</v>
      </c>
      <c r="C150" s="114">
        <v>2</v>
      </c>
      <c r="D150" s="116">
        <v>0.011218734146047437</v>
      </c>
      <c r="E150" s="116">
        <v>1.2741578492636798</v>
      </c>
      <c r="F150" s="114" t="s">
        <v>1034</v>
      </c>
      <c r="G150" s="114" t="b">
        <v>0</v>
      </c>
      <c r="H150" s="114" t="b">
        <v>0</v>
      </c>
      <c r="I150" s="114" t="b">
        <v>0</v>
      </c>
      <c r="J150" s="114" t="b">
        <v>0</v>
      </c>
      <c r="K150" s="114" t="b">
        <v>0</v>
      </c>
      <c r="L150" s="114" t="b">
        <v>0</v>
      </c>
    </row>
    <row r="151" spans="1:12" ht="15">
      <c r="A151" s="114" t="s">
        <v>1237</v>
      </c>
      <c r="B151" s="114" t="s">
        <v>1116</v>
      </c>
      <c r="C151" s="114">
        <v>2</v>
      </c>
      <c r="D151" s="116">
        <v>0.011218734146047437</v>
      </c>
      <c r="E151" s="116">
        <v>1.8481891169913987</v>
      </c>
      <c r="F151" s="114" t="s">
        <v>1034</v>
      </c>
      <c r="G151" s="114" t="b">
        <v>0</v>
      </c>
      <c r="H151" s="114" t="b">
        <v>0</v>
      </c>
      <c r="I151" s="114" t="b">
        <v>0</v>
      </c>
      <c r="J151" s="114" t="b">
        <v>0</v>
      </c>
      <c r="K151" s="114" t="b">
        <v>0</v>
      </c>
      <c r="L151" s="114" t="b">
        <v>0</v>
      </c>
    </row>
    <row r="152" spans="1:12" ht="15">
      <c r="A152" s="114" t="s">
        <v>1116</v>
      </c>
      <c r="B152" s="114" t="s">
        <v>1105</v>
      </c>
      <c r="C152" s="114">
        <v>2</v>
      </c>
      <c r="D152" s="116">
        <v>0.011218734146047437</v>
      </c>
      <c r="E152" s="116">
        <v>1.3710678622717363</v>
      </c>
      <c r="F152" s="114" t="s">
        <v>1034</v>
      </c>
      <c r="G152" s="114" t="b">
        <v>0</v>
      </c>
      <c r="H152" s="114" t="b">
        <v>0</v>
      </c>
      <c r="I152" s="114" t="b">
        <v>0</v>
      </c>
      <c r="J152" s="114" t="b">
        <v>0</v>
      </c>
      <c r="K152" s="114" t="b">
        <v>0</v>
      </c>
      <c r="L152" s="114" t="b">
        <v>0</v>
      </c>
    </row>
    <row r="153" spans="1:12" ht="15">
      <c r="A153" s="114" t="s">
        <v>1083</v>
      </c>
      <c r="B153" s="114" t="s">
        <v>1165</v>
      </c>
      <c r="C153" s="114">
        <v>2</v>
      </c>
      <c r="D153" s="116">
        <v>0.011218734146047437</v>
      </c>
      <c r="E153" s="116">
        <v>1.4502491083193612</v>
      </c>
      <c r="F153" s="114" t="s">
        <v>1034</v>
      </c>
      <c r="G153" s="114" t="b">
        <v>0</v>
      </c>
      <c r="H153" s="114" t="b">
        <v>0</v>
      </c>
      <c r="I153" s="114" t="b">
        <v>0</v>
      </c>
      <c r="J153" s="114" t="b">
        <v>0</v>
      </c>
      <c r="K153" s="114" t="b">
        <v>0</v>
      </c>
      <c r="L153" s="114" t="b">
        <v>0</v>
      </c>
    </row>
    <row r="154" spans="1:12" ht="15">
      <c r="A154" s="114" t="s">
        <v>1171</v>
      </c>
      <c r="B154" s="114" t="s">
        <v>1227</v>
      </c>
      <c r="C154" s="114">
        <v>2</v>
      </c>
      <c r="D154" s="116">
        <v>0.011218734146047437</v>
      </c>
      <c r="E154" s="116">
        <v>1.6720978579357175</v>
      </c>
      <c r="F154" s="114" t="s">
        <v>1034</v>
      </c>
      <c r="G154" s="114" t="b">
        <v>0</v>
      </c>
      <c r="H154" s="114" t="b">
        <v>0</v>
      </c>
      <c r="I154" s="114" t="b">
        <v>0</v>
      </c>
      <c r="J154" s="114" t="b">
        <v>0</v>
      </c>
      <c r="K154" s="114" t="b">
        <v>0</v>
      </c>
      <c r="L154" s="114" t="b">
        <v>0</v>
      </c>
    </row>
    <row r="155" spans="1:12" ht="15">
      <c r="A155" s="114" t="s">
        <v>1227</v>
      </c>
      <c r="B155" s="114" t="s">
        <v>1130</v>
      </c>
      <c r="C155" s="114">
        <v>2</v>
      </c>
      <c r="D155" s="116">
        <v>0.011218734146047437</v>
      </c>
      <c r="E155" s="116">
        <v>1.5471591213274176</v>
      </c>
      <c r="F155" s="114" t="s">
        <v>1034</v>
      </c>
      <c r="G155" s="114" t="b">
        <v>0</v>
      </c>
      <c r="H155" s="114" t="b">
        <v>0</v>
      </c>
      <c r="I155" s="114" t="b">
        <v>0</v>
      </c>
      <c r="J155" s="114" t="b">
        <v>0</v>
      </c>
      <c r="K155" s="114" t="b">
        <v>0</v>
      </c>
      <c r="L155" s="114" t="b">
        <v>0</v>
      </c>
    </row>
    <row r="156" spans="1:12" ht="15">
      <c r="A156" s="114" t="s">
        <v>1130</v>
      </c>
      <c r="B156" s="114" t="s">
        <v>1228</v>
      </c>
      <c r="C156" s="114">
        <v>2</v>
      </c>
      <c r="D156" s="116">
        <v>0.011218734146047437</v>
      </c>
      <c r="E156" s="116">
        <v>1.5471591213274176</v>
      </c>
      <c r="F156" s="114" t="s">
        <v>1034</v>
      </c>
      <c r="G156" s="114" t="b">
        <v>0</v>
      </c>
      <c r="H156" s="114" t="b">
        <v>0</v>
      </c>
      <c r="I156" s="114" t="b">
        <v>0</v>
      </c>
      <c r="J156" s="114" t="b">
        <v>0</v>
      </c>
      <c r="K156" s="114" t="b">
        <v>0</v>
      </c>
      <c r="L156" s="114" t="b">
        <v>0</v>
      </c>
    </row>
    <row r="157" spans="1:12" ht="15">
      <c r="A157" s="114" t="s">
        <v>1228</v>
      </c>
      <c r="B157" s="114" t="s">
        <v>1229</v>
      </c>
      <c r="C157" s="114">
        <v>2</v>
      </c>
      <c r="D157" s="116">
        <v>0.011218734146047437</v>
      </c>
      <c r="E157" s="116">
        <v>1.8481891169913987</v>
      </c>
      <c r="F157" s="114" t="s">
        <v>1034</v>
      </c>
      <c r="G157" s="114" t="b">
        <v>0</v>
      </c>
      <c r="H157" s="114" t="b">
        <v>0</v>
      </c>
      <c r="I157" s="114" t="b">
        <v>0</v>
      </c>
      <c r="J157" s="114" t="b">
        <v>0</v>
      </c>
      <c r="K157" s="114" t="b">
        <v>0</v>
      </c>
      <c r="L157" s="114" t="b">
        <v>0</v>
      </c>
    </row>
    <row r="158" spans="1:12" ht="15">
      <c r="A158" s="114" t="s">
        <v>1128</v>
      </c>
      <c r="B158" s="114" t="s">
        <v>1115</v>
      </c>
      <c r="C158" s="114">
        <v>2</v>
      </c>
      <c r="D158" s="116">
        <v>0.011218734146047437</v>
      </c>
      <c r="E158" s="116">
        <v>1.8481891169913987</v>
      </c>
      <c r="F158" s="114" t="s">
        <v>1034</v>
      </c>
      <c r="G158" s="114" t="b">
        <v>0</v>
      </c>
      <c r="H158" s="114" t="b">
        <v>0</v>
      </c>
      <c r="I158" s="114" t="b">
        <v>0</v>
      </c>
      <c r="J158" s="114" t="b">
        <v>0</v>
      </c>
      <c r="K158" s="114" t="b">
        <v>0</v>
      </c>
      <c r="L158" s="114" t="b">
        <v>0</v>
      </c>
    </row>
    <row r="159" spans="1:12" ht="15">
      <c r="A159" s="114" t="s">
        <v>1115</v>
      </c>
      <c r="B159" s="114" t="s">
        <v>1164</v>
      </c>
      <c r="C159" s="114">
        <v>2</v>
      </c>
      <c r="D159" s="116">
        <v>0.011218734146047437</v>
      </c>
      <c r="E159" s="116">
        <v>1.6720978579357175</v>
      </c>
      <c r="F159" s="114" t="s">
        <v>1034</v>
      </c>
      <c r="G159" s="114" t="b">
        <v>0</v>
      </c>
      <c r="H159" s="114" t="b">
        <v>0</v>
      </c>
      <c r="I159" s="114" t="b">
        <v>0</v>
      </c>
      <c r="J159" s="114" t="b">
        <v>0</v>
      </c>
      <c r="K159" s="114" t="b">
        <v>0</v>
      </c>
      <c r="L159" s="114" t="b">
        <v>0</v>
      </c>
    </row>
    <row r="160" spans="1:12" ht="15">
      <c r="A160" s="114" t="s">
        <v>1202</v>
      </c>
      <c r="B160" s="114" t="s">
        <v>1203</v>
      </c>
      <c r="C160" s="114">
        <v>3</v>
      </c>
      <c r="D160" s="116">
        <v>0.035366132922051464</v>
      </c>
      <c r="E160" s="116">
        <v>1.2304489213782739</v>
      </c>
      <c r="F160" s="114" t="s">
        <v>1035</v>
      </c>
      <c r="G160" s="114" t="b">
        <v>0</v>
      </c>
      <c r="H160" s="114" t="b">
        <v>0</v>
      </c>
      <c r="I160" s="114" t="b">
        <v>0</v>
      </c>
      <c r="J160" s="114" t="b">
        <v>0</v>
      </c>
      <c r="K160" s="114" t="b">
        <v>0</v>
      </c>
      <c r="L160" s="114" t="b">
        <v>0</v>
      </c>
    </row>
    <row r="161" spans="1:12" ht="15">
      <c r="A161" s="114" t="s">
        <v>1199</v>
      </c>
      <c r="B161" s="114" t="s">
        <v>1110</v>
      </c>
      <c r="C161" s="114">
        <v>2</v>
      </c>
      <c r="D161" s="116">
        <v>0.03761040002802438</v>
      </c>
      <c r="E161" s="116">
        <v>1.4065401804339552</v>
      </c>
      <c r="F161" s="114" t="s">
        <v>1035</v>
      </c>
      <c r="G161" s="114" t="b">
        <v>0</v>
      </c>
      <c r="H161" s="114" t="b">
        <v>0</v>
      </c>
      <c r="I161" s="114" t="b">
        <v>0</v>
      </c>
      <c r="J161" s="114" t="b">
        <v>0</v>
      </c>
      <c r="K161" s="114" t="b">
        <v>0</v>
      </c>
      <c r="L161" s="114" t="b">
        <v>0</v>
      </c>
    </row>
    <row r="162" spans="1:12" ht="15">
      <c r="A162" s="114" t="s">
        <v>1155</v>
      </c>
      <c r="B162" s="114" t="s">
        <v>1144</v>
      </c>
      <c r="C162" s="114">
        <v>2</v>
      </c>
      <c r="D162" s="116">
        <v>0.02875657662614258</v>
      </c>
      <c r="E162" s="116">
        <v>0.9294189257142927</v>
      </c>
      <c r="F162" s="114" t="s">
        <v>1035</v>
      </c>
      <c r="G162" s="114" t="b">
        <v>0</v>
      </c>
      <c r="H162" s="114" t="b">
        <v>0</v>
      </c>
      <c r="I162" s="114" t="b">
        <v>0</v>
      </c>
      <c r="J162" s="114" t="b">
        <v>0</v>
      </c>
      <c r="K162" s="114" t="b">
        <v>0</v>
      </c>
      <c r="L162" s="114" t="b">
        <v>0</v>
      </c>
    </row>
    <row r="163" spans="1:12" ht="15">
      <c r="A163" s="114" t="s">
        <v>1144</v>
      </c>
      <c r="B163" s="114" t="s">
        <v>1091</v>
      </c>
      <c r="C163" s="114">
        <v>2</v>
      </c>
      <c r="D163" s="116">
        <v>0.02875657662614258</v>
      </c>
      <c r="E163" s="116">
        <v>0.8325089127062363</v>
      </c>
      <c r="F163" s="114" t="s">
        <v>1035</v>
      </c>
      <c r="G163" s="114" t="b">
        <v>0</v>
      </c>
      <c r="H163" s="114" t="b">
        <v>0</v>
      </c>
      <c r="I163" s="114" t="b">
        <v>0</v>
      </c>
      <c r="J163" s="114" t="b">
        <v>0</v>
      </c>
      <c r="K163" s="114" t="b">
        <v>0</v>
      </c>
      <c r="L163" s="114" t="b">
        <v>0</v>
      </c>
    </row>
    <row r="164" spans="1:12" ht="15">
      <c r="A164" s="114" t="s">
        <v>1155</v>
      </c>
      <c r="B164" s="114" t="s">
        <v>1091</v>
      </c>
      <c r="C164" s="114">
        <v>2</v>
      </c>
      <c r="D164" s="116">
        <v>0.02875657662614258</v>
      </c>
      <c r="E164" s="116">
        <v>0.7075701760979364</v>
      </c>
      <c r="F164" s="114" t="s">
        <v>1035</v>
      </c>
      <c r="G164" s="114" t="b">
        <v>0</v>
      </c>
      <c r="H164" s="114" t="b">
        <v>0</v>
      </c>
      <c r="I164" s="114" t="b">
        <v>0</v>
      </c>
      <c r="J164" s="114" t="b">
        <v>0</v>
      </c>
      <c r="K164" s="114" t="b">
        <v>0</v>
      </c>
      <c r="L164" s="114" t="b">
        <v>0</v>
      </c>
    </row>
    <row r="165" spans="1:12" ht="15">
      <c r="A165" s="114" t="s">
        <v>1091</v>
      </c>
      <c r="B165" s="114" t="s">
        <v>1201</v>
      </c>
      <c r="C165" s="114">
        <v>2</v>
      </c>
      <c r="D165" s="116">
        <v>0.02875657662614258</v>
      </c>
      <c r="E165" s="116">
        <v>1.2304489213782739</v>
      </c>
      <c r="F165" s="114" t="s">
        <v>1035</v>
      </c>
      <c r="G165" s="114" t="b">
        <v>0</v>
      </c>
      <c r="H165" s="114" t="b">
        <v>0</v>
      </c>
      <c r="I165" s="114" t="b">
        <v>0</v>
      </c>
      <c r="J165" s="114" t="b">
        <v>0</v>
      </c>
      <c r="K165" s="114" t="b">
        <v>0</v>
      </c>
      <c r="L165" s="114" t="b">
        <v>0</v>
      </c>
    </row>
    <row r="166" spans="1:12" ht="15">
      <c r="A166" s="114" t="s">
        <v>1156</v>
      </c>
      <c r="B166" s="114" t="s">
        <v>1156</v>
      </c>
      <c r="C166" s="114">
        <v>2</v>
      </c>
      <c r="D166" s="116">
        <v>0.02875657662614258</v>
      </c>
      <c r="E166" s="116">
        <v>1.105510184769974</v>
      </c>
      <c r="F166" s="114" t="s">
        <v>1035</v>
      </c>
      <c r="G166" s="114" t="b">
        <v>0</v>
      </c>
      <c r="H166" s="114" t="b">
        <v>0</v>
      </c>
      <c r="I166" s="114" t="b">
        <v>0</v>
      </c>
      <c r="J166" s="114" t="b">
        <v>0</v>
      </c>
      <c r="K166" s="114" t="b">
        <v>0</v>
      </c>
      <c r="L166" s="114" t="b">
        <v>0</v>
      </c>
    </row>
    <row r="167" spans="1:12" ht="15">
      <c r="A167" s="114" t="s">
        <v>1119</v>
      </c>
      <c r="B167" s="114" t="s">
        <v>1095</v>
      </c>
      <c r="C167" s="114">
        <v>4</v>
      </c>
      <c r="D167" s="116">
        <v>0.03407886743365825</v>
      </c>
      <c r="E167" s="116">
        <v>1.3891660843645326</v>
      </c>
      <c r="F167" s="114" t="s">
        <v>1036</v>
      </c>
      <c r="G167" s="114" t="b">
        <v>0</v>
      </c>
      <c r="H167" s="114" t="b">
        <v>0</v>
      </c>
      <c r="I167" s="114" t="b">
        <v>0</v>
      </c>
      <c r="J167" s="114" t="b">
        <v>0</v>
      </c>
      <c r="K167" s="114" t="b">
        <v>0</v>
      </c>
      <c r="L167" s="114" t="b">
        <v>0</v>
      </c>
    </row>
    <row r="168" spans="1:12" ht="15">
      <c r="A168" s="114" t="s">
        <v>1200</v>
      </c>
      <c r="B168" s="114" t="s">
        <v>1108</v>
      </c>
      <c r="C168" s="114">
        <v>3</v>
      </c>
      <c r="D168" s="116">
        <v>0.025559150575243685</v>
      </c>
      <c r="E168" s="116">
        <v>1.3891660843645324</v>
      </c>
      <c r="F168" s="114" t="s">
        <v>1036</v>
      </c>
      <c r="G168" s="114" t="b">
        <v>0</v>
      </c>
      <c r="H168" s="114" t="b">
        <v>0</v>
      </c>
      <c r="I168" s="114" t="b">
        <v>0</v>
      </c>
      <c r="J168" s="114" t="b">
        <v>0</v>
      </c>
      <c r="K168" s="114" t="b">
        <v>0</v>
      </c>
      <c r="L168" s="114" t="b">
        <v>0</v>
      </c>
    </row>
    <row r="169" spans="1:12" ht="15">
      <c r="A169" s="114" t="s">
        <v>1133</v>
      </c>
      <c r="B169" s="114" t="s">
        <v>1329</v>
      </c>
      <c r="C169" s="114">
        <v>2</v>
      </c>
      <c r="D169" s="116">
        <v>0.011359622477886083</v>
      </c>
      <c r="E169" s="116">
        <v>1.5141048209728323</v>
      </c>
      <c r="F169" s="114" t="s">
        <v>1036</v>
      </c>
      <c r="G169" s="114" t="b">
        <v>0</v>
      </c>
      <c r="H169" s="114" t="b">
        <v>0</v>
      </c>
      <c r="I169" s="114" t="b">
        <v>0</v>
      </c>
      <c r="J169" s="114" t="b">
        <v>0</v>
      </c>
      <c r="K169" s="114" t="b">
        <v>0</v>
      </c>
      <c r="L169" s="114" t="b">
        <v>0</v>
      </c>
    </row>
    <row r="170" spans="1:12" ht="15">
      <c r="A170" s="114" t="s">
        <v>1329</v>
      </c>
      <c r="B170" s="114" t="s">
        <v>1330</v>
      </c>
      <c r="C170" s="114">
        <v>2</v>
      </c>
      <c r="D170" s="116">
        <v>0.011359622477886083</v>
      </c>
      <c r="E170" s="116">
        <v>1.6901960800285136</v>
      </c>
      <c r="F170" s="114" t="s">
        <v>1036</v>
      </c>
      <c r="G170" s="114" t="b">
        <v>0</v>
      </c>
      <c r="H170" s="114" t="b">
        <v>0</v>
      </c>
      <c r="I170" s="114" t="b">
        <v>0</v>
      </c>
      <c r="J170" s="114" t="b">
        <v>0</v>
      </c>
      <c r="K170" s="114" t="b">
        <v>0</v>
      </c>
      <c r="L170" s="114" t="b">
        <v>0</v>
      </c>
    </row>
    <row r="171" spans="1:12" ht="15">
      <c r="A171" s="114" t="s">
        <v>1125</v>
      </c>
      <c r="B171" s="114" t="s">
        <v>1333</v>
      </c>
      <c r="C171" s="114">
        <v>2</v>
      </c>
      <c r="D171" s="116">
        <v>0.011359622477886083</v>
      </c>
      <c r="E171" s="116">
        <v>1.292256071356476</v>
      </c>
      <c r="F171" s="114" t="s">
        <v>1036</v>
      </c>
      <c r="G171" s="114" t="b">
        <v>0</v>
      </c>
      <c r="H171" s="114" t="b">
        <v>0</v>
      </c>
      <c r="I171" s="114" t="b">
        <v>0</v>
      </c>
      <c r="J171" s="114" t="b">
        <v>0</v>
      </c>
      <c r="K171" s="114" t="b">
        <v>0</v>
      </c>
      <c r="L171" s="114" t="b">
        <v>0</v>
      </c>
    </row>
    <row r="172" spans="1:12" ht="15">
      <c r="A172" s="114" t="s">
        <v>1335</v>
      </c>
      <c r="B172" s="114" t="s">
        <v>1119</v>
      </c>
      <c r="C172" s="114">
        <v>2</v>
      </c>
      <c r="D172" s="116">
        <v>0.017039433716829123</v>
      </c>
      <c r="E172" s="116">
        <v>1.3891660843645326</v>
      </c>
      <c r="F172" s="114" t="s">
        <v>1036</v>
      </c>
      <c r="G172" s="114" t="b">
        <v>0</v>
      </c>
      <c r="H172" s="114" t="b">
        <v>0</v>
      </c>
      <c r="I172" s="114" t="b">
        <v>0</v>
      </c>
      <c r="J172" s="114" t="b">
        <v>0</v>
      </c>
      <c r="K172" s="114" t="b">
        <v>0</v>
      </c>
      <c r="L172" s="114" t="b">
        <v>0</v>
      </c>
    </row>
    <row r="173" spans="1:12" ht="15">
      <c r="A173" s="114" t="s">
        <v>1095</v>
      </c>
      <c r="B173" s="114" t="s">
        <v>1200</v>
      </c>
      <c r="C173" s="114">
        <v>2</v>
      </c>
      <c r="D173" s="116">
        <v>0.017039433716829123</v>
      </c>
      <c r="E173" s="116">
        <v>1.2130748253088512</v>
      </c>
      <c r="F173" s="114" t="s">
        <v>1036</v>
      </c>
      <c r="G173" s="114" t="b">
        <v>0</v>
      </c>
      <c r="H173" s="114" t="b">
        <v>0</v>
      </c>
      <c r="I173" s="114" t="b">
        <v>0</v>
      </c>
      <c r="J173" s="114" t="b">
        <v>0</v>
      </c>
      <c r="K173" s="114" t="b">
        <v>0</v>
      </c>
      <c r="L173" s="114" t="b">
        <v>0</v>
      </c>
    </row>
    <row r="174" spans="1:12" ht="15">
      <c r="A174" s="114" t="s">
        <v>1108</v>
      </c>
      <c r="B174" s="114" t="s">
        <v>1153</v>
      </c>
      <c r="C174" s="114">
        <v>2</v>
      </c>
      <c r="D174" s="116">
        <v>0.017039433716829123</v>
      </c>
      <c r="E174" s="116">
        <v>1.3891660843645326</v>
      </c>
      <c r="F174" s="114" t="s">
        <v>1036</v>
      </c>
      <c r="G174" s="114" t="b">
        <v>0</v>
      </c>
      <c r="H174" s="114" t="b">
        <v>0</v>
      </c>
      <c r="I174" s="114" t="b">
        <v>0</v>
      </c>
      <c r="J174" s="114" t="b">
        <v>0</v>
      </c>
      <c r="K174" s="114" t="b">
        <v>0</v>
      </c>
      <c r="L174" s="114" t="b">
        <v>0</v>
      </c>
    </row>
    <row r="175" spans="1:12" ht="15">
      <c r="A175" s="114" t="s">
        <v>1153</v>
      </c>
      <c r="B175" s="114" t="s">
        <v>1119</v>
      </c>
      <c r="C175" s="114">
        <v>2</v>
      </c>
      <c r="D175" s="116">
        <v>0.017039433716829123</v>
      </c>
      <c r="E175" s="116">
        <v>1.3891660843645326</v>
      </c>
      <c r="F175" s="114" t="s">
        <v>1036</v>
      </c>
      <c r="G175" s="114" t="b">
        <v>0</v>
      </c>
      <c r="H175" s="114" t="b">
        <v>0</v>
      </c>
      <c r="I175" s="114" t="b">
        <v>0</v>
      </c>
      <c r="J175" s="114" t="b">
        <v>0</v>
      </c>
      <c r="K175" s="114" t="b">
        <v>0</v>
      </c>
      <c r="L175" s="114" t="b">
        <v>0</v>
      </c>
    </row>
    <row r="176" spans="1:12" ht="15">
      <c r="A176" s="114" t="s">
        <v>1373</v>
      </c>
      <c r="B176" s="114" t="s">
        <v>1134</v>
      </c>
      <c r="C176" s="114">
        <v>2</v>
      </c>
      <c r="D176" s="116">
        <v>0.017039433716829123</v>
      </c>
      <c r="E176" s="116">
        <v>1.6901960800285136</v>
      </c>
      <c r="F176" s="114" t="s">
        <v>1036</v>
      </c>
      <c r="G176" s="114" t="b">
        <v>0</v>
      </c>
      <c r="H176" s="114" t="b">
        <v>0</v>
      </c>
      <c r="I176" s="114" t="b">
        <v>0</v>
      </c>
      <c r="J176" s="114" t="b">
        <v>0</v>
      </c>
      <c r="K176" s="114" t="b">
        <v>0</v>
      </c>
      <c r="L176" s="114" t="b">
        <v>0</v>
      </c>
    </row>
    <row r="177" spans="1:12" ht="15">
      <c r="A177" s="114" t="s">
        <v>1208</v>
      </c>
      <c r="B177" s="114" t="s">
        <v>1136</v>
      </c>
      <c r="C177" s="114">
        <v>3</v>
      </c>
      <c r="D177" s="116">
        <v>0.019114479455959302</v>
      </c>
      <c r="E177" s="116">
        <v>1.4866665726258927</v>
      </c>
      <c r="F177" s="114" t="s">
        <v>1037</v>
      </c>
      <c r="G177" s="114" t="b">
        <v>0</v>
      </c>
      <c r="H177" s="114" t="b">
        <v>0</v>
      </c>
      <c r="I177" s="114" t="b">
        <v>0</v>
      </c>
      <c r="J177" s="114" t="b">
        <v>0</v>
      </c>
      <c r="K177" s="114" t="b">
        <v>0</v>
      </c>
      <c r="L177" s="114" t="b">
        <v>0</v>
      </c>
    </row>
    <row r="178" spans="1:12" ht="15">
      <c r="A178" s="114" t="s">
        <v>1136</v>
      </c>
      <c r="B178" s="114" t="s">
        <v>1157</v>
      </c>
      <c r="C178" s="114">
        <v>3</v>
      </c>
      <c r="D178" s="116">
        <v>0.019114479455959302</v>
      </c>
      <c r="E178" s="116">
        <v>1.3617278360175928</v>
      </c>
      <c r="F178" s="114" t="s">
        <v>1037</v>
      </c>
      <c r="G178" s="114" t="b">
        <v>0</v>
      </c>
      <c r="H178" s="114" t="b">
        <v>0</v>
      </c>
      <c r="I178" s="114" t="b">
        <v>0</v>
      </c>
      <c r="J178" s="114" t="b">
        <v>0</v>
      </c>
      <c r="K178" s="114" t="b">
        <v>0</v>
      </c>
      <c r="L178" s="114" t="b">
        <v>0</v>
      </c>
    </row>
    <row r="179" spans="1:12" ht="15">
      <c r="A179" s="114" t="s">
        <v>1157</v>
      </c>
      <c r="B179" s="114" t="s">
        <v>1209</v>
      </c>
      <c r="C179" s="114">
        <v>3</v>
      </c>
      <c r="D179" s="116">
        <v>0.019114479455959302</v>
      </c>
      <c r="E179" s="116">
        <v>1.3617278360175928</v>
      </c>
      <c r="F179" s="114" t="s">
        <v>1037</v>
      </c>
      <c r="G179" s="114" t="b">
        <v>0</v>
      </c>
      <c r="H179" s="114" t="b">
        <v>0</v>
      </c>
      <c r="I179" s="114" t="b">
        <v>0</v>
      </c>
      <c r="J179" s="114" t="b">
        <v>0</v>
      </c>
      <c r="K179" s="114" t="b">
        <v>0</v>
      </c>
      <c r="L179" s="114" t="b">
        <v>0</v>
      </c>
    </row>
    <row r="180" spans="1:12" ht="15">
      <c r="A180" s="114" t="s">
        <v>1365</v>
      </c>
      <c r="B180" s="114" t="s">
        <v>1366</v>
      </c>
      <c r="C180" s="114">
        <v>2</v>
      </c>
      <c r="D180" s="116">
        <v>0.016097105524081085</v>
      </c>
      <c r="E180" s="116">
        <v>1.662757831681574</v>
      </c>
      <c r="F180" s="114" t="s">
        <v>1037</v>
      </c>
      <c r="G180" s="114" t="b">
        <v>0</v>
      </c>
      <c r="H180" s="114" t="b">
        <v>0</v>
      </c>
      <c r="I180" s="114" t="b">
        <v>0</v>
      </c>
      <c r="J180" s="114" t="b">
        <v>0</v>
      </c>
      <c r="K180" s="114" t="b">
        <v>0</v>
      </c>
      <c r="L180" s="114" t="b">
        <v>0</v>
      </c>
    </row>
    <row r="181" spans="1:12" ht="15">
      <c r="A181" s="114" t="s">
        <v>1099</v>
      </c>
      <c r="B181" s="114" t="s">
        <v>1208</v>
      </c>
      <c r="C181" s="114">
        <v>2</v>
      </c>
      <c r="D181" s="116">
        <v>0.016097105524081085</v>
      </c>
      <c r="E181" s="116">
        <v>1.662757831681574</v>
      </c>
      <c r="F181" s="114" t="s">
        <v>1037</v>
      </c>
      <c r="G181" s="114" t="b">
        <v>0</v>
      </c>
      <c r="H181" s="114" t="b">
        <v>0</v>
      </c>
      <c r="I181" s="114" t="b">
        <v>0</v>
      </c>
      <c r="J181" s="114" t="b">
        <v>0</v>
      </c>
      <c r="K181" s="114" t="b">
        <v>0</v>
      </c>
      <c r="L181" s="114" t="b">
        <v>0</v>
      </c>
    </row>
    <row r="182" spans="1:12" ht="15">
      <c r="A182" s="114" t="s">
        <v>1083</v>
      </c>
      <c r="B182" s="114" t="s">
        <v>1087</v>
      </c>
      <c r="C182" s="114">
        <v>2</v>
      </c>
      <c r="D182" s="116">
        <v>0.012064360471064243</v>
      </c>
      <c r="E182" s="116">
        <v>1.369215857410143</v>
      </c>
      <c r="F182" s="114" t="s">
        <v>1038</v>
      </c>
      <c r="G182" s="114" t="b">
        <v>0</v>
      </c>
      <c r="H182" s="114" t="b">
        <v>0</v>
      </c>
      <c r="I182" s="114" t="b">
        <v>0</v>
      </c>
      <c r="J182" s="114" t="b">
        <v>0</v>
      </c>
      <c r="K182" s="114" t="b">
        <v>0</v>
      </c>
      <c r="L182" s="114" t="b">
        <v>0</v>
      </c>
    </row>
    <row r="183" spans="1:12" ht="15">
      <c r="A183" s="114" t="s">
        <v>1206</v>
      </c>
      <c r="B183" s="114" t="s">
        <v>1351</v>
      </c>
      <c r="C183" s="114">
        <v>2</v>
      </c>
      <c r="D183" s="116">
        <v>0.016731492186784883</v>
      </c>
      <c r="E183" s="116">
        <v>1.591064607026499</v>
      </c>
      <c r="F183" s="114" t="s">
        <v>1038</v>
      </c>
      <c r="G183" s="114" t="b">
        <v>0</v>
      </c>
      <c r="H183" s="114" t="b">
        <v>0</v>
      </c>
      <c r="I183" s="114" t="b">
        <v>0</v>
      </c>
      <c r="J183" s="114" t="b">
        <v>0</v>
      </c>
      <c r="K183" s="114" t="b">
        <v>0</v>
      </c>
      <c r="L183" s="114" t="b">
        <v>0</v>
      </c>
    </row>
    <row r="184" spans="1:12" ht="15">
      <c r="A184" s="114" t="s">
        <v>1349</v>
      </c>
      <c r="B184" s="114" t="s">
        <v>1350</v>
      </c>
      <c r="C184" s="114">
        <v>2</v>
      </c>
      <c r="D184" s="116">
        <v>0.016731492186784883</v>
      </c>
      <c r="E184" s="116">
        <v>1.7671558660821804</v>
      </c>
      <c r="F184" s="114" t="s">
        <v>1038</v>
      </c>
      <c r="G184" s="114" t="b">
        <v>0</v>
      </c>
      <c r="H184" s="114" t="b">
        <v>0</v>
      </c>
      <c r="I184" s="114" t="b">
        <v>0</v>
      </c>
      <c r="J184" s="114" t="b">
        <v>0</v>
      </c>
      <c r="K184" s="114" t="b">
        <v>0</v>
      </c>
      <c r="L184" s="114" t="b">
        <v>0</v>
      </c>
    </row>
    <row r="185" spans="1:12" ht="15">
      <c r="A185" s="114" t="s">
        <v>1094</v>
      </c>
      <c r="B185" s="114" t="s">
        <v>1085</v>
      </c>
      <c r="C185" s="114">
        <v>2</v>
      </c>
      <c r="D185" s="116">
        <v>0.02612850055101375</v>
      </c>
      <c r="E185" s="116">
        <v>1.135662602000073</v>
      </c>
      <c r="F185" s="114" t="s">
        <v>1039</v>
      </c>
      <c r="G185" s="114" t="b">
        <v>0</v>
      </c>
      <c r="H185" s="114" t="b">
        <v>0</v>
      </c>
      <c r="I185" s="114" t="b">
        <v>0</v>
      </c>
      <c r="J185" s="114" t="b">
        <v>0</v>
      </c>
      <c r="K185" s="114" t="b">
        <v>0</v>
      </c>
      <c r="L185" s="114" t="b">
        <v>0</v>
      </c>
    </row>
    <row r="186" spans="1:12" ht="15">
      <c r="A186" s="114" t="s">
        <v>1077</v>
      </c>
      <c r="B186" s="114" t="s">
        <v>1088</v>
      </c>
      <c r="C186" s="114">
        <v>2</v>
      </c>
      <c r="D186" s="116">
        <v>0.02612850055101375</v>
      </c>
      <c r="E186" s="116">
        <v>1.3117538610557542</v>
      </c>
      <c r="F186" s="114" t="s">
        <v>1039</v>
      </c>
      <c r="G186" s="114" t="b">
        <v>0</v>
      </c>
      <c r="H186" s="114" t="b">
        <v>0</v>
      </c>
      <c r="I186" s="114" t="b">
        <v>0</v>
      </c>
      <c r="J186" s="114" t="b">
        <v>0</v>
      </c>
      <c r="K186" s="114" t="b">
        <v>0</v>
      </c>
      <c r="L186" s="114" t="b">
        <v>0</v>
      </c>
    </row>
    <row r="187" spans="1:12" ht="15">
      <c r="A187" s="114" t="s">
        <v>1355</v>
      </c>
      <c r="B187" s="114" t="s">
        <v>1092</v>
      </c>
      <c r="C187" s="114">
        <v>2</v>
      </c>
      <c r="D187" s="116">
        <v>0.013840459570757756</v>
      </c>
      <c r="E187" s="116">
        <v>1.4419568376564116</v>
      </c>
      <c r="F187" s="114" t="s">
        <v>1041</v>
      </c>
      <c r="G187" s="114" t="b">
        <v>0</v>
      </c>
      <c r="H187" s="114" t="b">
        <v>0</v>
      </c>
      <c r="I187" s="114" t="b">
        <v>0</v>
      </c>
      <c r="J187" s="114" t="b">
        <v>0</v>
      </c>
      <c r="K187" s="114" t="b">
        <v>0</v>
      </c>
      <c r="L187" s="114" t="b">
        <v>0</v>
      </c>
    </row>
    <row r="188" spans="1:12" ht="15">
      <c r="A188" s="114" t="s">
        <v>1293</v>
      </c>
      <c r="B188" s="114" t="s">
        <v>1190</v>
      </c>
      <c r="C188" s="114">
        <v>2</v>
      </c>
      <c r="D188" s="116">
        <v>0.047310264726110926</v>
      </c>
      <c r="E188" s="116">
        <v>0.9542425094393249</v>
      </c>
      <c r="F188" s="114" t="s">
        <v>1042</v>
      </c>
      <c r="G188" s="114" t="b">
        <v>0</v>
      </c>
      <c r="H188" s="114" t="b">
        <v>0</v>
      </c>
      <c r="I188" s="114" t="b">
        <v>0</v>
      </c>
      <c r="J188" s="114" t="b">
        <v>0</v>
      </c>
      <c r="K188" s="114" t="b">
        <v>0</v>
      </c>
      <c r="L188" s="114" t="b">
        <v>0</v>
      </c>
    </row>
    <row r="189" spans="1:12" ht="15">
      <c r="A189" s="114" t="s">
        <v>1190</v>
      </c>
      <c r="B189" s="114" t="s">
        <v>1079</v>
      </c>
      <c r="C189" s="114">
        <v>2</v>
      </c>
      <c r="D189" s="116">
        <v>0.047310264726110926</v>
      </c>
      <c r="E189" s="116">
        <v>0.7781512503836436</v>
      </c>
      <c r="F189" s="114" t="s">
        <v>1042</v>
      </c>
      <c r="G189" s="114" t="b">
        <v>0</v>
      </c>
      <c r="H189" s="114" t="b">
        <v>0</v>
      </c>
      <c r="I189" s="114" t="b">
        <v>0</v>
      </c>
      <c r="J189" s="114" t="b">
        <v>0</v>
      </c>
      <c r="K189" s="114" t="b">
        <v>0</v>
      </c>
      <c r="L189" s="114" t="b">
        <v>0</v>
      </c>
    </row>
    <row r="190" spans="1:12" ht="15">
      <c r="A190" s="114" t="s">
        <v>1256</v>
      </c>
      <c r="B190" s="114" t="s">
        <v>1257</v>
      </c>
      <c r="C190" s="114">
        <v>2</v>
      </c>
      <c r="D190" s="116">
        <v>0.0072537348352766555</v>
      </c>
      <c r="E190" s="116">
        <v>1.5965970956264601</v>
      </c>
      <c r="F190" s="114" t="s">
        <v>1046</v>
      </c>
      <c r="G190" s="114" t="b">
        <v>0</v>
      </c>
      <c r="H190" s="114" t="b">
        <v>0</v>
      </c>
      <c r="I190" s="114" t="b">
        <v>0</v>
      </c>
      <c r="J190" s="114" t="b">
        <v>0</v>
      </c>
      <c r="K190" s="114" t="b">
        <v>0</v>
      </c>
      <c r="L190" s="114" t="b">
        <v>0</v>
      </c>
    </row>
    <row r="191" spans="1:12" ht="15">
      <c r="A191" s="114" t="s">
        <v>1094</v>
      </c>
      <c r="B191" s="114" t="s">
        <v>1085</v>
      </c>
      <c r="C191" s="114">
        <v>2</v>
      </c>
      <c r="D191" s="116">
        <v>0</v>
      </c>
      <c r="E191" s="116">
        <v>1.3617278360175928</v>
      </c>
      <c r="F191" s="114" t="s">
        <v>1049</v>
      </c>
      <c r="G191" s="114" t="b">
        <v>0</v>
      </c>
      <c r="H191" s="114" t="b">
        <v>0</v>
      </c>
      <c r="I191" s="114" t="b">
        <v>0</v>
      </c>
      <c r="J191" s="114" t="b">
        <v>0</v>
      </c>
      <c r="K191" s="114" t="b">
        <v>0</v>
      </c>
      <c r="L191" s="114" t="b">
        <v>0</v>
      </c>
    </row>
    <row r="192" spans="1:12" ht="15">
      <c r="A192" s="114" t="s">
        <v>1124</v>
      </c>
      <c r="B192" s="114" t="s">
        <v>1092</v>
      </c>
      <c r="C192" s="114">
        <v>4</v>
      </c>
      <c r="D192" s="116">
        <v>0</v>
      </c>
      <c r="E192" s="116">
        <v>1.4244149042036593</v>
      </c>
      <c r="F192" s="114" t="s">
        <v>1050</v>
      </c>
      <c r="G192" s="114" t="b">
        <v>0</v>
      </c>
      <c r="H192" s="114" t="b">
        <v>0</v>
      </c>
      <c r="I192" s="114" t="b">
        <v>0</v>
      </c>
      <c r="J192" s="114" t="b">
        <v>0</v>
      </c>
      <c r="K192" s="114" t="b">
        <v>0</v>
      </c>
      <c r="L192" s="114" t="b">
        <v>0</v>
      </c>
    </row>
    <row r="193" spans="1:12" ht="15">
      <c r="A193" s="114" t="s">
        <v>1117</v>
      </c>
      <c r="B193" s="114" t="s">
        <v>1102</v>
      </c>
      <c r="C193" s="114">
        <v>3</v>
      </c>
      <c r="D193" s="116">
        <v>0.0027950993500901783</v>
      </c>
      <c r="E193" s="116">
        <v>1.2994761675953594</v>
      </c>
      <c r="F193" s="114" t="s">
        <v>1050</v>
      </c>
      <c r="G193" s="114" t="b">
        <v>0</v>
      </c>
      <c r="H193" s="114" t="b">
        <v>0</v>
      </c>
      <c r="I193" s="114" t="b">
        <v>0</v>
      </c>
      <c r="J193" s="114" t="b">
        <v>0</v>
      </c>
      <c r="K193" s="114" t="b">
        <v>0</v>
      </c>
      <c r="L193" s="114" t="b">
        <v>0</v>
      </c>
    </row>
    <row r="194" spans="1:12" ht="15">
      <c r="A194" s="114" t="s">
        <v>1084</v>
      </c>
      <c r="B194" s="114" t="s">
        <v>1117</v>
      </c>
      <c r="C194" s="114">
        <v>3</v>
      </c>
      <c r="D194" s="116">
        <v>0.0027950993500901783</v>
      </c>
      <c r="E194" s="116">
        <v>1.3664229572259727</v>
      </c>
      <c r="F194" s="114" t="s">
        <v>1050</v>
      </c>
      <c r="G194" s="114" t="b">
        <v>0</v>
      </c>
      <c r="H194" s="114" t="b">
        <v>0</v>
      </c>
      <c r="I194" s="114" t="b">
        <v>0</v>
      </c>
      <c r="J194" s="114" t="b">
        <v>0</v>
      </c>
      <c r="K194" s="114" t="b">
        <v>0</v>
      </c>
      <c r="L194" s="114" t="b">
        <v>0</v>
      </c>
    </row>
    <row r="195" spans="1:12" ht="15">
      <c r="A195" s="114" t="s">
        <v>1102</v>
      </c>
      <c r="B195" s="114" t="s">
        <v>1148</v>
      </c>
      <c r="C195" s="114">
        <v>3</v>
      </c>
      <c r="D195" s="116">
        <v>0</v>
      </c>
      <c r="E195" s="116">
        <v>1.2994761675953594</v>
      </c>
      <c r="F195" s="114" t="s">
        <v>1050</v>
      </c>
      <c r="G195" s="114" t="b">
        <v>0</v>
      </c>
      <c r="H195" s="114" t="b">
        <v>0</v>
      </c>
      <c r="I195" s="114" t="b">
        <v>0</v>
      </c>
      <c r="J195" s="114" t="b">
        <v>0</v>
      </c>
      <c r="K195" s="114" t="b">
        <v>0</v>
      </c>
      <c r="L195" s="114" t="b">
        <v>0</v>
      </c>
    </row>
    <row r="196" spans="1:12" ht="15">
      <c r="A196" s="114" t="s">
        <v>1081</v>
      </c>
      <c r="B196" s="114" t="s">
        <v>1112</v>
      </c>
      <c r="C196" s="114">
        <v>2</v>
      </c>
      <c r="D196" s="116">
        <v>0.0018633995667267855</v>
      </c>
      <c r="E196" s="116">
        <v>1.0934216851622351</v>
      </c>
      <c r="F196" s="114" t="s">
        <v>1050</v>
      </c>
      <c r="G196" s="114" t="b">
        <v>0</v>
      </c>
      <c r="H196" s="114" t="b">
        <v>0</v>
      </c>
      <c r="I196" s="114" t="b">
        <v>0</v>
      </c>
      <c r="J196" s="114" t="b">
        <v>0</v>
      </c>
      <c r="K196" s="114" t="b">
        <v>0</v>
      </c>
      <c r="L196" s="114" t="b">
        <v>0</v>
      </c>
    </row>
    <row r="197" spans="1:12" ht="15">
      <c r="A197" s="114" t="s">
        <v>1312</v>
      </c>
      <c r="B197" s="114" t="s">
        <v>1313</v>
      </c>
      <c r="C197" s="114">
        <v>2</v>
      </c>
      <c r="D197" s="116">
        <v>0.0050489021663456335</v>
      </c>
      <c r="E197" s="116">
        <v>1.968482948553935</v>
      </c>
      <c r="F197" s="114" t="s">
        <v>1050</v>
      </c>
      <c r="G197" s="114" t="b">
        <v>0</v>
      </c>
      <c r="H197" s="114" t="b">
        <v>0</v>
      </c>
      <c r="I197" s="114" t="b">
        <v>0</v>
      </c>
      <c r="J197" s="114" t="b">
        <v>0</v>
      </c>
      <c r="K197" s="114" t="b">
        <v>0</v>
      </c>
      <c r="L197" s="114" t="b">
        <v>0</v>
      </c>
    </row>
    <row r="198" spans="1:12" ht="15">
      <c r="A198" s="114" t="s">
        <v>1313</v>
      </c>
      <c r="B198" s="114" t="s">
        <v>1098</v>
      </c>
      <c r="C198" s="114">
        <v>2</v>
      </c>
      <c r="D198" s="116">
        <v>0.0050489021663456335</v>
      </c>
      <c r="E198" s="116">
        <v>1.5705429398818975</v>
      </c>
      <c r="F198" s="114" t="s">
        <v>1050</v>
      </c>
      <c r="G198" s="114" t="b">
        <v>0</v>
      </c>
      <c r="H198" s="114" t="b">
        <v>0</v>
      </c>
      <c r="I198" s="114" t="b">
        <v>0</v>
      </c>
      <c r="J198" s="114" t="b">
        <v>0</v>
      </c>
      <c r="K198" s="114" t="b">
        <v>0</v>
      </c>
      <c r="L198" s="114" t="b">
        <v>0</v>
      </c>
    </row>
    <row r="199" spans="1:12" ht="15">
      <c r="A199" s="114" t="s">
        <v>1098</v>
      </c>
      <c r="B199" s="114" t="s">
        <v>1104</v>
      </c>
      <c r="C199" s="114">
        <v>2</v>
      </c>
      <c r="D199" s="116">
        <v>0.0050489021663456335</v>
      </c>
      <c r="E199" s="116">
        <v>1.3944516808262164</v>
      </c>
      <c r="F199" s="114" t="s">
        <v>1050</v>
      </c>
      <c r="G199" s="114" t="b">
        <v>0</v>
      </c>
      <c r="H199" s="114" t="b">
        <v>0</v>
      </c>
      <c r="I199" s="114" t="b">
        <v>0</v>
      </c>
      <c r="J199" s="114" t="b">
        <v>0</v>
      </c>
      <c r="K199" s="114" t="b">
        <v>0</v>
      </c>
      <c r="L199"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A155E3-3FE6-4B71-8AE8-E8E827B97D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2020-06-24T11:22:24Z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