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hidePivotFieldList="1"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<sst xmlns="http://schemas.openxmlformats.org/spreadsheetml/2006/main" count="20056" uniqueCount="3180">
  <si>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</si>
  <si>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</si>
  <si>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</si>
  <si>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</si>
  <si>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</si>
  <si>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</si>
  <si>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</si>
  <si>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</si>
  <si>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</si>
  <si>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</si>
  <si>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</si>
  <si>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</si>
  <si>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</si>
  <si>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</si>
  <si>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</si>
  <si>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</si>
  <si>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</si>
  <si>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</si>
  <si>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</si>
  <si>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</si>
  <si>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</si>
  <si>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</si>
  <si>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</si>
  <si>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</si>
  <si>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</si>
  <si>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</si>
  <si>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</si>
  <si>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</si>
  <si>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</si>
  <si>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</si>
  <si>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</si>
  <si>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</si>
  <si>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</si>
  <si>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</si>
  <si>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</si>
  <si>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</si>
  <si>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</si>
  <si>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</si>
  <si>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</si>
  <si>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</si>
  <si>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</si>
  <si>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</si>
  <si>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</si>
  <si>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</si>
  <si>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</si>
  <si>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</si>
  <si>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</si>
  <si>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</si>
  <si>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</si>
  <si>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</si>
  <si>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</si>
  <si>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</si>
  <si>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</si>
  <si>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</si>
  <si>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</si>
  <si>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</si>
  <si>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</si>
  <si>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</si>
  <si>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</si>
  <si>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</si>
  <si>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</si>
  <si>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</si>
  <si>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</si>
  <si>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</si>
  <si>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</si>
  <si>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</si>
  <si>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</si>
  <si>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</si>
  <si>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</si>
  <si>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</si>
  <si>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</si>
  <si>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</si>
  <si>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</si>
  <si>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</si>
  <si>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</si>
  <si>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</si>
  <si>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</si>
  <si>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</si>
  <si>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</si>
  <si>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</si>
  <si>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</si>
  <si>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</si>
  <si>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</si>
  <si>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</si>
  <si>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</si>
  <si>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</si>
  <si>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</si>
  <si>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</si>
  <si>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</si>
  <si>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</si>
  <si>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</si>
  <si>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</si>
  <si>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</si>
  <si>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</si>
  <si>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</si>
  <si>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</si>
  <si>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</si>
  <si>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</si>
  <si>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</si>
  <si>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</si>
  <si>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</si>
  <si>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</si>
  <si>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</si>
  <si>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</si>
  <si>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</si>
  <si>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</si>
  <si>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</si>
  <si>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</si>
  <si>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</si>
  <si>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</si>
  <si>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</si>
  <si>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</si>
  <si>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</si>
  <si>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</si>
  <si>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</si>
  <si>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</si>
  <si>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</si>
  <si>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</si>
  <si>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</si>
  <si>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</si>
  <si>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</si>
  <si>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</si>
  <si>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</si>
  <si>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</si>
  <si>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</si>
  <si>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</si>
  <si>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</si>
  <si>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</si>
  <si>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</si>
  <si>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</si>
  <si>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</si>
  <si>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</si>
  <si>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</si>
  <si>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</si>
  <si>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</si>
  <si>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</si>
  <si>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</si>
  <si>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</si>
  <si>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</si>
  <si>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</si>
  <si>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</si>
  <si>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</si>
  <si>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</si>
  <si>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</si>
  <si>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</si>
  <si>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</si>
  <si>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</si>
  <si>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</si>
  <si>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</si>
  <si>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</si>
  <si>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</si>
  <si>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</si>
  <si>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</si>
  <si>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</si>
  <si>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</si>
  <si>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</si>
  <si>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</si>
  <si>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</si>
  <si>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</si>
  <si>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</si>
  <si>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</si>
  <si>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</si>
  <si>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</si>
  <si>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</si>
  <si>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</si>
  <si>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</si>
  <si>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</si>
  <si>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</si>
  <si>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</si>
  <si>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</si>
  <si>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</si>
  <si>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</si>
  <si>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</si>
  <si>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</si>
  <si>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</si>
  <si>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</si>
  <si>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</si>
  <si>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</si>
  <si>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</si>
  <si>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</si>
  <si>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</si>
  <si>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</si>
  <si>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</si>
  <si>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</si>
  <si>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</si>
  <si>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</si>
  <si>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</si>
  <si>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</si>
  <si>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</si>
  <si>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</si>
  <si>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</si>
  <si>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</si>
  <si>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</si>
  <si>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</si>
  <si>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</si>
  <si>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</si>
  <si>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</si>
  <si>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</si>
  <si>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</si>
  <si>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</si>
  <si>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</si>
  <si>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</si>
  <si>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</si>
  <si>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</si>
  <si>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</si>
  <si>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</si>
  <si>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</si>
  <si>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</si>
  <si>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</si>
  <si>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</si>
  <si>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</si>
  <si>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</si>
  <si>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</si>
  <si>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</si>
  <si>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</si>
  <si>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</si>
  <si>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</si>
  <si>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</si>
  <si>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</si>
  <si>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</si>
  <si>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</si>
  <si>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</si>
  <si>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</si>
  <si>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</si>
  <si>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</si>
  <si>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</si>
  <si>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</si>
  <si>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</si>
  <si>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</si>
  <si>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</si>
  <si>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</si>
  <si>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</si>
  <si>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</si>
  <si>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</si>
  <si>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</si>
  <si>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</si>
  <si>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</si>
  <si>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</si>
  <si>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</si>
  <si>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</si>
  <si>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</si>
  <si>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</si>
  <si>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</si>
  <si>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</si>
  <si>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</si>
  <si>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</si>
  <si>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</si>
  <si>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</si>
  <si>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</si>
  <si>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</si>
  <si>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</si>
  <si>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</si>
  <si>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</si>
  <si>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</si>
  <si>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</si>
  <si>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</si>
  <si>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</si>
  <si>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</si>
  <si>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</si>
  <si>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</si>
  <si>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</si>
  <si>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</si>
  <si>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</si>
  <si>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</si>
  <si>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</si>
  <si>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</si>
  <si>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</si>
  <si>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</si>
  <si>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</si>
  <si>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</si>
  <si>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</si>
  <si>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</si>
  <si>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</si>
  <si>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</si>
  <si>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</si>
  <si>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</si>
  <si>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</si>
  <si>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</si>
  <si>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</si>
  <si>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</si>
  <si>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</si>
  <si>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</si>
  <si>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</si>
  <si>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</si>
  <si>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</si>
  <si>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</si>
  <si>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</si>
  <si>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</si>
  <si>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</si>
  <si>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</si>
  <si>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</si>
  <si>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</si>
  <si>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 xml:space="preserve">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t>
  </si>
  <si>
    <t>Workbook Settings 72</t>
  </si>
  <si>
    <t>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t>
  </si>
  <si>
    <t>Workbook Settings 73</t>
  </si>
  <si>
    <t>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t>
  </si>
  <si>
    <t>Workbook Settings 74</t>
  </si>
  <si>
    <t>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</si>
  <si>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</si>
  <si>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</si>
  <si>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</si>
  <si>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</si>
  <si>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</si>
  <si>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</si>
  <si>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t>
  </si>
  <si>
    <t>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t>
  </si>
  <si>
    <t>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t>
  </si>
  <si>
    <t>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
  </si>
  <si>
    <t>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t>
  </si>
  <si>
    <t>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t>
  </si>
  <si>
    <t xml:space="preserve">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t>
  </si>
  <si>
    <t>-positioned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
  </si>
  <si>
    <t>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t>
  </si>
  <si>
    <t>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t>
  </si>
  <si>
    <t>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
  </si>
  <si>
    <t>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t>
  </si>
  <si>
    <t>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t>
  </si>
  <si>
    <t>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t>
  </si>
  <si>
    <t xml:space="preserve">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t>
  </si>
  <si>
    <t xml:space="preserve">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</si>
  <si>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</si>
  <si>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</si>
  <si>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</si>
  <si>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</si>
  <si>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</si>
  <si>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</si>
  <si>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</si>
  <si>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</si>
  <si>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</si>
  <si>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</si>
  <si>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</si>
  <si>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</si>
  <si>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</si>
  <si>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</si>
  <si>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</si>
  <si>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</si>
  <si>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</si>
  <si>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</si>
  <si>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</si>
  <si>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</si>
  <si>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</si>
  <si>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</si>
  <si>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</si>
  <si>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</si>
  <si>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</si>
  <si>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</si>
  <si>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</si>
  <si>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</si>
  <si>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</si>
  <si>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</si>
  <si>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</si>
  <si>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</si>
  <si>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</si>
  <si>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</si>
  <si>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</si>
  <si>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</si>
  <si>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</si>
  <si>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</si>
  <si>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</si>
  <si>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</si>
  <si>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</si>
  <si>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</si>
  <si>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mijinkim33</t>
  </si>
  <si>
    <t>codegnuts</t>
  </si>
  <si>
    <t>nodequotesbot</t>
  </si>
  <si>
    <t>theinfernobot</t>
  </si>
  <si>
    <t>markj_ohnson</t>
  </si>
  <si>
    <t>digitalsphere33</t>
  </si>
  <si>
    <t>taieb_bot</t>
  </si>
  <si>
    <t>e2d3org</t>
  </si>
  <si>
    <t>dashboarddr</t>
  </si>
  <si>
    <t>gijnru</t>
  </si>
  <si>
    <t>oxciej</t>
  </si>
  <si>
    <t>emibarbiroglio</t>
  </si>
  <si>
    <t>masteruah</t>
  </si>
  <si>
    <t>sin_nl_org</t>
  </si>
  <si>
    <t>realmiguelroca</t>
  </si>
  <si>
    <t>annkempster</t>
  </si>
  <si>
    <t>jtwentyman</t>
  </si>
  <si>
    <t>sihugh</t>
  </si>
  <si>
    <t>nevali</t>
  </si>
  <si>
    <t>ellenbroad</t>
  </si>
  <si>
    <t>jargonautical</t>
  </si>
  <si>
    <t>mets1977</t>
  </si>
  <si>
    <t>mrj1971</t>
  </si>
  <si>
    <t>sophietaysom</t>
  </si>
  <si>
    <t>aliciacastroar</t>
  </si>
  <si>
    <t>ecarrascobe</t>
  </si>
  <si>
    <t>joesb</t>
  </si>
  <si>
    <t>fvas</t>
  </si>
  <si>
    <t>dasbarrett</t>
  </si>
  <si>
    <t>cijournalism</t>
  </si>
  <si>
    <t>marcelodgr67</t>
  </si>
  <si>
    <t>anaserranot</t>
  </si>
  <si>
    <t>jeremy_morley</t>
  </si>
  <si>
    <t>jenit</t>
  </si>
  <si>
    <t>susanagarayoa</t>
  </si>
  <si>
    <t>hlutwama</t>
  </si>
  <si>
    <t>sergiogarciamor</t>
  </si>
  <si>
    <t>rorisangshomang</t>
  </si>
  <si>
    <t>natalia_ojewska</t>
  </si>
  <si>
    <t>_davidmeidinger</t>
  </si>
  <si>
    <t>michael_gegg</t>
  </si>
  <si>
    <t>emielvnh</t>
  </si>
  <si>
    <t>mikaelmusic1</t>
  </si>
  <si>
    <t>alex_vnc_</t>
  </si>
  <si>
    <t>konstantinosant</t>
  </si>
  <si>
    <t>tikiblagojev</t>
  </si>
  <si>
    <t>glynmottershead</t>
  </si>
  <si>
    <t>guipizzini</t>
  </si>
  <si>
    <t>mcnatch</t>
  </si>
  <si>
    <t>lukestanbra</t>
  </si>
  <si>
    <t>mo_shamah</t>
  </si>
  <si>
    <t>psychingitout</t>
  </si>
  <si>
    <t>missg_dhsgeog</t>
  </si>
  <si>
    <t>oscwilliams</t>
  </si>
  <si>
    <t>emilyctamkin</t>
  </si>
  <si>
    <t>patrick_e_scott</t>
  </si>
  <si>
    <t>rob_w_ingram</t>
  </si>
  <si>
    <t>fedfragapane</t>
  </si>
  <si>
    <t>hampshire67</t>
  </si>
  <si>
    <t>caleb_nwokoloo</t>
  </si>
  <si>
    <t>giubianconi</t>
  </si>
  <si>
    <t>rodolfoalmd</t>
  </si>
  <si>
    <t>pittilla_o</t>
  </si>
  <si>
    <t>bitten_</t>
  </si>
  <si>
    <t>edsaperia</t>
  </si>
  <si>
    <t>nwspk</t>
  </si>
  <si>
    <t>aliossandro</t>
  </si>
  <si>
    <t>jaggeree</t>
  </si>
  <si>
    <t>helloyorick</t>
  </si>
  <si>
    <t>emmamarkiewicz</t>
  </si>
  <si>
    <t>maggotlaw</t>
  </si>
  <si>
    <t>aliceolilly</t>
  </si>
  <si>
    <t>ryansagare</t>
  </si>
  <si>
    <t>agilchristpike</t>
  </si>
  <si>
    <t>mrvisgeography</t>
  </si>
  <si>
    <t>eoinmcfadden</t>
  </si>
  <si>
    <t>jasonbelldata</t>
  </si>
  <si>
    <t>mortlin</t>
  </si>
  <si>
    <t>cariannewhit</t>
  </si>
  <si>
    <t>meandvan</t>
  </si>
  <si>
    <t>timbrooks100</t>
  </si>
  <si>
    <t>frankhannigan5</t>
  </si>
  <si>
    <t>watty62</t>
  </si>
  <si>
    <t>lms_geography</t>
  </si>
  <si>
    <t>chsiceland18</t>
  </si>
  <si>
    <t>barbalhofernand</t>
  </si>
  <si>
    <t>holgerhke</t>
  </si>
  <si>
    <t>garyshort</t>
  </si>
  <si>
    <t>khalidpress7</t>
  </si>
  <si>
    <t>bareftdoctor</t>
  </si>
  <si>
    <t>geo_sjfdewsbury</t>
  </si>
  <si>
    <t>ekoner</t>
  </si>
  <si>
    <t>djschoolhouten</t>
  </si>
  <si>
    <t>djment0rs</t>
  </si>
  <si>
    <t>d_jyldyz</t>
  </si>
  <si>
    <t>lauranavarrosol</t>
  </si>
  <si>
    <t>adircinho</t>
  </si>
  <si>
    <t>aprilarchivist</t>
  </si>
  <si>
    <t>timgollins</t>
  </si>
  <si>
    <t>dtiiqii</t>
  </si>
  <si>
    <t>ashiquebiniqbal</t>
  </si>
  <si>
    <t>ellenychang</t>
  </si>
  <si>
    <t>daudpasaney</t>
  </si>
  <si>
    <t>juanainesjjj</t>
  </si>
  <si>
    <t>nellylaoni</t>
  </si>
  <si>
    <t>datosundav</t>
  </si>
  <si>
    <t>lacajadatera</t>
  </si>
  <si>
    <t>rocioromerox</t>
  </si>
  <si>
    <t>jaishri21</t>
  </si>
  <si>
    <t>grasiel_grasel</t>
  </si>
  <si>
    <t>jornalismodados</t>
  </si>
  <si>
    <t>morenocris</t>
  </si>
  <si>
    <t>marilia_gehrke</t>
  </si>
  <si>
    <t>paulmenam</t>
  </si>
  <si>
    <t>jishnuen</t>
  </si>
  <si>
    <t>lilliefears</t>
  </si>
  <si>
    <t>fabtresor</t>
  </si>
  <si>
    <t>downlandsgeog</t>
  </si>
  <si>
    <t>colinnwalker</t>
  </si>
  <si>
    <t>datajournalism</t>
  </si>
  <si>
    <t>able2extract</t>
  </si>
  <si>
    <t>easel_ly</t>
  </si>
  <si>
    <t>ohmyshambles</t>
  </si>
  <si>
    <t>margymaclibrary</t>
  </si>
  <si>
    <t>andriesfluit</t>
  </si>
  <si>
    <t>boerenilse</t>
  </si>
  <si>
    <t>elchinsoul</t>
  </si>
  <si>
    <t>alileo84</t>
  </si>
  <si>
    <t>billgia</t>
  </si>
  <si>
    <t>elenavardon</t>
  </si>
  <si>
    <t>kendimalibot</t>
  </si>
  <si>
    <t>dwatchnews</t>
  </si>
  <si>
    <t>omaakatugba</t>
  </si>
  <si>
    <t>tmbriceno</t>
  </si>
  <si>
    <t>albertocairo</t>
  </si>
  <si>
    <t>ignasialcalde</t>
  </si>
  <si>
    <t>bartongeography</t>
  </si>
  <si>
    <t>asashaelizabeth</t>
  </si>
  <si>
    <t>mrs_geog</t>
  </si>
  <si>
    <t>c_aguilargarcia</t>
  </si>
  <si>
    <t>margueritesall4</t>
  </si>
  <si>
    <t>gijnfr</t>
  </si>
  <si>
    <t>yerimzwxrhjsky</t>
  </si>
  <si>
    <t>bsp_sscgeo</t>
  </si>
  <si>
    <t>umarhassan96</t>
  </si>
  <si>
    <t>tvmarv</t>
  </si>
  <si>
    <t>jmbgeog</t>
  </si>
  <si>
    <t>valboy7</t>
  </si>
  <si>
    <t>utknightcenter</t>
  </si>
  <si>
    <t>ephemerist08</t>
  </si>
  <si>
    <t>johnlsheridan</t>
  </si>
  <si>
    <t>puntofisso</t>
  </si>
  <si>
    <t>na7al13</t>
  </si>
  <si>
    <t>helenawittlich</t>
  </si>
  <si>
    <t>berlindigital</t>
  </si>
  <si>
    <t>datavislisboa</t>
  </si>
  <si>
    <t>daea_marius</t>
  </si>
  <si>
    <t>newsweek</t>
  </si>
  <si>
    <t>sigmaawards</t>
  </si>
  <si>
    <t>pointer_kroncrv</t>
  </si>
  <si>
    <t>porcelinad</t>
  </si>
  <si>
    <t>j_la28</t>
  </si>
  <si>
    <t>maudbeelman</t>
  </si>
  <si>
    <t>ajenglish</t>
  </si>
  <si>
    <t>ajlabs</t>
  </si>
  <si>
    <t>tagesspiegel</t>
  </si>
  <si>
    <t>tijd</t>
  </si>
  <si>
    <t>aiap_ita</t>
  </si>
  <si>
    <t>telegraph</t>
  </si>
  <si>
    <t>newstatesman</t>
  </si>
  <si>
    <t>generonumero</t>
  </si>
  <si>
    <t>datassist</t>
  </si>
  <si>
    <t>joseluishuacles</t>
  </si>
  <si>
    <t>folha</t>
  </si>
  <si>
    <t>eupilo</t>
  </si>
  <si>
    <t>chowraivoso</t>
  </si>
  <si>
    <t>nunonunes_</t>
  </si>
  <si>
    <t>rubenlmartins</t>
  </si>
  <si>
    <t>franciscopires9</t>
  </si>
  <si>
    <t>dmconstantino</t>
  </si>
  <si>
    <t>tcuoficial</t>
  </si>
  <si>
    <t>veramagalhaes</t>
  </si>
  <si>
    <t>brright3</t>
  </si>
  <si>
    <t>tassojereissati</t>
  </si>
  <si>
    <t>guikudo</t>
  </si>
  <si>
    <t>rodrigomenegat</t>
  </si>
  <si>
    <t>camillatavares</t>
  </si>
  <si>
    <t>lucasreino</t>
  </si>
  <si>
    <t>anieleam</t>
  </si>
  <si>
    <t>biarcosstaa</t>
  </si>
  <si>
    <t>pzaj_</t>
  </si>
  <si>
    <t>_sofialeao</t>
  </si>
  <si>
    <t>venturimdaniel</t>
  </si>
  <si>
    <t>yvesvieiraa</t>
  </si>
  <si>
    <t>piedromarinho</t>
  </si>
  <si>
    <t>eumesmacaroline</t>
  </si>
  <si>
    <t>darazimermann</t>
  </si>
  <si>
    <t>antena1rio</t>
  </si>
  <si>
    <t>leofn3</t>
  </si>
  <si>
    <t>grqm</t>
  </si>
  <si>
    <t>elisarabelo1</t>
  </si>
  <si>
    <t>isabellaguasti_</t>
  </si>
  <si>
    <t>meyreromanha</t>
  </si>
  <si>
    <t>camillemoura</t>
  </si>
  <si>
    <t>okfnbr</t>
  </si>
  <si>
    <t>escoladedados</t>
  </si>
  <si>
    <t>_fiquemsabendo</t>
  </si>
  <si>
    <t>pedaladas</t>
  </si>
  <si>
    <t>vinimiguel3</t>
  </si>
  <si>
    <t>patocorporation</t>
  </si>
  <si>
    <t>pandolpho2</t>
  </si>
  <si>
    <t>spotniks</t>
  </si>
  <si>
    <t>lucas_dourado96</t>
  </si>
  <si>
    <t>rodolfoezsilva</t>
  </si>
  <si>
    <t>xxxtela</t>
  </si>
  <si>
    <t>flaviorocha1</t>
  </si>
  <si>
    <t>sobrejornalismo</t>
  </si>
  <si>
    <t>mailbrew</t>
  </si>
  <si>
    <t>1password</t>
  </si>
  <si>
    <t>haddadme</t>
  </si>
  <si>
    <t>essamheggy</t>
  </si>
  <si>
    <t>yannguegan</t>
  </si>
  <si>
    <t>bjtc_uk</t>
  </si>
  <si>
    <t>Retweet</t>
  </si>
  <si>
    <t>Mentions</t>
  </si>
  <si>
    <t>MentionsInRetweet</t>
  </si>
  <si>
    <t>#E2D3 is an #Excel add-in for #dataviz. Excel to #d3js.#GitHub #data #datavizualization #javascript #json #infographics #startup #map #DataScience #ddj #datascraping #datajournalism #JS #OpenSource #OSS #GIS #Microsoft #vuejs #Nodejs #html5 #tech #edtech #visualization #Nodejs https://t.co/OAQhlWzevs</t>
  </si>
  <si>
    <t>Как упаковать дата-историю. Обсуждаем новые форматы в дата-журналистике: скроллителлинг, talkie, сонификация, видео, анимация, форматы для соцсетей. Какой из них стоит выбрать?
https://t.co/xRXxlWomEP #ddj #LAMPA2020 https://t.co/phcfysdc6m</t>
  </si>
  <si>
    <t>#WildEye investigation published in @Newsweek in Romania. @daea_marius uses data to compare wildlife crime in West and East Europe_xD83D__xDD3D_
#datajournalism #ddj https://t.co/KXxIh4qXTh</t>
  </si>
  <si>
    <t>Massive and comprehensive #dataViz #infographics #ddj https://t.co/a1WiwSUBt3</t>
  </si>
  <si>
    <t>Inspiring #data stories: One of the lessons anyone can learn from this project by @pointer_kroncrv is to never take anything for granted: a good investigative story can hide anywhere, even within ordinary spam email! https://t.co/YgrDMEqs80 #datajournalism @sigmaawards  #ddj https://t.co/A9krmmT00V</t>
  </si>
  <si>
    <t>Managed to smash my phone screen when out running yesterday. 1st time I've ever done any serious damage to a handset! Thankfully was due an upgrade in a few months so have ordered a new Samsung handset which looks perfect for my #journalism &amp;amp; #ddj aspirations. _xD83D__xDC4D__xD83E__xDD13_</t>
  </si>
  <si>
    <t>The National Archives are looking for a Data Engineer. It's one of the most interesting places to work in the public sector and beyond (and you will probably work for the Jedi Knight of Legislation Data, @johnlsheridan)
#opendata #ddj #opengov
https://t.co/vMOe8dmvSW</t>
  </si>
  <si>
    <t>How many more people died in the UK during the pandemic? One of our #CIJSummer speakers 
@PorcelinaD looked into the stats. #ddj #data #covid19 https://t.co/lNqRtabA43 https://t.co/IPNOXelBwF</t>
  </si>
  <si>
    <t>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</si>
  <si>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Saving the Nile. Analysing the impact large dams have on the world's most famous river #dataviz #ddj @AJLabs @AJEnglish https://t.co/Ri6ETcWCXW</t>
  </si>
  <si>
    <t>Saving the Nile. Analysing the impact large dams have on the world's most famous river #dataviz #ddj @AJLabs @AJEnglish https://t.co/UaXvJggotd</t>
  </si>
  <si>
    <t>Saving the Nile. Analysing the impact large dams have on the world's most famous river #dataviz #ddj @AJLabs @AJEnglish https://t.co/9pVtIFTh04</t>
  </si>
  <si>
    <t>Noch nie wurde in #Deutschland so viel #Kurzarbeit angemeldet wie in der #Coronakrise. Auch die Arbeitslosenzahlen steigen. Das trifft vor allem weniger Privilegierte. Die Folgen der Krise für den #Arbeitsmarkt in Zahlen: 
➡️https://t.co/RvWCyicp5Z
@Tagesspiegel #coronavirus #ddj https://t.co/QrQ746kOhM</t>
  </si>
  <si>
    <t>Een kurkdroog voorjaar, regen op de foute momenten, en met dit weer ziet het er niet bepaald goed uit voor het water in ons land. Het hele droogteprobleem uitgelegd door 
@tijd
 #ddj -&amp;gt; https://t.co/LmopyyJCyg https://t.co/Tr1RjuZ5Tc</t>
  </si>
  <si>
    <t>Mobile Setup 
#producer #seratodj #serato #pioneerdj #akaipro #akaiprofessional #mpclive #gearhead #setup #producerlife #mobilesetup #djlife #djlifestyle #djbooth #djequipment #djcontroller #ddjsx #pioneer #ddj #sx #pioneerddj https://t.co/DZM3L6RIF3</t>
  </si>
  <si>
    <t>New #dataviz online workshop scheduled! "Designing visual data narratives" with @Aiap_ita (in English).
Thursday 9th July 2020 | 2 pm - 6.30 pm CET, info here → https://t.co/GOlCiImGyF
#DataVisualization #infographic #ddj https://t.co/nGakPdtgec</t>
  </si>
  <si>
    <t>Personal news alert! Next week I'll be starting a new job as the Data Projects Editor for @NewStatesman Media's new #ddj team. Sad to leave so many great colleagues at the @Telegraph but excited for what's to come!</t>
  </si>
  <si>
    <t>Saving the Nile. Analysing the impact large dams have on the world's most famous river #dataviz #ddj @AJLabs @AJEnglish https://t.co/mwEo2mjz1l</t>
  </si>
  <si>
    <t>Saving the Nile. Analysing the impact large dams have on the world's most famous river #dataviz #ddj @AJLabs @AJEnglish https://t.co/8jH0FXJcS8</t>
  </si>
  <si>
    <t>Saving the Nile. Analysing the impact large dams have on the world's most famous river #dataviz #ddj @AJLabs @AJEnglish https://t.co/CuVT4vVLpp</t>
  </si>
  <si>
    <t>Abrimos na @generonumero chamada pra estágio em design.  https://t.co/PEXtf8TPsC
#estagio #design #GraphicDesign #dados #ddj</t>
  </si>
  <si>
    <t>Saving the Nile. Analysing the impact large dams have on the world's most famous river #dataviz #ddj @AJLabs @AJEnglish https://t.co/rO4GSXqDi0</t>
  </si>
  <si>
    <t>_xD83D__xDCE3_  Sign up today for our latest FREE online on #equity and #ethics in data journalism with instructor Heather Krause (@datassist). Learn how to avoid inequity and hidden bias into your storytelling. #ddj https://t.co/VSoFcqeFa6 https://t.co/lkqSnrOwQI</t>
  </si>
  <si>
    <t>Water security:
Saving the Nile. Analysing the impact large dams have on the world's most famous river #dataviz #ddj @AJLabs @AJEnglish https://t.co/QwEAxmnTwx</t>
  </si>
  <si>
    <t>Another Monday, another issue of my #data newsletter is ready to reach your inboxes tomorrow at lunchtime.
Subscribe at https://t.co/1DSNfMTKQA
#ddj #opendata #dataviz https://t.co/cCpwnPSCM4</t>
  </si>
  <si>
    <t>É amanhã, gente! _xD83D__xDC9B_ #ddj #opendata https://t.co/d42kcWaXz4</t>
  </si>
  <si>
    <t>Leren draaien op een #pioneerdj #nexus2 #djset ? Kom alle ins en outs ontdekken bij @djschoolmiddennederland _xD83C__xDFA7_
#cdj2000nxs2 #cdj2000nexus #xdj1000 #djm900nxs2 #mobiledj #djlife #mobiledjlife #ddj #dj #tracks #music  #djschool #djschoolmiddennederland… https://t.co/DD0JRur3VA https://t.co/kIeoCpPRKI</t>
  </si>
  <si>
    <t>Will #pioneerdj Always Be the Industry Standard?
.
#marketleader #dj #djm #cdj #xdj #beautifultechnology #ddj #cdj1000 https://t.co/YS0d5GQhUq</t>
  </si>
  <si>
    <t>Data to bring to light black american achievements, to pay 
 tribute to #BlackLivesMatter and to keep with #TidyTuesday. 
Code: https://t.co/lQjtmcU5md
#rstats #ggplot2 #ddj #dataviz https://t.co/P31C2XV2ld</t>
  </si>
  <si>
    <t>Saving the Nile. Analysing the impact large dams have on the world's most famous river #dataviz #ddj @AJLabs @AJEnglish https://t.co/6KonZ5CaRc</t>
  </si>
  <si>
    <t>"El periodismo de datos ofrece posibilidades infinitas": https://t.co/rMnp1iCAAt
Entrevista de Gonzalo Spano a @joseluishuacles, de @lacajadatera 
#ddj</t>
  </si>
  <si>
    <t>Dou RT em #ddj RT @jornalismoDados: Dou RT em #ddj RT @jornalismoDados: Dou RT em #ddj RT @ChowRaivoso: @eupilo @folha Análises equivocadas de dados! E… https://t.co/yvgaaFLzVe</t>
  </si>
  <si>
    <t>Dou RT em #ddj RT @NunoNunes_: Jornalismo de dados com música é uma coisa que me deixa feliz https://t.co/PzGB5VreLv</t>
  </si>
  <si>
    <t>Dou RT em #ddj RT @jornalismoDados: Dou RT em #ddj RT @NunoNunes_: Jornalismo de dados com música é uma coisa que me deixa feliz https://t.co/PzGB5VreLv</t>
  </si>
  <si>
    <t>Dou RT em #ddj RT @jornalismoDados: Dou RT em #ddj RT @jornalismoDados: Dou RT em #ddj RT @NunoNunes_: Jornalismo de dados com música é uma coisa que m… https://t.co/eJzgvZmOtU</t>
  </si>
  <si>
    <t>Dou RT em #ddj RT @jornalismoDados: Dou RT em #ddj RT @jornalismoDados: Dou RT em #ddj RT @jornalismoDados: Dou RT em #ddj RT @NunoNunes_: Jornalismo d… https://t.co/a7Uf9jPfYp</t>
  </si>
  <si>
    <t>Dou RT em #ddj RT @DMConstantino: @FranciscoPires9 @rubenlmartins Isso não chega! É preciso acabar com as causas do problema, é preciso promover a li… https://t.co/XdKyTMJH7Z</t>
  </si>
  <si>
    <t>Dou RT em #ddj RT @BRRight3: @veramagalhaes @TCUoficial A casa do “jornalismo tradicional” está caindo e estão desesperados. Informação virou co… https://t.co/wqNryJymag</t>
  </si>
  <si>
    <t>Dou RT em #ddj RT @guikudo: @tassojereissati Tadinha das empresas públicas ineficientes q vão ter q concorrer com trabalho de verdade..jornalis… https://t.co/4Y1aXRlcVz</t>
  </si>
  <si>
    <t>Dou RT em #ddj RT @camillatavares: HOJE TEM SIMCOM AO VIVO! A partir das 14h, @LucasReino recebe o jornalista de dados @RodrigoMenegat e o prof. Marco… https://t.co/PRt2KHqQIb</t>
  </si>
  <si>
    <t>Dou RT em #ddj RT @LucasReino: RT @camillatavares: HOJE TEM SIMCOM AO VIVO! A partir das 14h, @LucasReino recebe o jornalista de dados @RodrigoMenegat e o prof. Marco Ant…</t>
  </si>
  <si>
    <t>Dou RT em #ddj RT @AnieleAM: Acho que um dos maiores desafios do jornalismo nesse momento de pandemia é conseguir fazer a devida divulgação cien… https://t.co/w7R5Kbrj5r</t>
  </si>
  <si>
    <t>Dou RT em #ddj RT @biarcosstaa: RT @isabellaguasti_: Num país onde dados são omitidos no meio de uma crise de saúde, é crucial pensar o papel do jornalismo profissional. N…</t>
  </si>
  <si>
    <t>Dou RT em #ddj RT @pzaj_: RT @isabellaguasti_: Num país onde dados são omitidos no meio de uma crise de saúde, é crucial pensar o papel do jornalismo profissional. N…</t>
  </si>
  <si>
    <t>Dou RT em #ddj RT @_sofialeao: RT @isabellaguasti_: Num país onde dados são omitidos no meio de uma crise de saúde, é crucial pensar o papel do jornalismo profissional. N…</t>
  </si>
  <si>
    <t>Dou RT em #ddj RT @jornalismoDados: Dou RT em #ddj RT @_sofialeao: RT @isabellaguasti_: Num país onde dados são omitidos no meio de uma crise de saúde,… https://t.co/Pvz5huLHs4</t>
  </si>
  <si>
    <t>Dou RT em #ddj RT @VenturimDaniel: RT @isabellaguasti_: Num país onde dados são omitidos no meio de uma crise de saúde, é crucial pensar o papel do jornalismo profissional. N…</t>
  </si>
  <si>
    <t>Dou RT em #ddj RT @jornalismoDados: Dou RT em #ddj RT @VenturimDaniel: RT @isabellaguasti_: Num país onde dados são omitidos no meio de uma crise de sa… https://t.co/w70ouYL6ks</t>
  </si>
  <si>
    <t>Dou RT em #ddj RT @yvesvieiraa: RT @isabellaguasti_: Num país onde dados são omitidos no meio de uma crise de saúde, é crucial pensar o papel do jornalismo profissional. N…</t>
  </si>
  <si>
    <t>Dou RT em #ddj RT @jornalismoDados: Dou RT em #ddj RT @yvesvieiraa: RT @isabellaguasti_: Num país onde dados são omitidos no meio de uma crise de saúde… https://t.co/aguUiCl481</t>
  </si>
  <si>
    <t>Dou RT em #ddj RT @piedromarinho: RT @isabellaguasti_: Num país onde dados são omitidos no meio de uma crise de saúde, é crucial pensar o papel do jornalismo profissional. N…</t>
  </si>
  <si>
    <t>Dou RT em #ddj RT @jornalismoDados: Dou RT em #ddj RT @piedromarinho: RT @isabellaguasti_: Num país onde dados são omitidos no meio de uma crise de saú… https://t.co/zMTNEYSA5M</t>
  </si>
  <si>
    <t>Dou RT em #ddj RT @darazimermann: @eumesmacaroline mas o que esperar de um povo que rechaça o jornalismo, que tem como principal função falar os fato… https://t.co/kaMcJgQ4fI</t>
  </si>
  <si>
    <t>Dou RT em #ddj RT @Antena1Rio: O mercado financeiro projeta queda de 6,50% na economia brasileira em 2020. Os dados são da pesquisa Focus do Banco… https://t.co/WgRGWalmr5</t>
  </si>
  <si>
    <t>Dou RT em #ddj RT @leofn3: RT @_fiquemsabendo: Amanhã, a @marilia_gehrke, membro da @EscolaDeDados e embaixadora da @okfnbr, vai dar uma aula sobre jornalismo de dado…</t>
  </si>
  <si>
    <t>Dou RT em #ddj RT @GRQM: RT @_fiquemsabendo: Amanhã, a @marilia_gehrke, membro da @EscolaDeDados e embaixadora da @okfnbr, vai dar uma aula sobre jornalismo de dado…</t>
  </si>
  <si>
    <t>Dou RT em #ddj RT @elisarabelo1: RT @isabellaguasti_: Num país onde dados são omitidos no meio de uma crise de saúde, é crucial pensar o papel do jornalismo profissional. N…</t>
  </si>
  <si>
    <t>Dou RT em #ddj RT @jornalismoDados: Dou RT em #ddj RT @elisarabelo1: RT @isabellaguasti_: Num país onde dados são omitidos no meio de uma crise de saúd… https://t.co/HYtJ31EBXX</t>
  </si>
  <si>
    <t>Dou RT em #ddj RT @isabellaguasti_: Num país onde dados são omitidos no meio de uma crise de saúde, é crucial pensar o papel do jornalismo profissional… https://t.co/mVGWz0GF7s</t>
  </si>
  <si>
    <t>Dou RT em #ddj RT @jornalismoDados: Dou RT em #ddj RT @isabellaguasti_: Num país onde dados são omitidos no meio de uma crise de saúde, é crucial pensa… https://t.co/KoMDsiyEP7</t>
  </si>
  <si>
    <t>Dou RT em #ddj RT @meyreromanha: RT @isabellaguasti_: Num país onde dados são omitidos no meio de uma crise de saúde, é crucial pensar o papel do jornalismo profissional. N…</t>
  </si>
  <si>
    <t>Dou RT em #ddj RT @jornalismoDados: Dou RT em #ddj RT @meyreromanha: RT @isabellaguasti_: Num país onde dados são omitidos no meio de uma crise de saúd… https://t.co/FuEJHDZJDX</t>
  </si>
  <si>
    <t>Dou RT em #ddj RT @camillemoura: RT @okfnbr: _xD83D__xDCE3_No semanário da OKBR, Edição #68: 
_xD83D__xDCA1_Depois de apagão, desafio é aumentar a qualidade dos dados da covid-19
_xD83D__xDDD2_️Aula de Jornali…</t>
  </si>
  <si>
    <t>Dou RT em #ddj RT @morenocris: RT @_fiquemsabendo: Amanhã, a @marilia_gehrke, membro da @EscolaDeDados e embaixadora da @okfnbr, vai dar uma aula sobre jornalismo de dado…</t>
  </si>
  <si>
    <t>Dou RT em #ddj RT @pedaladas: RT @okfnbr: _xD83D__xDCE3_No semanário da OKBR, Edição #68: 
_xD83D__xDCA1_Depois de apagão, desafio é aumentar a qualidade dos dados da covid-19
_xD83D__xDDD2_️Aula de Jornali…</t>
  </si>
  <si>
    <t>Dou RT em #ddj RT @ViniMiguel3: RT @_fiquemsabendo: Amanhã, a @marilia_gehrke, membro da @EscolaDeDados e embaixadora da @okfnbr, vai dar uma aula sobre jornalismo de dado…</t>
  </si>
  <si>
    <t>Dou RT em #ddj RT @Pandolpho2: RT @PatoCorporation: A filha do Serra teve acesso aos dados fiscais de milhões de brasileiros por meio d suas empresas, sem o mínimo contro…</t>
  </si>
  <si>
    <t>Dou RT em #ddj RT @lucas_dourado96: Pro jovem que ainda gosta de brincar de ser comunista, recomendo o documentário do @spotniks sobre a China. Jornali… https://t.co/r2xN6zfRIY</t>
  </si>
  <si>
    <t>Dou RT em #ddj RT @rodolfoezsilva: Que coisa maravilhosa esse levantamento do CIES -observatório do futebol.
Dados sobre treinadores mais longíquos, p… https://t.co/Fu2ERDepsH</t>
  </si>
  <si>
    <t>Dou RT em #ddj RT @xxxtela: "se viu a reportagem no facebook" "procura na internet q vc vê" "Tá na internet"
ENFIA NO CU ESSES SEUS DADOS SEM… https://t.co/hU4VGwpgm2</t>
  </si>
  <si>
    <t>Dou RT em #ddj RT @FlavioRocha1: RT @_fiquemsabendo: Amanhã, a @marilia_gehrke, membro da @EscolaDeDados e embaixadora da @okfnbr, vai dar uma aula sobre jornalismo de dado…</t>
  </si>
  <si>
    <t>Dou RT em #ddj RT @_fiquemsabendo: Amanhã, a @marilia_gehrke, membro da @EscolaDeDados e embaixadora da @okfnbr, vai dar uma aula sobre jornalismo de… https://t.co/CWm3bcMnqg</t>
  </si>
  <si>
    <t>Dou RT em #ddj RT @okfnbr: _xD83D__xDCE3_No semanário da OKBR, Edição #68: 
_xD83D__xDCA1_Depois de apagão, desafio é aumentar a qualidade dos dados da covid-19
_xD83D__xDDD2_️Aul… https://t.co/E3uWCYS8dm</t>
  </si>
  <si>
    <t>Dou RT em #ddj RT @EscolaDeDados: RT @_fiquemsabendo: Amanhã, a @marilia_gehrke, membro da @EscolaDeDados e embaixadora da @okfnbr, vai dar uma aula sobre jornalismo de dado…</t>
  </si>
  <si>
    <t>Dou RT em #ddj RT @sobrejornalismo: olha que oportunidade ... #jornalismodedados #jornalismo via @_fiquemsabendo  Aula sobre Cobertura do Covid 19 atra… https://t.co/hO3l1DdCc0</t>
  </si>
  <si>
    <t>Saving the Nile. Analysing the impact large dams have on the world's most famous river #dataviz #ddj @AJLabs @AJEnglish https://t.co/SBhWbhiSOz</t>
  </si>
  <si>
    <t>Yes, there're so many #ddj tools out there. That's why we've created a special selection for you. Register on our website to get access to #free or heavily discounted #datajournalism tools. @1Password @mailbrew @easel_ly @able2extract are just some of them!https://t.co/AD3ciF3Wkk https://t.co/xj5Z0GXi3a</t>
  </si>
  <si>
    <t>_xD83C__xDF99_Listen to our interview with Prof. Denise Lievesley to learn about the parallels between #datajournalism and #statistics  &amp;amp; how each discipline can enrich each other: https://t.co/POxkC059Mk #podcasts  #ddj https://t.co/IIPVA48SXb</t>
  </si>
  <si>
    <t>#dj  #beats  #djcontroller #midicontroller #djing #djinglife#djsoftware #mixing  #traktordj #traktorpro #traktor3# #pioneerdj #djlife #djgear #djequipment  #nativeinstruments #ddj  #liveset… https://t.co/tK0VzC2A4a</t>
  </si>
  <si>
    <t>#dj  #beats  #djcontroller #midicontroller #djing #djinglife#djsoftware #mixing  #traktordj #traktorpro #traktor3# #pioneerdj #djlife #djgear #djequipment  #nativeinstruments #ddj  #liveset… https://t.co/EsKws32Q5X</t>
  </si>
  <si>
    <t>"There are several alternative sources of energy - but there is only one Nile."
Saving the Nile. Analysing the impact large dams have on the world's most famous river #dataviz #ddj @AJLabs @AJEnglish @essamheggy @haddadme https://t.co/oy7r69vUnS</t>
  </si>
  <si>
    <t>Le journaliste @yannguegan a utilisé les techniques du data journalisme pour réaliser une analyse linguistique des médias français et débusquer les clichés les plus utilisés par les journalistes dans leurs articles -----&amp;gt; https://t.co/pelNvcenP3 #ddj #AffaireaSuivre https://t.co/tLILRadxwP</t>
  </si>
  <si>
    <t>- Data journalisme - Comment collecter des données " exclusives " ? Découvrez les techniques les plus innovantes et efficaces  -----&amp;gt; https://t.co/B84dIowauV #ddj https://t.co/j8G3MLoYzB</t>
  </si>
  <si>
    <t>Pour retrouver le top 10 des liens de data journalisme de la semaine c'est par ici -----&amp;gt; https://t.co/t5VazsrGdN #ddj https://t.co/nqHrElPH2q</t>
  </si>
  <si>
    <t>These three words "Don't give up" ring true to any journo who wants to work in the industry, particularly if you're Black, Asian or disabled. Apart from the odd one or two I know that work in #ddj, there's still work to do in those areas. Great piece from @TVMarv for @BJTC_UK. https://t.co/QAdBSzMYti</t>
  </si>
  <si>
    <t>CAR-Journalism rocks! #ddj https://t.co/mKMBMtamxp</t>
  </si>
  <si>
    <t>youtu.be</t>
  </si>
  <si>
    <t>twitter.com</t>
  </si>
  <si>
    <t>theguardian.com</t>
  </si>
  <si>
    <t>aljazeera.com</t>
  </si>
  <si>
    <t>t.ly</t>
  </si>
  <si>
    <t>google.com</t>
  </si>
  <si>
    <t>instagram.com</t>
  </si>
  <si>
    <t>github.com</t>
  </si>
  <si>
    <t>blogspot.com</t>
  </si>
  <si>
    <t>kro-ncrv.nl</t>
  </si>
  <si>
    <t>datajournalism.com</t>
  </si>
  <si>
    <t>tijd.be</t>
  </si>
  <si>
    <t>dansmonlabo.com</t>
  </si>
  <si>
    <t>gijn.org</t>
  </si>
  <si>
    <t>utexas.edu</t>
  </si>
  <si>
    <t>gov.uk</t>
  </si>
  <si>
    <t>puntofisso.net</t>
  </si>
  <si>
    <t>tagesspiegel.de</t>
  </si>
  <si>
    <t>e2d3 excel dataviz d3js github data datavizualization javascript json infographics</t>
  </si>
  <si>
    <t>e2d3 excel dataviz d3js github data datavizualization javascript json infographics startup map datascience ddj datascraping datajournalism js opensource oss gis microsoft vuejs nodejs html5 tech edtech visualization nodejs</t>
  </si>
  <si>
    <t>ddj lampa2020</t>
  </si>
  <si>
    <t>wildeye datajournalism ddj</t>
  </si>
  <si>
    <t>wildeye</t>
  </si>
  <si>
    <t>dataviz infographics ddj</t>
  </si>
  <si>
    <t>data</t>
  </si>
  <si>
    <t>journalism ddj</t>
  </si>
  <si>
    <t>cijsummer</t>
  </si>
  <si>
    <t>cijsummer ddj data covid19</t>
  </si>
  <si>
    <t>dataviz ddj</t>
  </si>
  <si>
    <t>deutschland kurzarbeit coronakrise</t>
  </si>
  <si>
    <t>producer seratodj serato pioneerdj akaipro akaiprofessional mpclive gearhead setup producerlife mobilesetup djlife djlifestyle djbooth djequipment djcontroller ddjsx pioneer ddj sx pioneerddj</t>
  </si>
  <si>
    <t>dataviz</t>
  </si>
  <si>
    <t>ddj</t>
  </si>
  <si>
    <t>dataviz datavisualization infographic ddj</t>
  </si>
  <si>
    <t>estagio design graphicdesign dados ddj</t>
  </si>
  <si>
    <t>estagio design graphicdesign dados</t>
  </si>
  <si>
    <t>equity ethics</t>
  </si>
  <si>
    <t>ddj opendata</t>
  </si>
  <si>
    <t>pioneerdj nexus2 djset cdj2000nxs2 cdj2000nexus xdj1000 djm900nxs2 mobiledj djlife mobiledjlife ddj dj tracks music djschool djschoolmiddennederland</t>
  </si>
  <si>
    <t>pioneerdj marketleader dj djm cdj xdj beautifultechnology ddj cdj1000</t>
  </si>
  <si>
    <t>blacklivesmatter tidytuesday rstats ggplot2 ddj dataviz</t>
  </si>
  <si>
    <t>blacklivesmatter</t>
  </si>
  <si>
    <t>ddj ddj ddj</t>
  </si>
  <si>
    <t>ddj ddj</t>
  </si>
  <si>
    <t>ddj ddj ddj ddj</t>
  </si>
  <si>
    <t>ddj jornalismodedados jornalismo</t>
  </si>
  <si>
    <t>data datajournalism ddj</t>
  </si>
  <si>
    <t>ddj free datajournalism</t>
  </si>
  <si>
    <t>dj beats djcontroller midicontroller djing mixing traktordj traktorpro pioneerdj djlife djgear djequipment nativeinstruments ddj liveset</t>
  </si>
  <si>
    <t>data datajournalists ddj datajournalism</t>
  </si>
  <si>
    <t>datajournalism statistics podcasts ddj</t>
  </si>
  <si>
    <t>ddj affaireasuivre</t>
  </si>
  <si>
    <t>equity ethics ddj</t>
  </si>
  <si>
    <t>opendata ddj opengov</t>
  </si>
  <si>
    <t>data ddj opendata dataviz</t>
  </si>
  <si>
    <t>deutschland kurzarbeit coronakrise arbeitsmarkt coronavirus ddj</t>
  </si>
  <si>
    <t>07:42:13</t>
  </si>
  <si>
    <t>07:42:18</t>
  </si>
  <si>
    <t>07:42:20</t>
  </si>
  <si>
    <t>07:44:24</t>
  </si>
  <si>
    <t>07:59:53</t>
  </si>
  <si>
    <t>07:59:56</t>
  </si>
  <si>
    <t>14:27:23</t>
  </si>
  <si>
    <t>08:14:26</t>
  </si>
  <si>
    <t>09:04:01</t>
  </si>
  <si>
    <t>10:20:56</t>
  </si>
  <si>
    <t>10:21:16</t>
  </si>
  <si>
    <t>10:53:59</t>
  </si>
  <si>
    <t>11:01:03</t>
  </si>
  <si>
    <t>11:04:00</t>
  </si>
  <si>
    <t>11:10:05</t>
  </si>
  <si>
    <t>11:11:14</t>
  </si>
  <si>
    <t>11:12:00</t>
  </si>
  <si>
    <t>11:12:32</t>
  </si>
  <si>
    <t>11:12:37</t>
  </si>
  <si>
    <t>11:14:01</t>
  </si>
  <si>
    <t>11:14:27</t>
  </si>
  <si>
    <t>11:19:35</t>
  </si>
  <si>
    <t>11:20:39</t>
  </si>
  <si>
    <t>11:36:03</t>
  </si>
  <si>
    <t>12:12:32</t>
  </si>
  <si>
    <t>12:17:43</t>
  </si>
  <si>
    <t>12:18:19</t>
  </si>
  <si>
    <t>12:29:43</t>
  </si>
  <si>
    <t>13:43:43</t>
  </si>
  <si>
    <t>12:46:53</t>
  </si>
  <si>
    <t>12:50:23</t>
  </si>
  <si>
    <t>12:53:12</t>
  </si>
  <si>
    <t>13:22:13</t>
  </si>
  <si>
    <t>13:39:02</t>
  </si>
  <si>
    <t>13:49:03</t>
  </si>
  <si>
    <t>13:55:42</t>
  </si>
  <si>
    <t>14:22:09</t>
  </si>
  <si>
    <t>14:44:48</t>
  </si>
  <si>
    <t>14:56:25</t>
  </si>
  <si>
    <t>14:58:18</t>
  </si>
  <si>
    <t>15:10:51</t>
  </si>
  <si>
    <t>15:11:42</t>
  </si>
  <si>
    <t>15:29:39</t>
  </si>
  <si>
    <t>15:35:46</t>
  </si>
  <si>
    <t>15:40:12</t>
  </si>
  <si>
    <t>16:04:14</t>
  </si>
  <si>
    <t>16:11:35</t>
  </si>
  <si>
    <t>16:33:47</t>
  </si>
  <si>
    <t>16:36:17</t>
  </si>
  <si>
    <t>16:39:33</t>
  </si>
  <si>
    <t>16:59:33</t>
  </si>
  <si>
    <t>17:00:56</t>
  </si>
  <si>
    <t>17:09:47</t>
  </si>
  <si>
    <t>17:09:57</t>
  </si>
  <si>
    <t>15:03:04</t>
  </si>
  <si>
    <t>17:23:32</t>
  </si>
  <si>
    <t>15:18:18</t>
  </si>
  <si>
    <t>17:56:45</t>
  </si>
  <si>
    <t>18:10:44</t>
  </si>
  <si>
    <t>18:37:32</t>
  </si>
  <si>
    <t>18:38:58</t>
  </si>
  <si>
    <t>19:07:32</t>
  </si>
  <si>
    <t>19:09:44</t>
  </si>
  <si>
    <t>19:33:09</t>
  </si>
  <si>
    <t>19:33:29</t>
  </si>
  <si>
    <t>19:35:04</t>
  </si>
  <si>
    <t>19:41:16</t>
  </si>
  <si>
    <t>19:42:31</t>
  </si>
  <si>
    <t>19:43:40</t>
  </si>
  <si>
    <t>19:46:30</t>
  </si>
  <si>
    <t>19:48:55</t>
  </si>
  <si>
    <t>19:59:15</t>
  </si>
  <si>
    <t>20:01:36</t>
  </si>
  <si>
    <t>20:02:13</t>
  </si>
  <si>
    <t>20:06:21</t>
  </si>
  <si>
    <t>20:07:45</t>
  </si>
  <si>
    <t>20:11:34</t>
  </si>
  <si>
    <t>20:15:17</t>
  </si>
  <si>
    <t>20:15:36</t>
  </si>
  <si>
    <t>20:17:18</t>
  </si>
  <si>
    <t>20:20:33</t>
  </si>
  <si>
    <t>20:20:58</t>
  </si>
  <si>
    <t>20:22:18</t>
  </si>
  <si>
    <t>21:12:16</t>
  </si>
  <si>
    <t>21:13:33</t>
  </si>
  <si>
    <t>21:24:57</t>
  </si>
  <si>
    <t>21:25:01</t>
  </si>
  <si>
    <t>21:25:16</t>
  </si>
  <si>
    <t>21:53:20</t>
  </si>
  <si>
    <t>22:11:41</t>
  </si>
  <si>
    <t>22:32:26</t>
  </si>
  <si>
    <t>22:39:24</t>
  </si>
  <si>
    <t>22:53:31</t>
  </si>
  <si>
    <t>23:03:21</t>
  </si>
  <si>
    <t>07:04:44</t>
  </si>
  <si>
    <t>23:15:45</t>
  </si>
  <si>
    <t>23:46:31</t>
  </si>
  <si>
    <t>00:14:14</t>
  </si>
  <si>
    <t>00:50:50</t>
  </si>
  <si>
    <t>01:02:34</t>
  </si>
  <si>
    <t>01:05:36</t>
  </si>
  <si>
    <t>01:12:54</t>
  </si>
  <si>
    <t>01:26:11</t>
  </si>
  <si>
    <t>01:49:27</t>
  </si>
  <si>
    <t>16:34:19</t>
  </si>
  <si>
    <t>02:08:48</t>
  </si>
  <si>
    <t>02:09:28</t>
  </si>
  <si>
    <t>02:27:46</t>
  </si>
  <si>
    <t>02:38:06</t>
  </si>
  <si>
    <t>01:41:36</t>
  </si>
  <si>
    <t>02:41:33</t>
  </si>
  <si>
    <t>03:41:33</t>
  </si>
  <si>
    <t>04:41:50</t>
  </si>
  <si>
    <t>05:41:33</t>
  </si>
  <si>
    <t>11:41:33</t>
  </si>
  <si>
    <t>13:41:34</t>
  </si>
  <si>
    <t>13:41:43</t>
  </si>
  <si>
    <t>14:41:33</t>
  </si>
  <si>
    <t>15:41:33</t>
  </si>
  <si>
    <t>15:41:37</t>
  </si>
  <si>
    <t>16:41:33</t>
  </si>
  <si>
    <t>16:41:37</t>
  </si>
  <si>
    <t>16:41:46</t>
  </si>
  <si>
    <t>17:42:03</t>
  </si>
  <si>
    <t>17:41:46</t>
  </si>
  <si>
    <t>18:41:33</t>
  </si>
  <si>
    <t>17:41:41</t>
  </si>
  <si>
    <t>18:41:40</t>
  </si>
  <si>
    <t>17:41:33</t>
  </si>
  <si>
    <t>18:41:49</t>
  </si>
  <si>
    <t>19:41:42</t>
  </si>
  <si>
    <t>19:41:46</t>
  </si>
  <si>
    <t>20:41:33</t>
  </si>
  <si>
    <t>20:41:37</t>
  </si>
  <si>
    <t>19:41:52</t>
  </si>
  <si>
    <t>20:41:52</t>
  </si>
  <si>
    <t>16:41:56</t>
  </si>
  <si>
    <t>17:41:57</t>
  </si>
  <si>
    <t>19:41:33</t>
  </si>
  <si>
    <t>20:41:57</t>
  </si>
  <si>
    <t>21:41:33</t>
  </si>
  <si>
    <t>21:41:57</t>
  </si>
  <si>
    <t>22:28:00</t>
  </si>
  <si>
    <t>21:41:36</t>
  </si>
  <si>
    <t>21:41:46</t>
  </si>
  <si>
    <t>22:41:33</t>
  </si>
  <si>
    <t>22:41:43</t>
  </si>
  <si>
    <t>23:41:33</t>
  </si>
  <si>
    <t>00:41:33</t>
  </si>
  <si>
    <t>01:41:33</t>
  </si>
  <si>
    <t>01:41:43</t>
  </si>
  <si>
    <t>20:41:44</t>
  </si>
  <si>
    <t>21:41:51</t>
  </si>
  <si>
    <t>20:28:33</t>
  </si>
  <si>
    <t>03:41:32</t>
  </si>
  <si>
    <t>03:47:53</t>
  </si>
  <si>
    <t>04:31:44</t>
  </si>
  <si>
    <t>04:32:04</t>
  </si>
  <si>
    <t>05:23:46</t>
  </si>
  <si>
    <t>05:56:00</t>
  </si>
  <si>
    <t>05:58:41</t>
  </si>
  <si>
    <t>06:19:58</t>
  </si>
  <si>
    <t>11:12:22</t>
  </si>
  <si>
    <t>12:12:23</t>
  </si>
  <si>
    <t>11:35:52</t>
  </si>
  <si>
    <t>06:00:33</t>
  </si>
  <si>
    <t>06:04:35</t>
  </si>
  <si>
    <t>14:57:32</t>
  </si>
  <si>
    <t>06:08:39</t>
  </si>
  <si>
    <t>17:26:08</t>
  </si>
  <si>
    <t>06:08:50</t>
  </si>
  <si>
    <t>06:08:57</t>
  </si>
  <si>
    <t>06:14:11</t>
  </si>
  <si>
    <t>06:14:48</t>
  </si>
  <si>
    <t>06:15:01</t>
  </si>
  <si>
    <t>06:30:36</t>
  </si>
  <si>
    <t>06:45:01</t>
  </si>
  <si>
    <t>07:58:22</t>
  </si>
  <si>
    <t>03:53:45</t>
  </si>
  <si>
    <t>08:04:54</t>
  </si>
  <si>
    <t>08:10:20</t>
  </si>
  <si>
    <t>08:11:30</t>
  </si>
  <si>
    <t>08:15:12</t>
  </si>
  <si>
    <t>12:08:10</t>
  </si>
  <si>
    <t>08:25:29</t>
  </si>
  <si>
    <t>05:59:53</t>
  </si>
  <si>
    <t>08:29:25</t>
  </si>
  <si>
    <t>11:47:03</t>
  </si>
  <si>
    <t>08:42:45</t>
  </si>
  <si>
    <t>14:30:02</t>
  </si>
  <si>
    <t>09:30:03</t>
  </si>
  <si>
    <t>08:42:44</t>
  </si>
  <si>
    <t>08:42:53</t>
  </si>
  <si>
    <t>09:04:33</t>
  </si>
  <si>
    <t>08:03:38</t>
  </si>
  <si>
    <t>09:29:49</t>
  </si>
  <si>
    <t>19:55:42</t>
  </si>
  <si>
    <t>09:47:45</t>
  </si>
  <si>
    <t>14:00:03</t>
  </si>
  <si>
    <t>10:08:33</t>
  </si>
  <si>
    <t>19:40:54</t>
  </si>
  <si>
    <t>11:09:48</t>
  </si>
  <si>
    <t>20:09:52</t>
  </si>
  <si>
    <t>10:28:28</t>
  </si>
  <si>
    <t>10:37:21</t>
  </si>
  <si>
    <t>14:39:38</t>
  </si>
  <si>
    <t>10:40:53</t>
  </si>
  <si>
    <t>06:21:48</t>
  </si>
  <si>
    <t>1274970934990925825</t>
  </si>
  <si>
    <t>1274970956600049666</t>
  </si>
  <si>
    <t>1274970956683935744</t>
  </si>
  <si>
    <t>1274970965332672514</t>
  </si>
  <si>
    <t>1274971486420336643</t>
  </si>
  <si>
    <t>1274975382123536384</t>
  </si>
  <si>
    <t>1274975393179721732</t>
  </si>
  <si>
    <t>1267825141666312192</t>
  </si>
  <si>
    <t>1274979044358938624</t>
  </si>
  <si>
    <t>1274991522329571333</t>
  </si>
  <si>
    <t>1275010876886695936</t>
  </si>
  <si>
    <t>1275010961926172672</t>
  </si>
  <si>
    <t>1275019193461739520</t>
  </si>
  <si>
    <t>1275020971867607040</t>
  </si>
  <si>
    <t>1275021717862309888</t>
  </si>
  <si>
    <t>1275023248477040647</t>
  </si>
  <si>
    <t>1275023535816261634</t>
  </si>
  <si>
    <t>1275023729668603911</t>
  </si>
  <si>
    <t>1275023864267968513</t>
  </si>
  <si>
    <t>1275023885243527169</t>
  </si>
  <si>
    <t>1275024238311849987</t>
  </si>
  <si>
    <t>1275024347749666820</t>
  </si>
  <si>
    <t>1275025637879746560</t>
  </si>
  <si>
    <t>1275025907619713025</t>
  </si>
  <si>
    <t>1275029783324307477</t>
  </si>
  <si>
    <t>1275038964655759361</t>
  </si>
  <si>
    <t>1275040268186726400</t>
  </si>
  <si>
    <t>1275040417747173377</t>
  </si>
  <si>
    <t>1275043286978375685</t>
  </si>
  <si>
    <t>1273612357369987074</t>
  </si>
  <si>
    <t>1275047608617242625</t>
  </si>
  <si>
    <t>1275048486891855873</t>
  </si>
  <si>
    <t>1275049198547763204</t>
  </si>
  <si>
    <t>1275056500394921984</t>
  </si>
  <si>
    <t>1275060730555842561</t>
  </si>
  <si>
    <t>1275063253047992324</t>
  </si>
  <si>
    <t>1275064927611281409</t>
  </si>
  <si>
    <t>1275071583497777153</t>
  </si>
  <si>
    <t>1275077283196227584</t>
  </si>
  <si>
    <t>1275080204541517826</t>
  </si>
  <si>
    <t>1275080678279794691</t>
  </si>
  <si>
    <t>1275083837018603520</t>
  </si>
  <si>
    <t>1275084049728409601</t>
  </si>
  <si>
    <t>1275088570869571586</t>
  </si>
  <si>
    <t>1275090109654859776</t>
  </si>
  <si>
    <t>1275091225595523073</t>
  </si>
  <si>
    <t>1275097273668636672</t>
  </si>
  <si>
    <t>1275099122744336385</t>
  </si>
  <si>
    <t>1275104710610083845</t>
  </si>
  <si>
    <t>1275105339319386113</t>
  </si>
  <si>
    <t>1275106161944117253</t>
  </si>
  <si>
    <t>1275111192604872704</t>
  </si>
  <si>
    <t>1275111539520012293</t>
  </si>
  <si>
    <t>1275113767429459969</t>
  </si>
  <si>
    <t>1275113808726495232</t>
  </si>
  <si>
    <t>1275081880954527746</t>
  </si>
  <si>
    <t>1275117227541397504</t>
  </si>
  <si>
    <t>1275085713239945216</t>
  </si>
  <si>
    <t>1275125586613071872</t>
  </si>
  <si>
    <t>1275129105432883201</t>
  </si>
  <si>
    <t>1275135849630445569</t>
  </si>
  <si>
    <t>1275136211632435200</t>
  </si>
  <si>
    <t>1275143400199684109</t>
  </si>
  <si>
    <t>1275143955232034827</t>
  </si>
  <si>
    <t>1275149846438129664</t>
  </si>
  <si>
    <t>1275149932723408896</t>
  </si>
  <si>
    <t>1275150332117516288</t>
  </si>
  <si>
    <t>1275151891232669696</t>
  </si>
  <si>
    <t>1275152206270955522</t>
  </si>
  <si>
    <t>1275152493585014784</t>
  </si>
  <si>
    <t>1275153207510122497</t>
  </si>
  <si>
    <t>1275153816049127424</t>
  </si>
  <si>
    <t>1275156416748281857</t>
  </si>
  <si>
    <t>1275157005573992449</t>
  </si>
  <si>
    <t>1275157164286451716</t>
  </si>
  <si>
    <t>1275158202611568641</t>
  </si>
  <si>
    <t>1275158554014597122</t>
  </si>
  <si>
    <t>1275159513595875331</t>
  </si>
  <si>
    <t>1275160450980892677</t>
  </si>
  <si>
    <t>1275160531834474497</t>
  </si>
  <si>
    <t>1275160957862453255</t>
  </si>
  <si>
    <t>1275161775361658881</t>
  </si>
  <si>
    <t>1275161883042091014</t>
  </si>
  <si>
    <t>1275162218225643529</t>
  </si>
  <si>
    <t>1275174792124080131</t>
  </si>
  <si>
    <t>1275175115727294467</t>
  </si>
  <si>
    <t>1275177984954118145</t>
  </si>
  <si>
    <t>1275177999084793856</t>
  </si>
  <si>
    <t>1275178060959174656</t>
  </si>
  <si>
    <t>1275185127698640896</t>
  </si>
  <si>
    <t>1275189745887387651</t>
  </si>
  <si>
    <t>1275194967728754689</t>
  </si>
  <si>
    <t>1275196717621817350</t>
  </si>
  <si>
    <t>1275200273477251073</t>
  </si>
  <si>
    <t>1275202745830604800</t>
  </si>
  <si>
    <t>1271337622779179009</t>
  </si>
  <si>
    <t>1275205867311415297</t>
  </si>
  <si>
    <t>1275213609883389953</t>
  </si>
  <si>
    <t>1275220585002524676</t>
  </si>
  <si>
    <t>1275229794146410496</t>
  </si>
  <si>
    <t>1275232749385707520</t>
  </si>
  <si>
    <t>1275233509913878528</t>
  </si>
  <si>
    <t>1275235346956115969</t>
  </si>
  <si>
    <t>1275238693029113856</t>
  </si>
  <si>
    <t>1275244544867667969</t>
  </si>
  <si>
    <t>1273655291457011712</t>
  </si>
  <si>
    <t>1275249417868754945</t>
  </si>
  <si>
    <t>1275249584265146372</t>
  </si>
  <si>
    <t>1275254189644550144</t>
  </si>
  <si>
    <t>1275256788049367040</t>
  </si>
  <si>
    <t>1274880183955308545</t>
  </si>
  <si>
    <t>1274895269319118848</t>
  </si>
  <si>
    <t>1274910369551724547</t>
  </si>
  <si>
    <t>1274925539954958337</t>
  </si>
  <si>
    <t>1274940568360095744</t>
  </si>
  <si>
    <t>1275031165020274690</t>
  </si>
  <si>
    <t>1275061368203259904</t>
  </si>
  <si>
    <t>1275061407709573122</t>
  </si>
  <si>
    <t>1275076463805386753</t>
  </si>
  <si>
    <t>1275091562947633153</t>
  </si>
  <si>
    <t>1275091581159321600</t>
  </si>
  <si>
    <t>1275106662630731776</t>
  </si>
  <si>
    <t>1275106681060560896</t>
  </si>
  <si>
    <t>1275106716489789441</t>
  </si>
  <si>
    <t>1275121889099333634</t>
  </si>
  <si>
    <t>1275121818836389888</t>
  </si>
  <si>
    <t>1275136861065949184</t>
  </si>
  <si>
    <t>1275121796350709761</t>
  </si>
  <si>
    <t>1275136891856306176</t>
  </si>
  <si>
    <t>1275121761441517569</t>
  </si>
  <si>
    <t>1275136931349790721</t>
  </si>
  <si>
    <t>1275152000095789057</t>
  </si>
  <si>
    <t>1275152014285176832</t>
  </si>
  <si>
    <t>1275167060952322051</t>
  </si>
  <si>
    <t>1275167079294013446</t>
  </si>
  <si>
    <t>1275152041283932160</t>
  </si>
  <si>
    <t>1275167141835259905</t>
  </si>
  <si>
    <t>1275106760110608384</t>
  </si>
  <si>
    <t>1275121862394236929</t>
  </si>
  <si>
    <t>1275151960887439361</t>
  </si>
  <si>
    <t>1275167160067817472</t>
  </si>
  <si>
    <t>1275182160119566342</t>
  </si>
  <si>
    <t>1275182262791921664</t>
  </si>
  <si>
    <t>1275193851897135106</t>
  </si>
  <si>
    <t>1275182174011097088</t>
  </si>
  <si>
    <t>1275182214003724290</t>
  </si>
  <si>
    <t>1275197258993225728</t>
  </si>
  <si>
    <t>1275197302324551681</t>
  </si>
  <si>
    <t>1275212359267737600</t>
  </si>
  <si>
    <t>1275227458732732416</t>
  </si>
  <si>
    <t>1275242558290112513</t>
  </si>
  <si>
    <t>1275242601734684674</t>
  </si>
  <si>
    <t>1275167106691203073</t>
  </si>
  <si>
    <t>1275182236204175363</t>
  </si>
  <si>
    <t>1275257656954011650</t>
  </si>
  <si>
    <t>1275163788178796544</t>
  </si>
  <si>
    <t>1275272755219443713</t>
  </si>
  <si>
    <t>1275274350422351872</t>
  </si>
  <si>
    <t>1275285384876843010</t>
  </si>
  <si>
    <t>1275285470461771776</t>
  </si>
  <si>
    <t>1275298481851293696</t>
  </si>
  <si>
    <t>1275306591160541184</t>
  </si>
  <si>
    <t>1275307269476036615</t>
  </si>
  <si>
    <t>1273500685208883200</t>
  </si>
  <si>
    <t>1275023822215958528</t>
  </si>
  <si>
    <t>1275038926932238341</t>
  </si>
  <si>
    <t>1274304961749319680</t>
  </si>
  <si>
    <t>1275307737472253953</t>
  </si>
  <si>
    <t>1275308753848426496</t>
  </si>
  <si>
    <t>1275080485333463042</t>
  </si>
  <si>
    <t>1275309776465952769</t>
  </si>
  <si>
    <t>1275117883002105857</t>
  </si>
  <si>
    <t>1275309823492489216</t>
  </si>
  <si>
    <t>1275309852890411009</t>
  </si>
  <si>
    <t>1275311168534523904</t>
  </si>
  <si>
    <t>1275311325657346048</t>
  </si>
  <si>
    <t>1275311379143110659</t>
  </si>
  <si>
    <t>1275315300074807297</t>
  </si>
  <si>
    <t>1275318927271305217</t>
  </si>
  <si>
    <t>1275337387191742464</t>
  </si>
  <si>
    <t>1274913441057251333</t>
  </si>
  <si>
    <t>1275339032998936576</t>
  </si>
  <si>
    <t>1275340399712886785</t>
  </si>
  <si>
    <t>1275340694094319616</t>
  </si>
  <si>
    <t>1275341624063729665</t>
  </si>
  <si>
    <t>1275037865118965761</t>
  </si>
  <si>
    <t>1275344211341172736</t>
  </si>
  <si>
    <t>1275307568768921607</t>
  </si>
  <si>
    <t>1275345202815938564</t>
  </si>
  <si>
    <t>1267784790511693824</t>
  </si>
  <si>
    <t>1275348556992229376</t>
  </si>
  <si>
    <t>1267463422045798401</t>
  </si>
  <si>
    <t>1272098969204785159</t>
  </si>
  <si>
    <t>1275348554173812736</t>
  </si>
  <si>
    <t>1275348591045824512</t>
  </si>
  <si>
    <t>1275354044882653184</t>
  </si>
  <si>
    <t>1275338715112620033</t>
  </si>
  <si>
    <t>1275360403359440898</t>
  </si>
  <si>
    <t>1275155524036804609</t>
  </si>
  <si>
    <t>1275364914559954944</t>
  </si>
  <si>
    <t>1273978856664371200</t>
  </si>
  <si>
    <t>1275370149151862784</t>
  </si>
  <si>
    <t>1275151799985602560</t>
  </si>
  <si>
    <t>1275023175747805186</t>
  </si>
  <si>
    <t>1275159085848109056</t>
  </si>
  <si>
    <t>1275375160619663360</t>
  </si>
  <si>
    <t>1275377398259822592</t>
  </si>
  <si>
    <t>1275075981967908864</t>
  </si>
  <si>
    <t>1275378287645261834</t>
  </si>
  <si>
    <t>1274950699428831232</t>
  </si>
  <si>
    <t/>
  </si>
  <si>
    <t>en</t>
  </si>
  <si>
    <t>ru</t>
  </si>
  <si>
    <t>de</t>
  </si>
  <si>
    <t>nl</t>
  </si>
  <si>
    <t>in</t>
  </si>
  <si>
    <t>pt</t>
  </si>
  <si>
    <t>es</t>
  </si>
  <si>
    <t>cs</t>
  </si>
  <si>
    <t>fr</t>
  </si>
  <si>
    <t>1274998459075092486</t>
  </si>
  <si>
    <t>1274853316758036481</t>
  </si>
  <si>
    <t>1275156603893878784</t>
  </si>
  <si>
    <t>1274701756069556225</t>
  </si>
  <si>
    <t>1275335232539983872</t>
  </si>
  <si>
    <t>1275294646349041664</t>
  </si>
  <si>
    <t>Twitter for iPhone</t>
  </si>
  <si>
    <t>GnutsBot</t>
  </si>
  <si>
    <t>Twitter for addempsea</t>
  </si>
  <si>
    <t>@erRaghavKhanna</t>
  </si>
  <si>
    <t>Mark Johnson1</t>
  </si>
  <si>
    <t>Replier bot</t>
  </si>
  <si>
    <t>Js_100_Day_Code</t>
  </si>
  <si>
    <t>Twitter Web App</t>
  </si>
  <si>
    <t>Microsoft Power Platform</t>
  </si>
  <si>
    <t>Buffer</t>
  </si>
  <si>
    <t>TweetDeck</t>
  </si>
  <si>
    <t>Twitter for Android</t>
  </si>
  <si>
    <t>Tweetlogix</t>
  </si>
  <si>
    <t>IFTTT</t>
  </si>
  <si>
    <t>Instagram</t>
  </si>
  <si>
    <t>rt_app2018</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</si>
  <si>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</si>
  <si>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</si>
  <si>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</si>
  <si>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</si>
  <si>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</si>
  <si>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</si>
  <si>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</si>
  <si>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</si>
  <si>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</si>
  <si>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</si>
  <si>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</si>
  <si>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</si>
  <si>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</si>
  <si>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</si>
  <si>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</si>
  <si>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</si>
  <si>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</si>
  <si>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</si>
  <si>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</si>
  <si>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</si>
  <si>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</si>
  <si>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</si>
  <si>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Alberto Cairo</t>
  </si>
  <si>
    <t>Mijin Kim</t>
  </si>
  <si>
    <t>E2D3_x001D__dataviz on Excel</t>
  </si>
  <si>
    <t>Gnuts about Code</t>
  </si>
  <si>
    <t>quotesBot</t>
  </si>
  <si>
    <t>Inferno</t>
  </si>
  <si>
    <t>Mark Johnson</t>
  </si>
  <si>
    <t>DIGITALSPHERE</t>
  </si>
  <si>
    <t>JSBot</t>
  </si>
  <si>
    <t>Greg Nash</t>
  </si>
  <si>
    <t>GIJN in Russian</t>
  </si>
  <si>
    <t>Oxpeckers Center</t>
  </si>
  <si>
    <t>Marius DAEA</t>
  </si>
  <si>
    <t>Emanuela Barbiroglio _xD83C__xDF0D_♀</t>
  </si>
  <si>
    <t>Newsweek</t>
  </si>
  <si>
    <t>MPVD</t>
  </si>
  <si>
    <t>SIN_NL_ORG</t>
  </si>
  <si>
    <t>Pointer (KRO-NCRV)</t>
  </si>
  <si>
    <t>DataJournalism.com</t>
  </si>
  <si>
    <t>Miguel Roca</t>
  </si>
  <si>
    <t>social distANNcing</t>
  </si>
  <si>
    <t>Giuseppe Sollazzo</t>
  </si>
  <si>
    <t>Jessica Twentyman</t>
  </si>
  <si>
    <t>Simon Hughesdon</t>
  </si>
  <si>
    <t>Mo ✊_xD83C__xDFFB_✊_xD83C__xDFFC_✊_xD83C__xDFFD_✊_xD83C__xDFFE_✊_xD83C__xDFFF_ _xD83C__xDFF3_️‍_xD83C__xDF08__xD83C__xDDEA__xD83C__xDDFA_</t>
  </si>
  <si>
    <t>Ellen Broad</t>
  </si>
  <si>
    <t>Lucy Knight</t>
  </si>
  <si>
    <t>michelle patel</t>
  </si>
  <si>
    <t>Mike Jones _xD83D__xDC68__xD83C__xDFFB_‍_xD83D__xDCBB_</t>
  </si>
  <si>
    <t>Sophie Taysom</t>
  </si>
  <si>
    <t>Alicia Castro</t>
  </si>
  <si>
    <t>Pamela Duncan</t>
  </si>
  <si>
    <t>CIJ</t>
  </si>
  <si>
    <t>Ernesto Carrasco</t>
  </si>
  <si>
    <t>Dr Joe Baker</t>
  </si>
  <si>
    <t>Fábio Vasconcellos</t>
  </si>
  <si>
    <t>Jennifer LaFleur</t>
  </si>
  <si>
    <t>Maud Beelman</t>
  </si>
  <si>
    <t>Dan Barrett</t>
  </si>
  <si>
    <t>Marcelo da Graça R.</t>
  </si>
  <si>
    <t>Ana Serrano Tellería</t>
  </si>
  <si>
    <t>Jeremy Morley</t>
  </si>
  <si>
    <t>Jeni Tennison</t>
  </si>
  <si>
    <t>Susana Garayoa</t>
  </si>
  <si>
    <t>_xD835__xDC3B__xD835__xDC52__xD835__xDCC3__xD835__xDCC7__xD835__xDCCE_ _xD835__xDC3F__xD835__xDCCA__xD835__xDCC9__xD835__xDCCC__xD835__xDCB6__xD835__xDCC2__xD835__xDCB6_</t>
  </si>
  <si>
    <t>Al Jazeera English</t>
  </si>
  <si>
    <t>AJ Labs</t>
  </si>
  <si>
    <t>Sergio Garcia Mora</t>
  </si>
  <si>
    <t>Rorisangshomang</t>
  </si>
  <si>
    <t>Natalia Ojewska</t>
  </si>
  <si>
    <t>David Meidinger</t>
  </si>
  <si>
    <t>Tagesspiegel</t>
  </si>
  <si>
    <t>Helena Wittlich</t>
  </si>
  <si>
    <t>Michael Gegg</t>
  </si>
  <si>
    <t>Emiel Vannieuwenhuyse</t>
  </si>
  <si>
    <t>De Tijd</t>
  </si>
  <si>
    <t>Andries Fluit</t>
  </si>
  <si>
    <t>Beatwolf</t>
  </si>
  <si>
    <t>Alex Vancoppenolle</t>
  </si>
  <si>
    <t>Konstantinos Antonopoulos</t>
  </si>
  <si>
    <t>Aiap</t>
  </si>
  <si>
    <t>Federica Fragapane</t>
  </si>
  <si>
    <t>Tijana Blagojev</t>
  </si>
  <si>
    <t>Glyn Mottershead</t>
  </si>
  <si>
    <t>The Telegraph</t>
  </si>
  <si>
    <t>New Statesman</t>
  </si>
  <si>
    <t>Patrick Scott</t>
  </si>
  <si>
    <t>Guido Pizzini</t>
  </si>
  <si>
    <t>Stephen McConnachie</t>
  </si>
  <si>
    <t>Luke Stanbra</t>
  </si>
  <si>
    <t>Schamah</t>
  </si>
  <si>
    <t>Dr James Alan Anslow</t>
  </si>
  <si>
    <t>F48_DHSGeography</t>
  </si>
  <si>
    <t>Oscar Williams</t>
  </si>
  <si>
    <t>Emily Tamkin</t>
  </si>
  <si>
    <t>Robert Ingram</t>
  </si>
  <si>
    <t>Carlos Hampshire M.</t>
  </si>
  <si>
    <t>Ifeanyi Paul_xD83C__xDDE8__xD83C__xDDE6__xD83C__xDDE9__xD83C__xDDEA__xD83C__xDDEA__xD83C__xDDF8__xD83C__xDDFA__xD83C__xDDF8__xD83C__xDDE6__xD83C__xDDEE_</t>
  </si>
  <si>
    <t>Giulliana Bianconi</t>
  </si>
  <si>
    <t>Gênero e Número</t>
  </si>
  <si>
    <t>Rodolfo Almeida</t>
  </si>
  <si>
    <t>Priscila O.</t>
  </si>
  <si>
    <t>Anya</t>
  </si>
  <si>
    <t>Edward Saperia</t>
  </si>
  <si>
    <t>Newspeak House</t>
  </si>
  <si>
    <t>alessandro</t>
  </si>
  <si>
    <t>Chris Thorpe</t>
  </si>
  <si>
    <t>janna _xD83D__xDC80_</t>
  </si>
  <si>
    <t>Emma Markiewicz</t>
  </si>
  <si>
    <t>Paul Magrath</t>
  </si>
  <si>
    <t>Dr Alice Lilly</t>
  </si>
  <si>
    <t>Ryan Sagare, M.Ed</t>
  </si>
  <si>
    <t>UT Knight Center</t>
  </si>
  <si>
    <t>Alan G Pike</t>
  </si>
  <si>
    <t>Mr. Vis _xD83C__xDDE7__xD83C__xDDEA__xD83C__xDF0B__xD83C__xDDE8__xD83C__xDDF5__xD83E__xDDED__xD83C__xDDEC__xD83C__xDDE7_</t>
  </si>
  <si>
    <t>David Redfern</t>
  </si>
  <si>
    <t>Eoin McFadden FRSA</t>
  </si>
  <si>
    <t>Jase Bell</t>
  </si>
  <si>
    <t>Mortlin</t>
  </si>
  <si>
    <t>Carianne Whitworth</t>
  </si>
  <si>
    <t>Mevan Babakar | میڤان</t>
  </si>
  <si>
    <t>Tim Brooks</t>
  </si>
  <si>
    <t>Mr Hannigan</t>
  </si>
  <si>
    <t>Ian Watt</t>
  </si>
  <si>
    <t>Lytchett Geography</t>
  </si>
  <si>
    <t>CHS ICELAND</t>
  </si>
  <si>
    <t>Fernando A Barbalho</t>
  </si>
  <si>
    <t>Marília Gehrke</t>
  </si>
  <si>
    <t>Holger</t>
  </si>
  <si>
    <t>Gary Short #SocialDistancing</t>
  </si>
  <si>
    <t>khalid ait nasser</t>
  </si>
  <si>
    <t>Alan Webster</t>
  </si>
  <si>
    <t>Geography</t>
  </si>
  <si>
    <t>Edafe Onerhime (FRSA)</t>
  </si>
  <si>
    <t>DJ school Houten</t>
  </si>
  <si>
    <t>DJ Mentors</t>
  </si>
  <si>
    <t>Jyldyz Djumalieva</t>
  </si>
  <si>
    <t>Laura Navarro</t>
  </si>
  <si>
    <t>Cristian Cardona</t>
  </si>
  <si>
    <t>April Miller</t>
  </si>
  <si>
    <t>Tim Gollins</t>
  </si>
  <si>
    <t>Daawii Tiiqii</t>
  </si>
  <si>
    <t>Ashique  Bin Iqbal</t>
  </si>
  <si>
    <t>Ellen Chang</t>
  </si>
  <si>
    <t>Muhammad Daud Khan</t>
  </si>
  <si>
    <t>JuanaInes Jimenez</t>
  </si>
  <si>
    <t>Nelly Kalu</t>
  </si>
  <si>
    <t>Periodismo de Datos - UNDAV</t>
  </si>
  <si>
    <t>La Caja Datera</t>
  </si>
  <si>
    <t>Huacles U. J. Luis</t>
  </si>
  <si>
    <t>Rocío Romero Benites</t>
  </si>
  <si>
    <t>jayashree</t>
  </si>
  <si>
    <t>Grasiel Grasel</t>
  </si>
  <si>
    <t>jornalismo de dados</t>
  </si>
  <si>
    <t>Folha de S.Paulo</t>
  </si>
  <si>
    <t>Pilo _xD83C__xDFF4_</t>
  </si>
  <si>
    <t>Chow Sincero</t>
  </si>
  <si>
    <t>Nuno Nunes</t>
  </si>
  <si>
    <t>Ruben Martins</t>
  </si>
  <si>
    <t>Francisco Pires</t>
  </si>
  <si>
    <t>Diogo Constantino</t>
  </si>
  <si>
    <t>TCUoficial</t>
  </si>
  <si>
    <t>Vera Magalhães</t>
  </si>
  <si>
    <t>BRRight</t>
  </si>
  <si>
    <t>Tasso Jereissati</t>
  </si>
  <si>
    <t>Guilherme Kudo</t>
  </si>
  <si>
    <t>Rodrigo Menegat</t>
  </si>
  <si>
    <t>Camilla</t>
  </si>
  <si>
    <t>Lucas Reino</t>
  </si>
  <si>
    <t>AnieleAM</t>
  </si>
  <si>
    <t>bia</t>
  </si>
  <si>
    <t>esse perfil é contra 2020</t>
  </si>
  <si>
    <t>sofia</t>
  </si>
  <si>
    <t>Daniel Venturim</t>
  </si>
  <si>
    <t>Yves Vieira</t>
  </si>
  <si>
    <t>pedro marinho</t>
  </si>
  <si>
    <t>fã de bolo</t>
  </si>
  <si>
    <t>Dara Zimermann</t>
  </si>
  <si>
    <t>Antena 1 Rio</t>
  </si>
  <si>
    <t>Leonardo F. Nascimento</t>
  </si>
  <si>
    <t>Ronny Maciel</t>
  </si>
  <si>
    <t>rabeloli</t>
  </si>
  <si>
    <t>isabella _xD83E__xDE90_</t>
  </si>
  <si>
    <t>arco íro ❀</t>
  </si>
  <si>
    <t>Camille Moura</t>
  </si>
  <si>
    <t>cris moreno</t>
  </si>
  <si>
    <t>Open Knowledge Brasil</t>
  </si>
  <si>
    <t>Escola de Dados</t>
  </si>
  <si>
    <t>Fiquem Sabendo</t>
  </si>
  <si>
    <t>Rodrigo Chia</t>
  </si>
  <si>
    <t>Vinicius Miguel</t>
  </si>
  <si>
    <t>O Pato em QUARENTENA _xD83C__xDDE8__xD83C__xDDFA_</t>
  </si>
  <si>
    <t>RdaCruz</t>
  </si>
  <si>
    <t>Spotniks</t>
  </si>
  <si>
    <t>Gold</t>
  </si>
  <si>
    <t>Rodolfo Silva</t>
  </si>
  <si>
    <t>sterica</t>
  </si>
  <si>
    <t>Flávio Rocha Ficando em Casa</t>
  </si>
  <si>
    <t>Paul Mena Mena</t>
  </si>
  <si>
    <t>Jishnu EN</t>
  </si>
  <si>
    <t>LillieFears</t>
  </si>
  <si>
    <t>fabrice SIEWE tresor</t>
  </si>
  <si>
    <t>Downlands Geography</t>
  </si>
  <si>
    <t>Colin N. Walker</t>
  </si>
  <si>
    <t>Investintech.com</t>
  </si>
  <si>
    <t>Easelly</t>
  </si>
  <si>
    <t>Mailbrew</t>
  </si>
  <si>
    <t>1Password</t>
  </si>
  <si>
    <t>laurence</t>
  </si>
  <si>
    <t>margy maclibrary</t>
  </si>
  <si>
    <t>Ilse Boeren</t>
  </si>
  <si>
    <t>elchinsoul@hotmail.com</t>
  </si>
  <si>
    <t>Aline Leo</t>
  </si>
  <si>
    <t>Vasilis</t>
  </si>
  <si>
    <t>Elena</t>
  </si>
  <si>
    <t>Kenneth Dimalibot _xD83C__xDFDD_</t>
  </si>
  <si>
    <t>Mohammed Haddad</t>
  </si>
  <si>
    <t>د. عصام حجي</t>
  </si>
  <si>
    <t>Democracy Watch News</t>
  </si>
  <si>
    <t>Oma Akatugba</t>
  </si>
  <si>
    <t>Theda María Briceño</t>
  </si>
  <si>
    <t>Ignasi Alcalde</t>
  </si>
  <si>
    <t>BartonGeography</t>
  </si>
  <si>
    <t>Asasha</t>
  </si>
  <si>
    <t>Faye Wilson-Cressey</t>
  </si>
  <si>
    <t>Carmen Aguilar García</t>
  </si>
  <si>
    <t>Marguerite Salloum</t>
  </si>
  <si>
    <t>GIJN en français</t>
  </si>
  <si>
    <t>Yann Guegan</t>
  </si>
  <si>
    <t>Michée DARE</t>
  </si>
  <si>
    <t>BSP Geography</t>
  </si>
  <si>
    <t>Umar Hassan</t>
  </si>
  <si>
    <t>BJTC - Journalism courses</t>
  </si>
  <si>
    <t>#ICantBreathe...Marverine Cole #BlackLivesMatter</t>
  </si>
  <si>
    <t>Rob Jones</t>
  </si>
  <si>
    <t>sheena sachdeva</t>
  </si>
  <si>
    <t>Natalie Sablowski _xD83E__xDDDD_‍♀️</t>
  </si>
  <si>
    <t>Digital Present</t>
  </si>
  <si>
    <t>DataVis Lisboa</t>
  </si>
  <si>
    <t>34255829</t>
  </si>
  <si>
    <t>4495716078</t>
  </si>
  <si>
    <t>3163856761</t>
  </si>
  <si>
    <t>1266133633389060097</t>
  </si>
  <si>
    <t>1196874000837816320</t>
  </si>
  <si>
    <t>1182866592138350592</t>
  </si>
  <si>
    <t>1039965688000126977</t>
  </si>
  <si>
    <t>900671288687177728</t>
  </si>
  <si>
    <t>885513434569355265</t>
  </si>
  <si>
    <t>22753886</t>
  </si>
  <si>
    <t>785804236655251457</t>
  </si>
  <si>
    <t>1440391434</t>
  </si>
  <si>
    <t>959840646151491584</t>
  </si>
  <si>
    <t>2574699918</t>
  </si>
  <si>
    <t>2884771</t>
  </si>
  <si>
    <t>1171170280217239552</t>
  </si>
  <si>
    <t>1222841256</t>
  </si>
  <si>
    <t>1205148348090638336</t>
  </si>
  <si>
    <t>765562856867819520</t>
  </si>
  <si>
    <t>303687748</t>
  </si>
  <si>
    <t>1190911008082145280</t>
  </si>
  <si>
    <t>15873993</t>
  </si>
  <si>
    <t>12177772</t>
  </si>
  <si>
    <t>14095937</t>
  </si>
  <si>
    <t>16949087</t>
  </si>
  <si>
    <t>20155231</t>
  </si>
  <si>
    <t>582543</t>
  </si>
  <si>
    <t>370389714</t>
  </si>
  <si>
    <t>716371218</t>
  </si>
  <si>
    <t>128515402</t>
  </si>
  <si>
    <t>11414482</t>
  </si>
  <si>
    <t>875291797936885761</t>
  </si>
  <si>
    <t>713028058207358976</t>
  </si>
  <si>
    <t>301127457</t>
  </si>
  <si>
    <t>19234681</t>
  </si>
  <si>
    <t>33454508</t>
  </si>
  <si>
    <t>28072697</t>
  </si>
  <si>
    <t>55316186</t>
  </si>
  <si>
    <t>242974118</t>
  </si>
  <si>
    <t>502668994</t>
  </si>
  <si>
    <t>183010626</t>
  </si>
  <si>
    <t>144335090</t>
  </si>
  <si>
    <t>107374564</t>
  </si>
  <si>
    <t>17369505</t>
  </si>
  <si>
    <t>14727078</t>
  </si>
  <si>
    <t>134740685</t>
  </si>
  <si>
    <t>347790846</t>
  </si>
  <si>
    <t>4970411</t>
  </si>
  <si>
    <t>280386209</t>
  </si>
  <si>
    <t>166866466</t>
  </si>
  <si>
    <t>929229968</t>
  </si>
  <si>
    <t>1389780283</t>
  </si>
  <si>
    <t>3985953844</t>
  </si>
  <si>
    <t>22926365</t>
  </si>
  <si>
    <t>21305448</t>
  </si>
  <si>
    <t>1002148916199116800</t>
  </si>
  <si>
    <t>635425048</t>
  </si>
  <si>
    <t>3147651</t>
  </si>
  <si>
    <t>23196884</t>
  </si>
  <si>
    <t>1606947560</t>
  </si>
  <si>
    <t>1123510389415845888</t>
  </si>
  <si>
    <t>10876052</t>
  </si>
  <si>
    <t>455670009</t>
  </si>
  <si>
    <t>54896883</t>
  </si>
  <si>
    <t>214179513</t>
  </si>
  <si>
    <t>11064162</t>
  </si>
  <si>
    <t>16343974</t>
  </si>
  <si>
    <t>19906615</t>
  </si>
  <si>
    <t>425153998</t>
  </si>
  <si>
    <t>1082672017</t>
  </si>
  <si>
    <t>218144880</t>
  </si>
  <si>
    <t>2301271489</t>
  </si>
  <si>
    <t>237787220</t>
  </si>
  <si>
    <t>18220900</t>
  </si>
  <si>
    <t>1171320549982838785</t>
  </si>
  <si>
    <t>20305611</t>
  </si>
  <si>
    <t>438060841</t>
  </si>
  <si>
    <t>263313387</t>
  </si>
  <si>
    <t>256196744</t>
  </si>
  <si>
    <t>1926121910</t>
  </si>
  <si>
    <t>21933225</t>
  </si>
  <si>
    <t>711773405708685313</t>
  </si>
  <si>
    <t>3004850417</t>
  </si>
  <si>
    <t>2278801624</t>
  </si>
  <si>
    <t>25898751</t>
  </si>
  <si>
    <t>109106637</t>
  </si>
  <si>
    <t>380863305</t>
  </si>
  <si>
    <t>96323735</t>
  </si>
  <si>
    <t>14636531</t>
  </si>
  <si>
    <t>62440943</t>
  </si>
  <si>
    <t>17850503</t>
  </si>
  <si>
    <t>1203822001</t>
  </si>
  <si>
    <t>57923094</t>
  </si>
  <si>
    <t>213667087</t>
  </si>
  <si>
    <t>24817772</t>
  </si>
  <si>
    <t>20097091</t>
  </si>
  <si>
    <t>211950987</t>
  </si>
  <si>
    <t>856442322862702593</t>
  </si>
  <si>
    <t>1718439252</t>
  </si>
  <si>
    <t>181091752</t>
  </si>
  <si>
    <t>1248497546</t>
  </si>
  <si>
    <t>111697499</t>
  </si>
  <si>
    <t>453929951</t>
  </si>
  <si>
    <t>19626301</t>
  </si>
  <si>
    <t>36914837</t>
  </si>
  <si>
    <t>1032863180748406785</t>
  </si>
  <si>
    <t>64253234</t>
  </si>
  <si>
    <t>4496758275</t>
  </si>
  <si>
    <t>949000177767108609</t>
  </si>
  <si>
    <t>1536665708</t>
  </si>
  <si>
    <t>56735097</t>
  </si>
  <si>
    <t>788595367</t>
  </si>
  <si>
    <t>1176401</t>
  </si>
  <si>
    <t>453864839</t>
  </si>
  <si>
    <t>1277892139</t>
  </si>
  <si>
    <t>4148234747</t>
  </si>
  <si>
    <t>21283221</t>
  </si>
  <si>
    <t>1093588490577760263</t>
  </si>
  <si>
    <t>126949558</t>
  </si>
  <si>
    <t>2654889931</t>
  </si>
  <si>
    <t>1244505702</t>
  </si>
  <si>
    <t>393892827</t>
  </si>
  <si>
    <t>3335264723</t>
  </si>
  <si>
    <t>14707329</t>
  </si>
  <si>
    <t>2556959030</t>
  </si>
  <si>
    <t>798686625232404481</t>
  </si>
  <si>
    <t>1433289318</t>
  </si>
  <si>
    <t>488729956</t>
  </si>
  <si>
    <t>164124266</t>
  </si>
  <si>
    <t>182488303</t>
  </si>
  <si>
    <t>3368295737</t>
  </si>
  <si>
    <t>1070508622499721216</t>
  </si>
  <si>
    <t>1371150955</t>
  </si>
  <si>
    <t>735275238</t>
  </si>
  <si>
    <t>2599663638</t>
  </si>
  <si>
    <t>534897278</t>
  </si>
  <si>
    <t>953434515732619264</t>
  </si>
  <si>
    <t>14594813</t>
  </si>
  <si>
    <t>54568326</t>
  </si>
  <si>
    <t>263825287</t>
  </si>
  <si>
    <t>498949418</t>
  </si>
  <si>
    <t>1093449728</t>
  </si>
  <si>
    <t>457057121</t>
  </si>
  <si>
    <t>2955262611</t>
  </si>
  <si>
    <t>84110051</t>
  </si>
  <si>
    <t>19667016</t>
  </si>
  <si>
    <t>1264328441610096645</t>
  </si>
  <si>
    <t>132513707</t>
  </si>
  <si>
    <t>106696661</t>
  </si>
  <si>
    <t>55767644</t>
  </si>
  <si>
    <t>49778404</t>
  </si>
  <si>
    <t>14179053</t>
  </si>
  <si>
    <t>62349407</t>
  </si>
  <si>
    <t>2507163280</t>
  </si>
  <si>
    <t>1017479765127819264</t>
  </si>
  <si>
    <t>273023844</t>
  </si>
  <si>
    <t>947956758160531457</t>
  </si>
  <si>
    <t>1017185351046172672</t>
  </si>
  <si>
    <t>2772926531</t>
  </si>
  <si>
    <t>2740914546</t>
  </si>
  <si>
    <t>195226824</t>
  </si>
  <si>
    <t>4633295777</t>
  </si>
  <si>
    <t>1217118984</t>
  </si>
  <si>
    <t>120779648</t>
  </si>
  <si>
    <t>181619548</t>
  </si>
  <si>
    <t>1067233005784174592</t>
  </si>
  <si>
    <t>3436311916</t>
  </si>
  <si>
    <t>153516403</t>
  </si>
  <si>
    <t>62938801</t>
  </si>
  <si>
    <t>421250770</t>
  </si>
  <si>
    <t>1536346855</t>
  </si>
  <si>
    <t>3298395255</t>
  </si>
  <si>
    <t>74430458</t>
  </si>
  <si>
    <t>1022319271656009728</t>
  </si>
  <si>
    <t>1660695121</t>
  </si>
  <si>
    <t>1201168196579024898</t>
  </si>
  <si>
    <t>2668542618</t>
  </si>
  <si>
    <t>1599172328</t>
  </si>
  <si>
    <t>1169649543971033094</t>
  </si>
  <si>
    <t>1081000218</t>
  </si>
  <si>
    <t>51580676</t>
  </si>
  <si>
    <t>241368794</t>
  </si>
  <si>
    <t>157425698</t>
  </si>
  <si>
    <t>1034342872131063809</t>
  </si>
  <si>
    <t>18004059</t>
  </si>
  <si>
    <t>1168357712</t>
  </si>
  <si>
    <t>2166703866</t>
  </si>
  <si>
    <t>19880209</t>
  </si>
  <si>
    <t>43219550</t>
  </si>
  <si>
    <t>472684573</t>
  </si>
  <si>
    <t>1185826789454729216</t>
  </si>
  <si>
    <t>793926</t>
  </si>
  <si>
    <t>334791797</t>
  </si>
  <si>
    <t>381743098</t>
  </si>
  <si>
    <t>1252985194438631431</t>
  </si>
  <si>
    <t>110708115</t>
  </si>
  <si>
    <t>576069127</t>
  </si>
  <si>
    <t>47585273</t>
  </si>
  <si>
    <t>1244335914891042822</t>
  </si>
  <si>
    <t>123891108</t>
  </si>
  <si>
    <t>7351092</t>
  </si>
  <si>
    <t>118221824</t>
  </si>
  <si>
    <t>449314153</t>
  </si>
  <si>
    <t>206366112</t>
  </si>
  <si>
    <t>74166567</t>
  </si>
  <si>
    <t>39518612</t>
  </si>
  <si>
    <t>934153974575443968</t>
  </si>
  <si>
    <t>1190866568</t>
  </si>
  <si>
    <t>869958533479092224</t>
  </si>
  <si>
    <t>223070772</t>
  </si>
  <si>
    <t>3061151677</t>
  </si>
  <si>
    <t>965957807232225280</t>
  </si>
  <si>
    <t>37180418</t>
  </si>
  <si>
    <t>822811812471177216</t>
  </si>
  <si>
    <t>796291300899352576</t>
  </si>
  <si>
    <t>2749557097</t>
  </si>
  <si>
    <t>281565143</t>
  </si>
  <si>
    <t>22164291</t>
  </si>
  <si>
    <t>148487024</t>
  </si>
  <si>
    <t>2445662203</t>
  </si>
  <si>
    <t>975794573581701120</t>
  </si>
  <si>
    <t>3239109777</t>
  </si>
  <si>
    <t>1100703553067368449</t>
  </si>
  <si>
    <t>Professor. NEW BOOK: ‘How Charts Lie’ (W.W. Norton). Previous: The Truthful Art (2016). https://t.co/u9emhWWqDd and https://t.co/Gzp2876Cz5</t>
  </si>
  <si>
    <t>_xD83E__xDD17__xD83C__xDDFA__xD83C__xDDF8_2020</t>
  </si>
  <si>
    <t>Open Source Data Visualization Platform E2D3! Demo https://t.co/VS0UXxp0sw Web https://t.co/fUF0QSqjfj Github https://t.co/fRHE7rcxVP FB https://t.co/GCdHHPiHRf</t>
  </si>
  <si>
    <t>Just a bot helping coders show their progress. Automation built in #NodeJs by @AdamSpiceOnline. #100DaysOfCode</t>
  </si>
  <si>
    <t>I am a bot made by @_addempsea  with #nodejs. I post quotes every hour and I retweet #js #javascript and #rustlang post. Kindly follow me</t>
  </si>
  <si>
    <t>Hi! I am a bot made by @erRaghavkhanna I'm programmed to retweet, like &amp; reply #30daysofkotlin #100daysofcode #JavaScript. Please support me by following me_xD83D__xDE0D_</t>
  </si>
  <si>
    <t>Assistant Manager. K-12 educational #sales and #marketing. Connect with educators. Business opportunities.
#edtech #education #data</t>
  </si>
  <si>
    <t>I retweet all about #100DaysOfCode #Javascript and my mother country #Tunisia created by @Filsdelarabe</t>
  </si>
  <si>
    <t>Power BI Unicorn, #powerplatform user group leader in Melbourne</t>
  </si>
  <si>
    <t>Глобальная сеть журналистов-расследователей: 
Twitter @gijn @gijnEs @gijnAfrica @gijnCh @gijnArabic @gijnFr https://t.co/pEZMaJvRzZ https://t.co/fEWNhYbUnc</t>
  </si>
  <si>
    <t>Oxpeckers Investigative Environmental Journalism. NPO using investigative, data and geo-mapping tools to advance environmental journalism</t>
  </si>
  <si>
    <t>Jurnalist</t>
  </si>
  <si>
    <t>Environment journalist. Bylines @Forbes @Wired @TheBeamMagazine @valigiablu @VoxEurop @open_migration Edit @HQGlobalMag Ex data for @PropertyWeek</t>
  </si>
  <si>
    <t>The freedom to disagree. Our staff likes to tweet: https://t.co/9nAK2YjGoz</t>
  </si>
  <si>
    <t>Máster en Periodismo y Visualización de Datos de la Universidad de Alcalá 2020-21. 100% Online</t>
  </si>
  <si>
    <t>Foundation SIN-NL:Honest treatment of victims of medical errors.Prevention of medical errors. Chair LL.M. medical law, ethics &amp; human rights. Openmind=essential</t>
  </si>
  <si>
    <t>Data journalism competition created by @pilhofer @reginaldchua w/ help from @smfrogers @Maid_Marianne. Hosted by @datajournalism. Sponsored by @GoogleNewsInit</t>
  </si>
  <si>
    <t>Het platform voor datajournalistiek van @KRONCRV.
Brengt op basis van data oneerlijke zaken aan het licht met artikelen, video's en interactives  _xD83D__xDC49_ https://t.co/EDDqaKe2hk</t>
  </si>
  <si>
    <t>Where journalism meets data: https://t.co/Dq6e7ta5ub is a space to read, watch, and discuss everything data. Brought to you by @ejcnet.</t>
  </si>
  <si>
    <t>Christian|☘️Irish-Hispanic_xD83E__xDD99_|British-born| Educator| Musician| Aspiring data journalist| Own views| Retweets≠endorsements|♥=bookmark/reciprocal dopamine hits|_xD83E__xDDD0_</t>
  </si>
  <si>
    <t>Digital, Delivery, Transformation. Feminist. I like cheese and travel. Side project: @300_seconds. She/her</t>
  </si>
  <si>
    <t>Civil Servant (digital bod @uknatarchives). I love Bach's music. I talk about work related topics, mostly data. Views here are my own, not those of my employer.</t>
  </si>
  <si>
    <t>Head of Data @transportgovuk · Advisor @RCOphth · Chair of Resources @devonshirehill · Tech, Digital, #OpenData, #ddj · Cheesemaking, choir, allotment, rugby</t>
  </si>
  <si>
    <t>Writer: FT, EIU, Diginomica &amp; others. Surprisingly chipper 40-something. Professional nosy parker. Committed European. Dog person. Feminist. _xD83C__xDDEA__xD83C__xDDFA_</t>
  </si>
  <si>
    <t>@GOVUK @GDSTeam senior dev, runner(ish), compulsive dad joke teller. Occasionally performs at the O2</t>
  </si>
  <si>
    <t>Musik • Rundfunk • Technik i do stuff for @BBCDatalab, based at @BBCScotland. verschieden auf Englisch, SEHR entsetzlich Deutsch, und Nerd. he/him</t>
  </si>
  <si>
    <t>Senior Fellow, @3AInstitute at @ourANU. Ex: @data61news, @ODIHQ. Board game whisperer @datopolis. Author ‘Made by Humans’ @MUPublishing, she/her</t>
  </si>
  <si>
    <t>A balancing act on the geek/wonk interface.</t>
  </si>
  <si>
    <t>Head of Social Science @foodgov #risk #comms #media #behaviourscience #trust #food #citizenparticipation #phd #travelselfies #brighton #dogs and #pottery</t>
  </si>
  <si>
    <t>Research Software Engineer in Research IT, University of Bristol. Worked on Manuscript Pamphleteering in Early Stuart England (https://t.co/M8tTlEDJca)</t>
  </si>
  <si>
    <t>#AI &amp; #Data | #Health &amp; #Care | #Built environment | Founder - Keyah Consulting | Co-Director-This Equals | Health Sector @TheIET | Trustee @GroundworkLON | PhD</t>
  </si>
  <si>
    <t>Militante política y sindical. Ex Sec. Gral. Aeronavegantes. Diputada Nacional (1997-2005). Embajadora en Rep. Bolivariana de Venezuela y ante el Reino Unido</t>
  </si>
  <si>
    <t>Data journalist @GuardianData &amp; data trainer. You can take the girl out of Donegal but you can't take the Donegal out of the girl.</t>
  </si>
  <si>
    <t>The Centre for Investigative Journalism. Providing world class investigative training. Promoting investigative journalism. A registered charity.</t>
  </si>
  <si>
    <t>Editor de Internacionales La República – Lima. Profesor de periodismo digital. Maestría en Gestión de la Información y del Conocimiento UNMSM y Montpellier.</t>
  </si>
  <si>
    <t>Husband, Dad, tech lead at Convivio @weareconvivio and PhD in religion and narrative from Bristol University. Enjoying some post-PhD fiction writing.</t>
  </si>
  <si>
    <t>Data Journalist and Political Scientist (Brazil)</t>
  </si>
  <si>
    <t>@irworkshop Proud @reveal &amp; @propublica alum; _xD83D__xDCBB_, _xD83D__xDDD2_; FOI, _xD83D__xDC31_,_xD83D__xDE44_; jlafleur at https://t.co/V6ssJ3dqit, pub key: https://t.co/HBaKkpylyw</t>
  </si>
  <si>
    <t>Executive editor Howard Center for Investigative Journalism @Cronkite_ASU. Former investigations editor @AP. Founding director @ICIJ.</t>
  </si>
  <si>
    <t>Head of Data Science at @CitizensAdvice _xD83D__xDCCA_⚗️ #weeknotes ✏️ Teapot quest _xD83C__xDF75_ _xD83D__xDEB6_‍♂️ Theme tunes for work _xD83C__xDFB6_ Everyday magic ✨ Baking _xD83C__xDF70_ _xD83C__xDF5E_ Serious professional IRL</t>
  </si>
  <si>
    <t>Art-Communication-Science AssoProf @FcomUCLM PostDoc @UvA_Humanities @OsloMet @LabComIFP @UPFBarcelona @uc3m @MesoArgentina ArtistJournalistConsultant PhDAward</t>
  </si>
  <si>
    <t>Chief Geospatial Scientist at Ordnance Survey. Hon Assoc Prof at Uni Nottingham, Hon Senior Lecturer at UCL. My views only! #HTJI #COYLP</t>
  </si>
  <si>
    <t>VP ODI, OCP, Ada, ODBG, CSVW, exW3C TAG, exODUG, OSB, LOD, PSI, XML, XSLT, XProc, EXSLT, LMNL, DTLL, OBE, mum, geek, she/her</t>
  </si>
  <si>
    <t>Journalist. European Projects Communication Manager at @zabala_eu _xD83C__xDDEA__xD83C__xDDFA_ Sometimes teaching at @fcomunav #InnovationWorks #climatechange #SDGs #startups</t>
  </si>
  <si>
    <t>_xD835__xDC9F__xD835__xDCB6__xD835__xDCB9_ | _xD835__xDC3B__xD835__xDCCA__xD835__xDCC8__xD835__xDCB7__xD835__xDCB6__xD835__xDCC3__xD835__xDCB9_ | _xD835__xDC35__xD835__xDCBE__xD835__xDCB7__xD835__xDCC1__xD835__xDC52_ _xD835__xDCAE__xD835__xDCC9__xD835__xDCCA__xD835__xDCB9__xD835__xDC52__xD835__xDCC3__xD835__xDCC9_ | _xD835__xDC3F__xD835__xDC52__xD835__xDCB6__xD835__xDCB9__xD835__xDC52__xD835__xDCC7__xD835__xDCC8__xD835__xDCBD__xD835__xDCBE__xD835__xDCC5_ _xD835__xDCAE__xD835__xDCC9__xD835__xDCCA__xD835__xDCB9__xD835__xDC52__xD835__xDCC3__xD835__xDCC9_ | _xD835__xDCAE__xD835__xDCC9__xD835__xDCC7__xD835__xDCB6__xD835__xDCC9__xD835__xDC52__xD835__xDC54__xD835__xDCBE__xD835__xDCC8__xD835__xDCC9_ &amp; _xD835__xDC38__xD835__xDCC1__xD835__xDC52__xD835__xDCB8__xD835__xDCC9__xD835__xDCC7__xD835__xDCBE__xD835__xDCB8__xD835__xDCB6__xD835__xDCC1_ _xD835__xDC38__xD835__xDCC3__xD835__xDC54__xD835__xDCBE__xD835__xDCC3__xD835__xDC52__xD835__xDC52__xD835__xDCC7_</t>
  </si>
  <si>
    <t>Hear the human story and join the discussion. For more news follow @AJENews.</t>
  </si>
  <si>
    <t>Data, visual storytelling and experiments team https://t.co/5TumpBbBqW</t>
  </si>
  <si>
    <t>HR Nerd. Creador de Data 4HR. Evangelizador de People Analytics. Fana de mi hija, de la buena música y de las buenas compañías. Lo que se dice un loco lindo...</t>
  </si>
  <si>
    <t>Journalist covering humanitarian crises, international justice, social issues, politics and human rights in Europe &amp; East Africa.
natalia.ojewska@gmail/./com</t>
  </si>
  <si>
    <t>Works @Tagesspiegel Innovation Lab. journalism / physics / software / dataviz / machine learning</t>
  </si>
  <si>
    <t>Das Leitmedium der Hauptstadt. _xD83D__xDCF0_</t>
  </si>
  <si>
    <t>Redakteurin @tagesspiegel Innovation Lab || #ddj #dataviz #berlin</t>
  </si>
  <si>
    <t>Redakteur @tagesspiegel Innovation Lab. Trained physicist. Nerd at #radmesser Team. #ddj #dataviz</t>
  </si>
  <si>
    <t>| 22 | Student politieke wetenschappen @KU_Leuven | Erasmus 2019 _xD83C__xDDE8__xD83C__xDDF5_ | Stage De Tijd 2020 | UHO Leuven | politiek, samenleving, sport &amp; cultuur |</t>
  </si>
  <si>
    <t>Nieuws en inzicht in economie, politiek, tech en media en financiën. Hulp nodig? Contacteer @tijdhelp</t>
  </si>
  <si>
    <t>Chef Multimedia @tijd, andries.fluit@tijd.be</t>
  </si>
  <si>
    <t>_xD83C__xDFA7_ Dj mixes https://t.co/GiRp4XQd3f
_xD83C__xDFB9_ Production  https://t.co/HXI2L2C0ar</t>
  </si>
  <si>
    <t>1999 - 3BA Geschiedenis, KU Leuven - geschiedenis en politiek - _xD83C__xDFB7_ _xD83D__xDCF7_ _xD83D__xDCD6_</t>
  </si>
  <si>
    <t>Visual journalist. Formerly with @AJEnglish, proud @ajlabs alum. Usual disclaimers.</t>
  </si>
  <si>
    <t>Aiap - Italian Council of Visual Design Communication - Associazione Italiana Design della Comunicazione Visiva</t>
  </si>
  <si>
    <t>#Dataviz designer • Collaborations with @Google, @La_Lettura, @sciam, @UN, @BBC – @sciencefocus, @penguinrandom • @TEDx Speaker • federica.fragapane@gmail.com</t>
  </si>
  <si>
    <t>Intrested in Data and Journalism; Master Hacker Wannabe; Graduate MA Politics, Big Data and Quantitative Methods @Warwickuni; Rstats and Animal Lover ❤️</t>
  </si>
  <si>
    <t>Snr lecturer @cityjournalism. Ex @compjcdf. Data. 21st Century Journalism Handbook. co founder @datajconf. Likes #Rstats and text mining. Trainer, consultant.</t>
  </si>
  <si>
    <t>Think ahead with the latest news, comment, analysis and video</t>
  </si>
  <si>
    <t>Politics, geopolitics, books, culture, ideas, technology and more. https://t.co/XGvbSj3FFq</t>
  </si>
  <si>
    <t>Senior "data journalist" @Telegraph_Data. Formerly Trinity Mirror (Reach) Data Unit.</t>
  </si>
  <si>
    <t>Humanitarian | Information Management | Analyst | DataViz | Digital Volunteer | Working for @ifrc as Info Analyst | Tweets are my personal opinion only</t>
  </si>
  <si>
    <t>Data and digital preservation factotum #digitalpreservation #avarchiving #digipres</t>
  </si>
  <si>
    <t>Data person; Civil servant. Looking to play long term games with long term people.</t>
  </si>
  <si>
    <t>Man of honour</t>
  </si>
  <si>
    <t>Writer. Psych researcher. Journalist. Visiting Fellow @PPS_Essex authoring two books @Routledgepsych. Freelancer @TheSun. Sarf Londoner in Suffolk #LoveLavenham</t>
  </si>
  <si>
    <t>Geography teacher and geography enthusiast !!       UN accredited climate change teacher.</t>
  </si>
  <si>
    <t>Editor @Technology_NS - send tips to oscar.williams@newstatesman.co.uk</t>
  </si>
  <si>
    <t>I’m afraid so. US editor for the @newstatesman. Writer of THE INFLUENCE OF SOROS out 7/7/20 from @harperbooks. Emily.Tamkin@newstatesman.co.uk.</t>
  </si>
  <si>
    <t>Director, Roxhill Media</t>
  </si>
  <si>
    <t>The cycle of learning is infinite.</t>
  </si>
  <si>
    <t>Diretora da Gênero e Número (@generonumero)
Colunista de gênero em @revistaepoca 
- datajournalism, latin america, politics -</t>
  </si>
  <si>
    <t>Data-driven journalism about urgent gender and race issues  Acesse: https://t.co/ee5mvsl1zS e https://t.co/xgqxrMJlsr</t>
  </si>
  <si>
    <t>Jornalista (@nucleojor) e designer (@kunumilab). Dataviz, #rstats, cartografia e infodesign. Fazia os gráficos do @NexoJornal e vídeos no @Estadao</t>
  </si>
  <si>
    <t>Traveling soul.Solivagant&amp;pluviophile. Muffosociale.Bibliophile&amp;tea lover.</t>
  </si>
  <si>
    <t>Librarian. Parliament, data, parliamentary data. Nervous of the void. Caveat emptor: information is asymmetrical. Engagement != endorsement.</t>
  </si>
  <si>
    <t>Dean of The London College of Political Technologists at Newspeak House @nwspk. Community strategist, game designer. Newsletter: https://t.co/DA2IiMs51E</t>
  </si>
  <si>
    <t>The London College of Political Technologists. Join https://t.co/flWwboflX0, tweets by @edsaperia</t>
  </si>
  <si>
    <t>Apparently a computer scientist. Currently working as a data scientist at @bbc</t>
  </si>
  <si>
    <t>Head of Tech R&amp;D @techforgoodCAST/@WeTheCatalysts. Helping to bring about better charity digital services. Former-scientist. A dad, husband and tea drinker.</t>
  </si>
  <si>
    <t>dark scribbles to symbolize despair. fashion and sports journalist. absolutely not a professional in any capacity. https://t.co/PEBzOw2qlu</t>
  </si>
  <si>
    <t>Archives. The perfect work for the nosey parker. 
Interested in the social and cultural significance of #hair.</t>
  </si>
  <si>
    <t>I'm Head of Product Development and Online Content at ICLR - the leading supplier of law reports for England and Wales. Also member of @seethrujustice</t>
  </si>
  <si>
    <t>Senior Researcher @instituteforgov: Parliament, Whitehall, data. PhD in modern UK/US history. Views are my own.</t>
  </si>
  <si>
    <t>Coordinator of Distance Learning @UTKnightCenter @UTAustin _xD83E__xDD18__xD83C__xDFFB_IG: https://t.co/GbnGLG6HZo _xD83D__xDCF8_ YouTube: https://t.co/ZaFNpDbqQg _xD83D__xDCF9_ https://t.co/bokwV4y4w4 _xD83D__xDD17_</t>
  </si>
  <si>
    <t>Equity in Data. How Not to Data Like a Racist. Social Sector/Journalism. Using data to tell stories that move people. (She/her).</t>
  </si>
  <si>
    <t>Professional training and outreach program for journalists in Latin America and the Caribbean. Tweeting a/b journalism trends and freedom of expression issues.</t>
  </si>
  <si>
    <t>PhD. Digital Expert @DigitalMcKinsey Views my own. Esse Quam Videri. Tar Heel 4 life.</t>
  </si>
  <si>
    <t>Geography Teacher - @UniofOxford - @KingsCollegeLon - @sheffielduni - @UN climate change accredited - Peer reviewer @routesjournal - Ambassador @ECGeogNetwork</t>
  </si>
  <si>
    <t>Geographer, author, speaker; retired teacher/Dep. Head/Chief Examiner; from Huddersfield, now in Doncaster. Two wonderful sons: a civil engineer and a doctor.</t>
  </si>
  <si>
    <t>Innovation Strategy Lead (&amp; Learner) @Economy_NI  #OpenInnovation #SBRI #Opendata @NI_Innovate Trustee @HansSloaneTrust #FRSA &amp; best bud of Trent the Lurcher</t>
  </si>
  <si>
    <t>Biker jacketed, cowboy booted Kafka Ops @digitalis_io, author of Machine Learning:Hands on for Devs/TechProfs for Wiley. Making connections with @travelgraphapi</t>
  </si>
  <si>
    <t>Good gov, Smart citizens</t>
  </si>
  <si>
    <t>Product Manager @FullFact, previously at @UkNatArchives. Tech, ethics, plain language, people.</t>
  </si>
  <si>
    <t>COO @FullFact. Cares about democracy and weaving carpets. Runs @CitizenBeta @DemoClub board.</t>
  </si>
  <si>
    <t>Doubt is not a pleasant state; but certainty is a ridiculous one' (Voltaire)</t>
  </si>
  <si>
    <t>#StrathPGDE #StrathFamily #RMPS #Humanities Show up. Breathe. Do your best. Be kind. Learn ... Repeat</t>
  </si>
  <si>
    <t>CEO: @codethecity NXD: @democlub,  Director:@OdiAberdeen &amp; @dataenabled #DataScience #Python #OpenData. Making good stuff happen with data and tech.</t>
  </si>
  <si>
    <t>Live Geography Love Geography                Department with TWO UN-accredited Climate Change Teachers</t>
  </si>
  <si>
    <t>_xD83C__xDF0E_❄️_xD83D__xDCAB_</t>
  </si>
  <si>
    <t>#rsrats #HumanRights #OpenData #music #books #ChicoBuarque #ddj
Ênfase em #HumanRights. Para bom entendedor...</t>
  </si>
  <si>
    <t>Journalist, researcher, PhD candidate at UFRGS. Interested in journalism studies, news sources, transparency and data-driven journalism. #ddj #opendata</t>
  </si>
  <si>
    <t>Helping to create a virtual representation of our planet in order to make better decisions about how to manage and sustain it. Views are my own.</t>
  </si>
  <si>
    <t>I predict the future. Founder Duncodin Limited. A company specialising in leading digital transformations of data analytics using #AI #ML and #Cloud</t>
  </si>
  <si>
    <t>باحث في الصحافة الإعلام || مهتم بالفيلم الوثائقي- مصور صحفي - مراسل شبكة الجزيرة  توك سابقا، مراسل مؤسسة الفنار للإعلام سابقا- حاليا مراسل الجزيرة.نت .</t>
  </si>
  <si>
    <t>Educator, previously  Researcher: Shale gas, democracy and the environment. Born at 324 ppm CO2</t>
  </si>
  <si>
    <t>A place to share interesting articles and revision material for those studying GCSE and A Level AQA.</t>
  </si>
  <si>
    <t>Head of Data for Effective Development @dfid_uk | Data, Design &amp; Culture | She/Her | Black_xD83D__xDC69__xD83C__xDFFF_‍_xD83E__xDDB1_ | LGBT+_xD83C__xDF08_ | ☕️ &amp; _xD83D__xDCDA_ &amp; _xD83D__xDC9B_ | Views my own - RT ≠ endorsement</t>
  </si>
  <si>
    <t>Lesmodules in DJ, Producer &amp; Sound Design voor alle leeftijden</t>
  </si>
  <si>
    <t>DJ-Lessons - DJ Mentors
https://t.co/p0pjoJRk2V
https://t.co/xhMTL8iBu0
https://t.co/Ev8LzuLTHz</t>
  </si>
  <si>
    <t>Head of Open Jobs Data at Nesta, Kyrgyz living in the UK. Views are my own.</t>
  </si>
  <si>
    <t>Freelance.</t>
  </si>
  <si>
    <t>De-formación Economista @UNALOficial,postgrados en @ESAPOficial y @uniandes. Magíster en Políticas Públicas @UNALOficial. Sólo opinión. Tweets en español/inglés</t>
  </si>
  <si>
    <t>A Canadian archivist living &amp; working in Wash., DC. Loves her job &amp; the community she works in. Both have the power to change the lives of many for the better.</t>
  </si>
  <si>
    <t>Head of Preservation &amp;
Info. Management @NatRecordsScot - Honorary Research Associate @GlasgowUni - Tweets my own, not my employers. Like Kites, play Melodeon</t>
  </si>
  <si>
    <t>Human rights activist   | Editor | Lawyer |  Research &amp; Development Specialist | AI enthusiast | Traveler | Environmentalist</t>
  </si>
  <si>
    <t>Journalist writing about finance, investments and energy for @USNews and @TheStreet. Proud Purdue grad &amp; lover of random acts of kindness &amp; dogs &amp; cats.</t>
  </si>
  <si>
    <t>Multimedia Journalist @Storyhunter Fellow @UofOklahoma Previous @ajplus @24NewsHD @Radiopakistan</t>
  </si>
  <si>
    <t>Consejo Consultivo Nacional del Parlamento Ciudadano, OICDH Mexico, Asociación Mexicana Agropecuaria,Orgullosa de tener a mis dos grandes tesoros, Fer y Jimena.</t>
  </si>
  <si>
    <t>Broadcast Journalist known for my wit and straight talk...Passionate about my work, absolutely in love with my family and my dog</t>
  </si>
  <si>
    <t>Materia Periodismo de Datos de la Lic. en Periodismo de la Universidad Nacional de Avellaneda (UNDAV) -Argentina. Docente: Damián Profeta (@damianprofeta).</t>
  </si>
  <si>
    <t>Tuiteamos datos públicos para el debate social. Periodismo, transparencia y acceso a la información.
_xD83D__xDCEC_ lacajadatera@gmail.com
@joseluishuacles @rocioromerox</t>
  </si>
  <si>
    <t>Periodista de datos. Ahora hago código a tiempo completo. Opiniones personales. Lima, Perú. Cofundador de @lacajadatera</t>
  </si>
  <si>
    <t>Analista de información @pnudperu-@pcmperu. Cofundadora de @lacajadatera. Ex: @saludconlupa, @ojo_publico, @rppnoticias y @icfj-@propublica.</t>
  </si>
  <si>
    <t>journalist/author  #StylingattheTop</t>
  </si>
  <si>
    <t>Jornalista e entusiasta das áreas de política, economia e entretenimento | Me especializando em #DDJ | Já fiz reviews sobre tecnologia no @oficinadanet</t>
  </si>
  <si>
    <t>Eu sou um robô que dá RT em tweets sobre jornalismo de dados</t>
  </si>
  <si>
    <t>Perfil oficial do jornal Folha de S.Paulo.  No Instagram: https://t.co/ROC54dLDbE.  Assine a Folha: https://t.co/ncI8Zo5DTR</t>
  </si>
  <si>
    <t>Paz.</t>
  </si>
  <si>
    <t>Chow Chow sincero pacas, acaricie por sua conta e risco</t>
  </si>
  <si>
    <t>Música, jornalismo, dataviz e outras coisas absurdas | Voluntário na coleta de dados de #covid19 no https://t.co/FsextUyMBj | Pai de bot @PoetaCharlieBot | YEAH @horneyband</t>
  </si>
  <si>
    <t>Jornalista @Publico. Doutorando em CC no @ISCTEIUL. Podcaster e Investigador sobre podcasts. Host P24. Política. Faço rádio e às vezes o jantar.</t>
  </si>
  <si>
    <t>Economics, music, sports, politics. In random order. I've been tired.</t>
  </si>
  <si>
    <t>Developer.
Member @Ubuntu_Europe @ANSOL @direitosdig @UbuntuPortugal @ubports.
❤️@ubuntu, Perl and @creativecommons _xD83C__xDF99_️@podcastubuntupt @VozDireitosDig</t>
  </si>
  <si>
    <t>Página oficial do Tribunal de Contas da União - TCU (Official page of Brazilian Court of Audit)</t>
  </si>
  <si>
    <t>Jornalista. Apresentadora do Roda Viva, da @tvcultura. Colunista do @estadao e editora do site @brpolitico.</t>
  </si>
  <si>
    <t>Mestre em Administração pela Kellogg School of Management - Liberal na economia, conservador nos costumes - Flamenguista - pai, filho e marido</t>
  </si>
  <si>
    <t>Sejam bem-vind@s ao Twitter oficial do Senador Tasso Jereissati. Junto com você, a gente muda o Ceará.</t>
  </si>
  <si>
    <t>Criado em SC, morando em PY. Maioria das bobagens aqui ditas serão políticas
born 1990 - Londrina, PR - Brazil</t>
  </si>
  <si>
    <t>Um cara de humanas que escreve códigos. Jornalista visual e de dados no @estadao, orgulhosamente @oficialuepg e @columbiajourn. Sou Inter. Falo de bobagem, sim.</t>
  </si>
  <si>
    <t>Professora da UFMA/Imperatriz. Doutora em Comunicação (UFF).</t>
  </si>
  <si>
    <t>Aqui não, xexéu!</t>
  </si>
  <si>
    <t>Eu sou uma fruta gogoia. Bêbada de samba e outros sonhos. Esquerdista de trem.
Jornalista pela UFMG e mestre pela USP.</t>
  </si>
  <si>
    <t>mãe de pet</t>
  </si>
  <si>
    <t>cadê o meteoro?</t>
  </si>
  <si>
    <t>comfortably numb</t>
  </si>
  <si>
    <t>21. Sergipano. Jornalista em formação pela UFMG. Por aqui futebol e muito mais. Escrevo na @plbrasil1 e falo no @obvioufmg e no Fergie Time, da @redarmybrasil.</t>
  </si>
  <si>
    <t>a sétima seis gatinhas</t>
  </si>
  <si>
    <t>23. Graduada em Cinema. Mestranda em Jornalismo. _xD83C__xDFA5__xD83D__xDDDE_</t>
  </si>
  <si>
    <t>Rádio Antena 1, a lite FM do Rio - 103,7.</t>
  </si>
  <si>
    <t>Professor at the Institute of Science Technology and Innovation, Federal University of Bahia
LABHD - Digital Humanities Lab
#DigitalSociology #CAQDAS #Rstats</t>
  </si>
  <si>
    <t>Cidadão Brasileiro e Curioso</t>
  </si>
  <si>
    <t>nada além do óbvio • jornalismo</t>
  </si>
  <si>
    <t>estudo jornalismo na ufmg e comento a jornada</t>
  </si>
  <si>
    <t>_xD83C__xDF08_ sagitário com asc em sagitário</t>
  </si>
  <si>
    <t>gestora pública, nerd dos dados, coordenadora de advocacy e pesquisa na @okfnbr. às vezes tento falar sério aqui, mas falho miseravelmente.</t>
  </si>
  <si>
    <t>jornalista</t>
  </si>
  <si>
    <t>Rede pelo Conhecimento Livre</t>
  </si>
  <si>
    <t>Ajudamos pessoas e organizações a transformarem dados em histórias, evidências e mudanças sociais. Junte-se a nós pela democratização dos dados no Brasil.</t>
  </si>
  <si>
    <t>Agência de dados públicos independente e especializada na Lei de Acesso à Informação. Assine a newsletter: https://t.co/DDbvvna3v5 | Apoie: https://t.co/ElSiezxOv7</t>
  </si>
  <si>
    <t>Servidor público e advogado. Colunista da CBN Brasília. Membro da RAPS. Bicicleteiro aposentado, viajante, pai dos M&amp;M. Leio coisas aleatórias.</t>
  </si>
  <si>
    <t>Professor da Universidade Federal de Rondônia. Advogado. Mestre em Política/Universidade de Glasgow. Doutor em Ciência Política/UFRGS.</t>
  </si>
  <si>
    <t>Esquerdopato, Filho da Tormenta, agora Citado, Senhor de Merden e dos Primeiros Paneleiros Otários Verde Amarelos. Primeiro de Seu Nome. Rei de House of Caraio</t>
  </si>
  <si>
    <t>honestidade/obras/construção</t>
  </si>
  <si>
    <t>Conteúdo de primeira em órbita.
https://t.co/p35eRBcDvT</t>
  </si>
  <si>
    <t>Alvirrubro _xD83C__xDDF2__xD83C__xDDE8_, Liberal e Estudante de Engenharia, exímio defensor da liberdade</t>
  </si>
  <si>
    <t>Cruzeirense, Professor de História, Estudante de Jornalismo e Fã de Fórmula 1....</t>
  </si>
  <si>
    <t>s u r t a d a</t>
  </si>
  <si>
    <t>Cientista Político. Professor da UFABC/BRIs. E cada vez acreditando mais que o Plano B sempre leva vantagem sobre o Plano Original.</t>
  </si>
  <si>
    <t>Twitter e Instagram: Informações, notícias, idéias e tudo o que de alguma forma diga respeito ao universo do jornalismo e da comunicação.</t>
  </si>
  <si>
    <t>Periodista en @eluniversocom | Académico | MLitt Digital Journalism, @UniStrathclyde | Msc Estudios de la Cultura, @uasbecuador | #journalism #ddj | Libre:.</t>
  </si>
  <si>
    <t>Wannabe digital storyteller.</t>
  </si>
  <si>
    <t>Educator and friend to many.</t>
  </si>
  <si>
    <t>Discovering more about the world around us</t>
  </si>
  <si>
    <t>Former secondary teacher of Geography and senior lecturer ITE (senior fellow HEA) now only dreaming  of those horizons having never had time to travel to before</t>
  </si>
  <si>
    <t>Powerful PDF Solutions for organizations, developers, and users of all levels.</t>
  </si>
  <si>
    <t>Makers of a simple infographic design tool + custom infographic &amp; animated infographic services _xD83C__xDF1F_
Need help? Email support@easel.ly or send us a DM. _xD83D__xDC8C_</t>
  </si>
  <si>
    <t>Create email digests on any topic — and unplug from feeds — using sources like Twitter, Reddit, RSS, YouTube and more. Made by @frankdilo and @linuz90.</t>
  </si>
  <si>
    <t>The best way to keep you, your family and business safe online. Go ahead. Forget your passwords.</t>
  </si>
  <si>
    <t>PhD #newsautomation Member @LaPIJ_ULB</t>
  </si>
  <si>
    <t>Retired MRU Librarian, interested in communications/design/Indigenous matters/library/SoTL/PSE/science/fun; on Songhees, Esquimalt &amp; WSÁNEĆ lands | she/her/hers</t>
  </si>
  <si>
    <t>Studente journalistiek VUB - geschreven en online - data, wetenschap, reportages. Biologe. Fan van de puntjes op de i. Nieuwsgierig en blij dat het mag.</t>
  </si>
  <si>
    <t>Deejay/Producer. Tech House, Techno and House Music Lover</t>
  </si>
  <si>
    <t>Consultant @infolabNL ▴ Bio-engineer turned data visualiser ▴ Tableau Alteryx ▴ Mom2boys ▴ BEL _xD83D__xDE80_ NL ▴ #DataPlusWomen #NL co-leader</t>
  </si>
  <si>
    <t>#Datascience #Algorithms #MachineLearning meeting #socialjustice #opendemocracy #modernsociety</t>
  </si>
  <si>
    <t>querétaro › lille › london
lse international relations grad</t>
  </si>
  <si>
    <t>_xD83D__xDCC7_ Strategist. Storyteller. Humanitarian. 
_xD83D__xDC68__xD83C__xDFFB_‍_xD83D__xDCBB_ Comms for hire. 
⛑ Ex @newhumanitarian @irinnews #SavetheChildren #RedCross @SmartCardReader 
_xD83D__xDCF0_ Typos mine.</t>
  </si>
  <si>
    <t>Data journalist and interactive editor @AJEnglish @AJLabs. Excited about #Dataviz, #R, #ML #React. @PalestineRemix cofounder. _xD83C__xDDF5__xD83C__xDDF8_ _xD83C__xDDFF__xD83C__xDDE6_ Views are my own.</t>
  </si>
  <si>
    <t>Space Scientist who believes that education and research are the real path toward tolerance, peace and human progress. Views expressed herein are my own.</t>
  </si>
  <si>
    <t>An independent-global news-service, Democracy Watch News covers #democracy #HumanRights #NonviolentConflict #PressFreedom #journalism #mediaethics #Environment</t>
  </si>
  <si>
    <t>UEFA Accredited sports Journalist, Content creator. Sports Business person. Publisher at https://t.co/jNrHIbS2b0, owner of https://t.co/S1IxvnQxdI. Travel Junkie.</t>
  </si>
  <si>
    <t>Educator I Consultant #datavisualisation #datastorytelling #infographic #dataliteracy book https://t.co/xbs62sACaR #dataviz manager at @IpsosSpain.</t>
  </si>
  <si>
    <t>Certified Multimedia Reporter/Voice Over Maestro-(TV/Radio/Digital/Commercials)/Travel Enthusiast.</t>
  </si>
  <si>
    <t>Geography Teacher &amp; Geologist in a former life. CGeog, FRGS, Peer Reviewer @routesjournal #geographyteacher https://t.co/Qa6EUeIuVc</t>
  </si>
  <si>
    <t>Data journalist at @SkyNews by @BCUMedia. Before, digital and TV reporter. Worked at @guardian @24horasTVN @telemadrid</t>
  </si>
  <si>
    <t>Journalist,working at usek,project manager gmail:margueritesalloum@gmail.com/linkedin:margueritesalloum</t>
  </si>
  <si>
    <t>Réseau de journalisme d'investigation regroupant 184 organisations de 77 pays @gijn @gijnEs @gijnRu @gijnAfrica @gijnCh @gijnArabic @gijnUrdu @gijnBangla</t>
  </si>
  <si>
    <t>Journaliste en charge de l'innovation éditoriale chez @contexte. Au CA de @conseildeonto Réflexions/expériences à voir Dans mon labo. PGP https://t.co/68m97w8EMq</t>
  </si>
  <si>
    <t>Phd Candidate in international relations &amp; Diplomacy, #CEDS, #Géopolitique, #Diplomatie économique @AEGEStrategie
https://t.co/BnyNCokG3W</t>
  </si>
  <si>
    <t>Geography at @BritishSchParis, a co-educational, independent day school for pupils aged 3 - 18.</t>
  </si>
  <si>
    <t>Data Journalist | #ddj, Tableau &amp; #rstats | Soon-to-be MA Data Journalism Postgrad @BCUJournalism. | DMs open or email umarhassanmedia@gmail.com for stories.</t>
  </si>
  <si>
    <t>The UK’s Journalism training body supported by ITV, BBC, ITN, AP, Global, Bauer, C4, Reuters, Sky &amp; NUJ. Setting standards &amp; awarding industry placement grants</t>
  </si>
  <si>
    <t>Multi-award-winning Journalist (ex @skynews @5_News Presenter) | Head of undergrad @BCUJournalism | @studentvieworg Trustee | @AustenDuffy _xD83D__xDC8D_ | @KnightAyton</t>
  </si>
  <si>
    <t>Retired teacher  Re-Form Heritage volunteer Keen interest in Geog Enviro Nat Hist Music Rugby Travel Writing History/Genealogy Current Affairs</t>
  </si>
  <si>
    <t>Sub Editor at BW Businessworld
https://t.co/z7H0JlnY3T</t>
  </si>
  <si>
    <t>sablowski(at)protonmail(dot)com
01000101 01110110 01100101 01110010 01111001 01110100 01101000 01101001 01101110 01100111 00100000</t>
  </si>
  <si>
    <t>Die @Tagesspiegel-Seite zu digitalen Themen.</t>
  </si>
  <si>
    <t>Data Visualization Lisboa is both a Meetup and a passion. We see great potential in making data more accessible and usable. #vislis #DataVis #lisboa</t>
  </si>
  <si>
    <t>USA, Brazil, Spain</t>
  </si>
  <si>
    <t>日本</t>
  </si>
  <si>
    <t>united s</t>
  </si>
  <si>
    <t>Raspberry PI</t>
  </si>
  <si>
    <t>Melbourne, Victoria</t>
  </si>
  <si>
    <t>South Africa</t>
  </si>
  <si>
    <t>Turcineşti, România</t>
  </si>
  <si>
    <t>From Genoa to Brussels via London via Berlin</t>
  </si>
  <si>
    <t>New York, NY</t>
  </si>
  <si>
    <t>Alcalá de Henares, Madrid</t>
  </si>
  <si>
    <t>Global</t>
  </si>
  <si>
    <t>Hilversum, Nederland</t>
  </si>
  <si>
    <t>Maastricht, The Netherlands</t>
  </si>
  <si>
    <t>London</t>
  </si>
  <si>
    <t>iPhone: 52.390736,0.268017</t>
  </si>
  <si>
    <t>London, UK</t>
  </si>
  <si>
    <t>Penacova, Portugal</t>
  </si>
  <si>
    <t>Saffron Walden, East</t>
  </si>
  <si>
    <t>Glasgow (not Berlin _xD83D__xDE22_)</t>
  </si>
  <si>
    <t>Canberra, Australia</t>
  </si>
  <si>
    <t>www.jargonautical.com</t>
  </si>
  <si>
    <t>Brighton, England</t>
  </si>
  <si>
    <t>Bristol, UK</t>
  </si>
  <si>
    <t>London, England</t>
  </si>
  <si>
    <t>Ciudad Autónoma de Buenos Aire</t>
  </si>
  <si>
    <t>Birmingham, UK</t>
  </si>
  <si>
    <t>Brasil</t>
  </si>
  <si>
    <t>Washington, DC</t>
  </si>
  <si>
    <t>Walthamstow, London</t>
  </si>
  <si>
    <t>Nottingham &amp; Southampton, UK</t>
  </si>
  <si>
    <t xml:space="preserve">Brussels </t>
  </si>
  <si>
    <t>Kampala, Uganda</t>
  </si>
  <si>
    <t>Doha, Qatar</t>
  </si>
  <si>
    <t>Qatar</t>
  </si>
  <si>
    <t xml:space="preserve">Munro Buenos Aires Argentina </t>
  </si>
  <si>
    <t xml:space="preserve">Warsaw, Poland </t>
  </si>
  <si>
    <t>Berlin</t>
  </si>
  <si>
    <t>Izegem, België</t>
  </si>
  <si>
    <t>Brussel, België</t>
  </si>
  <si>
    <t>Athens, Greece</t>
  </si>
  <si>
    <t>Milano, Italia</t>
  </si>
  <si>
    <t>Turin—Milan</t>
  </si>
  <si>
    <t>Cardiff/London</t>
  </si>
  <si>
    <t>London, England. Founded 1913</t>
  </si>
  <si>
    <t>Ginevra, Svizzera</t>
  </si>
  <si>
    <t>Hitchin, England</t>
  </si>
  <si>
    <t>Hargeisa, Somaliland</t>
  </si>
  <si>
    <t>Lavenham, England</t>
  </si>
  <si>
    <t>Denny High School</t>
  </si>
  <si>
    <t>United States</t>
  </si>
  <si>
    <t>Ciudad de México</t>
  </si>
  <si>
    <t>Rio de Janeiro</t>
  </si>
  <si>
    <t>Rio de Janeiro, Brasil</t>
  </si>
  <si>
    <t>Sao Paulo, Brazil</t>
  </si>
  <si>
    <t>World</t>
  </si>
  <si>
    <t>Oxford</t>
  </si>
  <si>
    <t>Chancery Lane, London</t>
  </si>
  <si>
    <t>London, via North Yorkshire</t>
  </si>
  <si>
    <t>Austin, TX</t>
  </si>
  <si>
    <t>Toronto, Canada</t>
  </si>
  <si>
    <t>Bristol, England</t>
  </si>
  <si>
    <t>Bessacarr, England</t>
  </si>
  <si>
    <t>Belfast</t>
  </si>
  <si>
    <t>Limavady, Northern Ireland</t>
  </si>
  <si>
    <t>DK</t>
  </si>
  <si>
    <t>London via Kurdistan</t>
  </si>
  <si>
    <t>Oxfordshire</t>
  </si>
  <si>
    <t>Glasgow, Scotland</t>
  </si>
  <si>
    <t>Aberdeen</t>
  </si>
  <si>
    <t>Lytchett Minster School</t>
  </si>
  <si>
    <t>iceland</t>
  </si>
  <si>
    <t>Porto Alegre, Brasil</t>
  </si>
  <si>
    <t>Dundee, Scotland, UK</t>
  </si>
  <si>
    <t>Preston, England</t>
  </si>
  <si>
    <t>Dewsbury, England</t>
  </si>
  <si>
    <t>Glasgow, United Kingdom</t>
  </si>
  <si>
    <t>Houten, Nederland</t>
  </si>
  <si>
    <t>Australia</t>
  </si>
  <si>
    <t>Barcelona, España</t>
  </si>
  <si>
    <t>Bogotá, D.C., Colombia</t>
  </si>
  <si>
    <t>Edinburgh</t>
  </si>
  <si>
    <t>Houston, Texas</t>
  </si>
  <si>
    <t>Pakistan</t>
  </si>
  <si>
    <t xml:space="preserve">Lagos,Nigeria </t>
  </si>
  <si>
    <t>Avellaneda, Argentina</t>
  </si>
  <si>
    <t>Lima, Perú</t>
  </si>
  <si>
    <t>Lima, Peru</t>
  </si>
  <si>
    <t>Mumbai, Maharashtra.</t>
  </si>
  <si>
    <t>Santa Cruz do Sul, Brasil</t>
  </si>
  <si>
    <t>Brazil</t>
  </si>
  <si>
    <t>São Paulo, Brazil</t>
  </si>
  <si>
    <t>Arruda dos Vinhos</t>
  </si>
  <si>
    <t>São Paulo, Brasil</t>
  </si>
  <si>
    <t>Rio de Janeiro, Brazil</t>
  </si>
  <si>
    <t>Ceará, Brasil</t>
  </si>
  <si>
    <t>Alto Parana, Paraguay</t>
  </si>
  <si>
    <t>Imperatriz</t>
  </si>
  <si>
    <t>Imperatriz, MA</t>
  </si>
  <si>
    <t>Algum Lugar</t>
  </si>
  <si>
    <t>Ipatinga, Brasil</t>
  </si>
  <si>
    <t>Aracaju em BH</t>
  </si>
  <si>
    <t>Vitória, Espírito Santo</t>
  </si>
  <si>
    <t>Floripa | Brusque | Itapema</t>
  </si>
  <si>
    <t>Belo Horizonte, Brasil</t>
  </si>
  <si>
    <t>Belo Horizonte, Brazil</t>
  </si>
  <si>
    <t xml:space="preserve">o espírito santo é meu país </t>
  </si>
  <si>
    <t>amazônia. brasil</t>
  </si>
  <si>
    <t>Brasília</t>
  </si>
  <si>
    <t>Rondônia, Brazil</t>
  </si>
  <si>
    <t>Penha, São Paulo</t>
  </si>
  <si>
    <t>Recife, Brasil</t>
  </si>
  <si>
    <t>São João del-Rei / Itumirim</t>
  </si>
  <si>
    <t>ÜT: -15.8003243,-47.891934</t>
  </si>
  <si>
    <t>Ecuador</t>
  </si>
  <si>
    <t>USA</t>
  </si>
  <si>
    <t>cameroun</t>
  </si>
  <si>
    <t>Hythe, Kent</t>
  </si>
  <si>
    <t>Toronto, Ontario</t>
  </si>
  <si>
    <t>Seattle, WA</t>
  </si>
  <si>
    <t>Ontario, Canada</t>
  </si>
  <si>
    <t>BE</t>
  </si>
  <si>
    <t>YYJ</t>
  </si>
  <si>
    <t>Amsterdam</t>
  </si>
  <si>
    <t>The Netherlands</t>
  </si>
  <si>
    <t>On lockdown _xD83C__xDF0F_</t>
  </si>
  <si>
    <t>Doha</t>
  </si>
  <si>
    <t>Los Angeles, CA, USA</t>
  </si>
  <si>
    <t>International</t>
  </si>
  <si>
    <t>Germany _xD83C__xDDE9__xD83C__xDDEA_</t>
  </si>
  <si>
    <t>Costa Rica</t>
  </si>
  <si>
    <t>Barcelona</t>
  </si>
  <si>
    <t>Nairobi, Kenya</t>
  </si>
  <si>
    <t>England, United Kingdom</t>
  </si>
  <si>
    <t>kaslik</t>
  </si>
  <si>
    <t>Pantin, France</t>
  </si>
  <si>
    <t>République de Maurice</t>
  </si>
  <si>
    <t>Croissy-sur-Seine, France</t>
  </si>
  <si>
    <t>Birmingham, England</t>
  </si>
  <si>
    <t>Birmingham UK</t>
  </si>
  <si>
    <t>Staffordshire</t>
  </si>
  <si>
    <t>New Delhi, India</t>
  </si>
  <si>
    <t>internet</t>
  </si>
  <si>
    <t>Berlin, Germany</t>
  </si>
  <si>
    <t>Lisbon, Portugal</t>
  </si>
  <si>
    <t>Open Twitter Page for This Person</t>
  </si>
  <si>
    <t>albertocairo
Massive and comprehensive #dataViz
#infographics #ddj https://t.co/a1WiwSUBt3</t>
  </si>
  <si>
    <t>mijinkim33
#E2D3 is an #Excel add-in for #dataviz.
Excel to #d3js.#GitHub #data #datavizualization
#javascript #json #infographics
#startup #map #DataScience #ddj
#datascraping #datajournalism #JS
#OpenSource #OSS #GIS #Microsoft
#vuejs #Nodejs #html5 #tech #edtech
#visualization #Nodejs https://t.co/OAQhlWzevs</t>
  </si>
  <si>
    <t>e2d3org
#E2D3 is an #Excel add-in for #dataviz.
Excel to #d3js.#GitHub #data #datavizualization
#javascript #json #infographics
#startup #map #DataScience #ddj
#datascraping #datajournalism #JS
#OpenSource #OSS #GIS #Microsoft
#vuejs #Nodejs #html5 #tech #edtech
#visualization #Nodejs https://t.co/OAQhlWzevs</t>
  </si>
  <si>
    <t>codegnuts
#E2D3 is an #Excel add-in for #dataviz.
Excel to #d3js.#GitHub #data #datavizualization
#javascript #json #infographics
#startup #map #DataScience #ddj
#datascraping #datajournalism #JS
#OpenSource #OSS #GIS #Microsoft
#vuejs #Nodejs #html5 #tech #edtech
#visualization #Nodejs https://t.co/OAQhlWzevs</t>
  </si>
  <si>
    <t>nodequotesbot
#E2D3 is an #Excel add-in for #dataviz.
Excel to #d3js.#GitHub #data #datavizualization
#javascript #json #infographics
#startup #map #DataScience #ddj
#datascraping #datajournalism #JS
#OpenSource #OSS #GIS #Microsoft
#vuejs #Nodejs #html5 #tech #edtech
#visualization #Nodejs https://t.co/OAQhlWzevs</t>
  </si>
  <si>
    <t>theinfernobot
#E2D3 is an #Excel add-in for #dataviz.
Excel to #d3js.#GitHub #data #datavizualization
#javascript #json #infographics
#startup #map #DataScience #ddj
#datascraping #datajournalism #JS
#OpenSource #OSS #GIS #Microsoft
#vuejs #Nodejs #html5 #tech #edtech
#visualization #Nodejs https://t.co/OAQhlWzevs</t>
  </si>
  <si>
    <t>markj_ohnson
#E2D3 is an #Excel add-in for #dataviz.
Excel to #d3js.#GitHub #data #datavizualization
#javascript #json #infographics
#startup #map #DataScience #ddj
#datascraping #datajournalism #JS
#OpenSource #OSS #GIS #Microsoft
#vuejs #Nodejs #html5 #tech #edtech
#visualization #Nodejs https://t.co/OAQhlWzevs</t>
  </si>
  <si>
    <t>digitalsphere33
#E2D3 is an #Excel add-in for #dataviz.
Excel to #d3js.#GitHub #data #datavizualization
#javascript #json #infographics
#startup #map #DataScience #ddj
#datascraping #datajournalism #JS
#OpenSource #OSS #GIS #Microsoft
#vuejs #Nodejs #html5 #tech #edtech
#visualization #Nodejs https://t.co/OAQhlWzevs</t>
  </si>
  <si>
    <t>taieb_bot
#E2D3 is an #Excel add-in for #dataviz.
Excel to #d3js.#GitHub #data #datavizualization
#javascript #json #infographics
#startup #map #DataScience #ddj
#datascraping #datajournalism #JS
#OpenSource #OSS #GIS #Microsoft
#vuejs #Nodejs #html5 #tech #edtech
#visualization #Nodejs https://t.co/OAQhlWzevs</t>
  </si>
  <si>
    <t>dashboarddr
#E2D3 is an #Excel add-in for #dataviz.
Excel to #d3js.#GitHub #data #datavizualization
#javascript #json #infographics
#startup #map #DataScience #ddj
#datascraping #datajournalism #JS
#OpenSource #OSS #GIS #Microsoft
#vuejs #Nodejs #html5 #tech #edtech
#visualization #Nodejs https://t.co/OAQhlWzevs</t>
  </si>
  <si>
    <t>gijnru
Как упаковать дата-историю. Обсуждаем
новые форматы в дата-журналистике:
скроллителлинг, talkie, сонификация,
видео, анимация, форматы для соцсетей.
Какой из них стоит выбрать? https://t.co/xRXxlWomEP
#ddj #LAMPA2020 https://t.co/phcfysdc6m</t>
  </si>
  <si>
    <t>oxciej
#WildEye investigation published
in @Newsweek in Romania. @daea_marius
uses data to compare wildlife crime
in West and East Europe_xD83D__xDD3D_ #datajournalism
#ddj https://t.co/KXxIh4qXTh</t>
  </si>
  <si>
    <t xml:space="preserve">daea_marius
</t>
  </si>
  <si>
    <t>emibarbiroglio
#WildEye investigation published
in @Newsweek in Romania. @daea_marius
uses data to compare wildlife crime
in West and East Europe_xD83D__xDD3D_ #datajournalism
#ddj https://t.co/KXxIh4qXTh</t>
  </si>
  <si>
    <t xml:space="preserve">newsweek
</t>
  </si>
  <si>
    <t>masteruah
Massive and comprehensive #dataViz
#infographics #ddj https://t.co/a1WiwSUBt3</t>
  </si>
  <si>
    <t>sin_nl_org
Inspiring #data stories: One of
the lessons anyone can learn from
this project by @pointer_kroncrv
is to never take anything for granted:
a good investigative story can
hide anywhere, even within ordinary
spam email! https://t.co/YgrDMEqs80
#datajournalism @sigmaawards #ddj
https://t.co/A9krmmT00V</t>
  </si>
  <si>
    <t xml:space="preserve">sigmaawards
</t>
  </si>
  <si>
    <t xml:space="preserve">pointer_kroncrv
</t>
  </si>
  <si>
    <t>datajournalism
_xD83C__xDF99_Listen to our interview with
Prof. Denise Lievesley to learn
about the parallels between #datajournalism
and #statistics &amp;amp; how each
discipline can enrich each other:
https://t.co/POxkC059Mk #podcasts
#ddj https://t.co/IIPVA48SXb</t>
  </si>
  <si>
    <t>realmiguelroca
Managed to smash my phone screen
when out running yesterday. 1st
time I've ever done any serious
damage to a handset! Thankfully
was due an upgrade in a few months
so have ordered a new Samsung handset
which looks perfect for my #journalism
&amp;amp; #ddj aspirations. _xD83D__xDC4D__xD83E__xDD13_</t>
  </si>
  <si>
    <t>annkempster
The National Archives are looking
for a Data Engineer. It's one of
the most interesting places to
work in the public sector and beyond
(and you will probably work for
the Jedi Knight of Legislation
Data, @johnlsheridan) #opendata
#ddj #opengov https://t.co/vMOe8dmvSW</t>
  </si>
  <si>
    <t>johnlsheridan
The National Archives are looking
for a Data Engineer. It's one of
the most interesting places to
work in the public sector and beyond
(and you will probably work for
the Jedi Knight of Legislation
Data, @johnlsheridan) #opendata
#ddj #opengov https://t.co/vMOe8dmvSW</t>
  </si>
  <si>
    <t>puntofisso
Another Monday, another issue of
my #data newsletter is ready to
reach your inboxes tomorrow at
lunchtime. Subscribe at https://t.co/1DSNfMTKQA
#ddj #opendata #dataviz https://t.co/cCpwnPSCM4</t>
  </si>
  <si>
    <t>jtwentyman
The National Archives are looking
for a Data Engineer. It's one of
the most interesting places to
work in the public sector and beyond
(and you will probably work for
the Jedi Knight of Legislation
Data, @johnlsheridan) #opendata
#ddj #opengov https://t.co/vMOe8dmvSW</t>
  </si>
  <si>
    <t>sihugh
The National Archives are looking
for a Data Engineer. It's one of
the most interesting places to
work in the public sector and beyond
(and you will probably work for
the Jedi Knight of Legislation
Data, @johnlsheridan) #opendata
#ddj #opengov https://t.co/vMOe8dmvSW</t>
  </si>
  <si>
    <t>nevali
The National Archives are looking
for a Data Engineer. It's one of
the most interesting places to
work in the public sector and beyond
(and you will probably work for
the Jedi Knight of Legislation
Data, @johnlsheridan) #opendata
#ddj #opengov https://t.co/vMOe8dmvSW</t>
  </si>
  <si>
    <t>ellenbroad
The National Archives are looking
for a Data Engineer. It's one of
the most interesting places to
work in the public sector and beyond
(and you will probably work for
the Jedi Knight of Legislation
Data, @johnlsheridan) #opendata
#ddj #opengov https://t.co/vMOe8dmvSW</t>
  </si>
  <si>
    <t>jargonautical
The National Archives are looking
for a Data Engineer. It's one of
the most interesting places to
work in the public sector and beyond
(and you will probably work for
the Jedi Knight of Legislation
Data, @johnlsheridan) #opendata
#ddj #opengov https://t.co/vMOe8dmvSW</t>
  </si>
  <si>
    <t>mets1977
The National Archives are looking
for a Data Engineer. It's one of
the most interesting places to
work in the public sector and beyond
(and you will probably work for
the Jedi Knight of Legislation
Data, @johnlsheridan) #opendata
#ddj #opengov https://t.co/vMOe8dmvSW</t>
  </si>
  <si>
    <t>mrj1971
The National Archives are looking
for a Data Engineer. It's one of
the most interesting places to
work in the public sector and beyond
(and you will probably work for
the Jedi Knight of Legislation
Data, @johnlsheridan) #opendata
#ddj #opengov https://t.co/vMOe8dmvSW</t>
  </si>
  <si>
    <t>sophietaysom
The National Archives are looking
for a Data Engineer. It's one of
the most interesting places to
work in the public sector and beyond
(and you will probably work for
the Jedi Knight of Legislation
Data, @johnlsheridan) #opendata
#ddj #opengov https://t.co/vMOe8dmvSW</t>
  </si>
  <si>
    <t>aliciacastroar
How many more people died in the
UK during the pandemic? One of
our #CIJSummer speakers @PorcelinaD
looked into the stats. #ddj #data
#covid19 https://t.co/lNqRtabA43
https://t.co/IPNOXelBwF</t>
  </si>
  <si>
    <t xml:space="preserve">porcelinad
</t>
  </si>
  <si>
    <t>cijournalism
How many more people died in the
UK during the pandemic? One of
our #CIJSummer speakers @PorcelinaD
looked into the stats. #ddj #data
#covid19 https://t.co/lNqRtabA43
https://t.co/IPNOXelBwF</t>
  </si>
  <si>
    <t>ecarrascobe
Massive and comprehensive #dataViz
#infographics #ddj https://t.co/a1WiwSUBt3</t>
  </si>
  <si>
    <t>joesb
The National Archives are looking
for a Data Engineer. It's one of
the most interesting places to
work in the public sector and beyond
(and you will probably work for
the Jedi Knight of Legislation
Data, @johnlsheridan) #opendata
#ddj #opengov https://t.co/vMOe8dmvSW</t>
  </si>
  <si>
    <t>fvas
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</si>
  <si>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 xml:space="preserve">j_la28
</t>
  </si>
  <si>
    <t xml:space="preserve">maudbeelman
</t>
  </si>
  <si>
    <t>dasbarrett
The National Archives are looking
for a Data Engineer. It's one of
the most interesting places to
work in the public sector and beyond
(and you will probably work for
the Jedi Knight of Legislation
Data, @johnlsheridan) #opendata
#ddj #opengov https://t.co/vMOe8dmvSW</t>
  </si>
  <si>
    <t>marcelodgr67
How many more people died in the
UK during the pandemic? One of
our #CIJSummer speakers @PorcelinaD
looked into the stats. #ddj #data
#covid19 https://t.co/lNqRtabA43
https://t.co/IPNOXelBwF</t>
  </si>
  <si>
    <t>anaserranot
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</si>
  <si>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jeremy_morley
The National Archives are looking
for a Data Engineer. It's one of
the most interesting places to
work in the public sector and beyond
(and you will probably work for
the Jedi Knight of Legislation
Data, @johnlsheridan) #opendata
#ddj #opengov https://t.co/vMOe8dmvSW</t>
  </si>
  <si>
    <t>jenit
The National Archives are looking
for a Data Engineer. It's one of
the most interesting places to
work in the public sector and beyond
(and you will probably work for
the Jedi Knight of Legislation
Data, @johnlsheridan) #opendata
#ddj #opengov https://t.co/vMOe8dmvSW</t>
  </si>
  <si>
    <t>susanagarayoa
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</si>
  <si>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hlutwama
Saving the Nile. Analysing the
impact large dams have on the world's
most famous river #dataviz #ddj
@AJLabs @AJEnglish https://t.co/Ri6ETcWCXW</t>
  </si>
  <si>
    <t xml:space="preserve">ajenglish
</t>
  </si>
  <si>
    <t xml:space="preserve">ajlabs
</t>
  </si>
  <si>
    <t>sergiogarciamor
Massive and comprehensive #dataViz
#infographics #ddj https://t.co/a1WiwSUBt3</t>
  </si>
  <si>
    <t>rorisangshomang
Saving the Nile. Analysing the
impact large dams have on the world's
most famous river #dataviz #ddj
@AJLabs @AJEnglish https://t.co/UaXvJggotd</t>
  </si>
  <si>
    <t>natalia_ojewska
Saving the Nile. Analysing the
impact large dams have on the world's
most famous river #dataviz #ddj
@AJLabs @AJEnglish https://t.co/9pVtIFTh04</t>
  </si>
  <si>
    <t>_davidmeidinger
Noch nie wurde in #Deutschland
so viel #Kurzarbeit angemeldet
wie in der #Coronakrise. Auch die
Arbeitslosenzahlen steigen. Das
trifft vor allem weniger Privilegierte.
Die Folgen der Krise für den #Arbeitsmarkt
in Zahlen: ➡️https://t.co/RvWCyicp5Z
@Tagesspiegel #coronavirus #ddj
https://t.co/QrQ746kOhM</t>
  </si>
  <si>
    <t xml:space="preserve">tagesspiegel
</t>
  </si>
  <si>
    <t>helenawittlich
Noch nie wurde in #Deutschland
so viel #Kurzarbeit angemeldet
wie in der #Coronakrise. Auch die
Arbeitslosenzahlen steigen. Das
trifft vor allem weniger Privilegierte.
Die Folgen der Krise für den #Arbeitsmarkt
in Zahlen: ➡️https://t.co/RvWCyicp5Z
@Tagesspiegel #coronavirus #ddj
https://t.co/QrQ746kOhM</t>
  </si>
  <si>
    <t>michael_gegg
Noch nie wurde in #Deutschland
so viel #Kurzarbeit angemeldet
wie in der #Coronakrise. Auch die
Arbeitslosenzahlen steigen. Das
trifft vor allem weniger Privilegierte.
Die Folgen der Krise für den #Arbeitsmarkt
in Zahlen: ➡️https://t.co/RvWCyicp5Z
@Tagesspiegel #coronavirus #ddj
https://t.co/QrQ746kOhM</t>
  </si>
  <si>
    <t>emielvnh
Een kurkdroog voorjaar, regen op
de foute momenten, en met dit weer
ziet het er niet bepaald goed uit
voor het water in ons land. Het
hele droogteprobleem uitgelegd
door @tijd #ddj -&amp;gt; https://t.co/LmopyyJCyg
https://t.co/Tr1RjuZ5Tc</t>
  </si>
  <si>
    <t xml:space="preserve">tijd
</t>
  </si>
  <si>
    <t>andriesfluit
Een kurkdroog voorjaar, regen op
de foute momenten, en met dit weer
ziet het er niet bepaald goed uit
voor het water in ons land. Het
hele droogteprobleem uitgelegd
door @tijd #ddj -&amp;gt; https://t.co/LmopyyJCyg
https://t.co/Tr1RjuZ5Tc</t>
  </si>
  <si>
    <t>mikaelmusic1
Mobile Setup #producer #seratodj
#serato #pioneerdj #akaipro #akaiprofessional
#mpclive #gearhead #setup #producerlife
#mobilesetup #djlife #djlifestyle
#djbooth #djequipment #djcontroller
#ddjsx #pioneer #ddj #sx #pioneerddj
https://t.co/DZM3L6RIF3</t>
  </si>
  <si>
    <t>alex_vnc_
Een kurkdroog voorjaar, regen op
de foute momenten, en met dit weer
ziet het er niet bepaald goed uit
voor het water in ons land. Het
hele droogteprobleem uitgelegd
door @tijd #ddj -&amp;gt; https://t.co/LmopyyJCyg
https://t.co/Tr1RjuZ5Tc</t>
  </si>
  <si>
    <t>konstantinosant
New #dataviz online workshop scheduled!
"Designing visual data narratives"
with @Aiap_ita (in English). Thursday
9th July 2020 | 2 pm - 6.30 pm
CET, info here → https://t.co/GOlCiImGyF
#DataVisualization #infographic
#ddj https://t.co/nGakPdtgec</t>
  </si>
  <si>
    <t xml:space="preserve">aiap_ita
</t>
  </si>
  <si>
    <t>fedfragapane
New #dataviz online workshop scheduled!
"Designing visual data narratives"
with @Aiap_ita (in English). Thursday
9th July 2020 | 2 pm - 6.30 pm
CET, info here → https://t.co/GOlCiImGyF
#DataVisualization #infographic
#ddj https://t.co/nGakPdtgec</t>
  </si>
  <si>
    <t>tikiblagojev
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</si>
  <si>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glynmottershead
Personal news alert! Next week
I'll be starting a new job as the
Data Projects Editor for @NewStatesman
Media's new #ddj team. Sad to leave
so many great colleagues at the
@Telegraph but excited for what's
to come!</t>
  </si>
  <si>
    <t xml:space="preserve">telegraph
</t>
  </si>
  <si>
    <t xml:space="preserve">newstatesman
</t>
  </si>
  <si>
    <t>patrick_e_scott
Personal news alert! Next week
I'll be starting a new job as the
Data Projects Editor for @NewStatesman
Media's new #ddj team. Sad to leave
so many great colleagues at the
@Telegraph but excited for what's
to come!</t>
  </si>
  <si>
    <t>guipizzini
New #dataviz online workshop scheduled!
"Designing visual data narratives"
with @Aiap_ita (in English). Thursday
9th July 2020 | 2 pm - 6.30 pm
CET, info here → https://t.co/GOlCiImGyF
#DataVisualization #infographic
#ddj https://t.co/nGakPdtgec</t>
  </si>
  <si>
    <t>mcnatch
The National Archives are looking
for a Data Engineer. It's one of
the most interesting places to
work in the public sector and beyond
(and you will probably work for
the Jedi Knight of Legislation
Data, @johnlsheridan) #opendata
#ddj #opengov https://t.co/vMOe8dmvSW</t>
  </si>
  <si>
    <t>lukestanbra
The National Archives are looking
for a Data Engineer. It's one of
the most interesting places to
work in the public sector and beyond
(and you will probably work for
the Jedi Knight of Legislation
Data, @johnlsheridan) #opendata
#ddj #opengov https://t.co/vMOe8dmvSW</t>
  </si>
  <si>
    <t>mo_shamah
Saving the Nile. Analysing the
impact large dams have on the world's
most famous river #dataviz #ddj
@AJLabs @AJEnglish https://t.co/mwEo2mjz1l</t>
  </si>
  <si>
    <t>psychingitout
Personal news alert! Next week
I'll be starting a new job as the
Data Projects Editor for @NewStatesman
Media's new #ddj team. Sad to leave
so many great colleagues at the
@Telegraph but excited for what's
to come!</t>
  </si>
  <si>
    <t>missg_dhsgeog
Saving the Nile. Analysing the
impact large dams have on the world's
most famous river #dataviz #ddj
@AJLabs @AJEnglish https://t.co/8jH0FXJcS8</t>
  </si>
  <si>
    <t>oscwilliams
Personal news alert! Next week
I'll be starting a new job as the
Data Projects Editor for @NewStatesman
Media's new #ddj team. Sad to leave
so many great colleagues at the
@Telegraph but excited for what's
to come!</t>
  </si>
  <si>
    <t>emilyctamkin
Personal news alert! Next week
I'll be starting a new job as the
Data Projects Editor for @NewStatesman
Media's new #ddj team. Sad to leave
so many great colleagues at the
@Telegraph but excited for what's
to come!</t>
  </si>
  <si>
    <t>rob_w_ingram
Personal news alert! Next week
I'll be starting a new job as the
Data Projects Editor for @NewStatesman
Media's new #ddj team. Sad to leave
so many great colleagues at the
@Telegraph but excited for what's
to come!</t>
  </si>
  <si>
    <t>hampshire67
New #dataviz online workshop scheduled!
"Designing visual data narratives"
with @Aiap_ita (in English). Thursday
9th July 2020 | 2 pm - 6.30 pm
CET, info here → https://t.co/GOlCiImGyF
#DataVisualization #infographic
#ddj https://t.co/nGakPdtgec</t>
  </si>
  <si>
    <t>caleb_nwokoloo
Saving the Nile. Analysing the
impact large dams have on the world's
most famous river #dataviz #ddj
@AJLabs @AJEnglish https://t.co/CuVT4vVLpp</t>
  </si>
  <si>
    <t>giubianconi
Abrimos na @generonumero chamada
pra estágio em design. https://t.co/PEXtf8TPsC
#estagio #design #GraphicDesign
#dados #ddj</t>
  </si>
  <si>
    <t xml:space="preserve">generonumero
</t>
  </si>
  <si>
    <t>rodolfoalmd
Abrimos na @generonumero chamada
pra estágio em design. https://t.co/PEXtf8TPsC
#estagio #design #GraphicDesign
#dados #ddj</t>
  </si>
  <si>
    <t>pittilla_o
Saving the Nile. Analysing the
impact large dams have on the world's
most famous river #dataviz #ddj
@AJLabs @AJEnglish https://t.co/rO4GSXqDi0</t>
  </si>
  <si>
    <t>bitten_
The National Archives are looking
for a Data Engineer. It's one of
the most interesting places to
work in the public sector and beyond
(and you will probably work for
the Jedi Knight of Legislation
Data, @johnlsheridan) #opendata
#ddj #opengov https://t.co/vMOe8dmvSW</t>
  </si>
  <si>
    <t>edsaperia
The National Archives are looking
for a Data Engineer. It's one of
the most interesting places to
work in the public sector and beyond
(and you will probably work for
the Jedi Knight of Legislation
Data, @johnlsheridan) #opendata
#ddj #opengov https://t.co/vMOe8dmvSW</t>
  </si>
  <si>
    <t>nwspk
The National Archives are looking
for a Data Engineer. It's one of
the most interesting places to
work in the public sector and beyond
(and you will probably work for
the Jedi Knight of Legislation
Data, @johnlsheridan) #opendata
#ddj #opengov https://t.co/vMOe8dmvSW</t>
  </si>
  <si>
    <t>aliossandro
The National Archives are looking
for a Data Engineer. It's one of
the most interesting places to
work in the public sector and beyond
(and you will probably work for
the Jedi Knight of Legislation
Data, @johnlsheridan) #opendata
#ddj #opengov https://t.co/vMOe8dmvSW</t>
  </si>
  <si>
    <t>jaggeree
The National Archives are looking
for a Data Engineer. It's one of
the most interesting places to
work in the public sector and beyond
(and you will probably work for
the Jedi Knight of Legislation
Data, @johnlsheridan) #opendata
#ddj #opengov https://t.co/vMOe8dmvSW</t>
  </si>
  <si>
    <t>helloyorick
The National Archives are looking
for a Data Engineer. It's one of
the most interesting places to
work in the public sector and beyond
(and you will probably work for
the Jedi Knight of Legislation
Data, @johnlsheridan) #opendata
#ddj #opengov https://t.co/vMOe8dmvSW</t>
  </si>
  <si>
    <t>emmamarkiewicz
The National Archives are looking
for a Data Engineer. It's one of
the most interesting places to
work in the public sector and beyond
(and you will probably work for
the Jedi Knight of Legislation
Data, @johnlsheridan) #opendata
#ddj #opengov https://t.co/vMOe8dmvSW</t>
  </si>
  <si>
    <t>maggotlaw
The National Archives are looking
for a Data Engineer. It's one of
the most interesting places to
work in the public sector and beyond
(and you will probably work for
the Jedi Knight of Legislation
Data, @johnlsheridan) #opendata
#ddj #opengov https://t.co/vMOe8dmvSW</t>
  </si>
  <si>
    <t>aliceolilly
The National Archives are looking
for a Data Engineer. It's one of
the most interesting places to
work in the public sector and beyond
(and you will probably work for
the Jedi Knight of Legislation
Data, @johnlsheridan) #opendata
#ddj #opengov https://t.co/vMOe8dmvSW</t>
  </si>
  <si>
    <t>ryansagare
_xD83D__xDCE3_ Sign up today for our latest
FREE online on #equity and #ethics
in data journalism with instructor
Heather Krause (@datassist). Learn
how to avoid inequity and hidden
bias into your storytelling. #ddj
https://t.co/VSoFcqeFa6 https://t.co/lkqSnrOwQI</t>
  </si>
  <si>
    <t xml:space="preserve">datassist
</t>
  </si>
  <si>
    <t>utknightcenter
_xD83D__xDCE3_ Sign up today for our latest
FREE online on #equity and #ethics
in data journalism with instructor
Heather Krause (@datassist). Learn
how to avoid inequity and hidden
bias into your storytelling. #ddj
https://t.co/VSoFcqeFa6 https://t.co/lkqSnrOwQI</t>
  </si>
  <si>
    <t>agilchristpike
The National Archives are looking
for a Data Engineer. It's one of
the most interesting places to
work in the public sector and beyond
(and you will probably work for
the Jedi Knight of Legislation
Data, @johnlsheridan) #opendata
#ddj #opengov https://t.co/vMOe8dmvSW</t>
  </si>
  <si>
    <t>mrvisgeography
Water security: Saving the Nile.
Analysing the impact large dams
have on the world's most famous
river #dataviz #ddj @AJLabs @AJEnglish
https://t.co/QwEAxmnTwx</t>
  </si>
  <si>
    <t>jmbgeog
Water security: Saving the Nile.
Analysing the impact large dams
have on the world's most famous
river #dataviz #ddj @AJLabs @AJEnglish
https://t.co/QwEAxmnTwx</t>
  </si>
  <si>
    <t>eoinmcfadden
The National Archives are looking
for a Data Engineer. It's one of
the most interesting places to
work in the public sector and beyond
(and you will probably work for
the Jedi Knight of Legislation
Data, @johnlsheridan) #opendata
#ddj #opengov https://t.co/vMOe8dmvSW</t>
  </si>
  <si>
    <t>jasonbelldata
The National Archives are looking
for a Data Engineer. It's one of
the most interesting places to
work in the public sector and beyond
(and you will probably work for
the Jedi Knight of Legislation
Data, @johnlsheridan) #opendata
#ddj #opengov https://t.co/vMOe8dmvSW</t>
  </si>
  <si>
    <t>mortlin
Another Monday, another issue of
my #data newsletter is ready to
reach your inboxes tomorrow at
lunchtime. Subscribe at https://t.co/1DSNfMTKQA
#ddj #opendata #dataviz https://t.co/cCpwnPSCM4</t>
  </si>
  <si>
    <t>cariannewhit
The National Archives are looking
for a Data Engineer. It's one of
the most interesting places to
work in the public sector and beyond
(and you will probably work for
the Jedi Knight of Legislation
Data, @johnlsheridan) #opendata
#ddj #opengov https://t.co/vMOe8dmvSW</t>
  </si>
  <si>
    <t>meandvan
The National Archives are looking
for a Data Engineer. It's one of
the most interesting places to
work in the public sector and beyond
(and you will probably work for
the Jedi Knight of Legislation
Data, @johnlsheridan) #opendata
#ddj #opengov https://t.co/vMOe8dmvSW</t>
  </si>
  <si>
    <t>timbrooks100
The National Archives are looking
for a Data Engineer. It's one of
the most interesting places to
work in the public sector and beyond
(and you will probably work for
the Jedi Knight of Legislation
Data, @johnlsheridan) #opendata
#ddj #opengov https://t.co/vMOe8dmvSW</t>
  </si>
  <si>
    <t>frankhannigan5
Water security: Saving the Nile.
Analysing the impact large dams
have on the world's most famous
river #dataviz #ddj @AJLabs @AJEnglish
https://t.co/QwEAxmnTwx</t>
  </si>
  <si>
    <t>watty62
Another Monday, another issue of
my #data newsletter is ready to
reach your inboxes tomorrow at
lunchtime. Subscribe at https://t.co/1DSNfMTKQA
#ddj #opendata #dataviz https://t.co/cCpwnPSCM4</t>
  </si>
  <si>
    <t>lms_geography
Water security: Saving the Nile.
Analysing the impact large dams
have on the world's most famous
river #dataviz #ddj @AJLabs @AJEnglish
https://t.co/QwEAxmnTwx</t>
  </si>
  <si>
    <t>chsiceland18
Water security: Saving the Nile.
Analysing the impact large dams
have on the world's most famous
river #dataviz #ddj @AJLabs @AJEnglish
https://t.co/QwEAxmnTwx</t>
  </si>
  <si>
    <t>barbalhofernand
É amanhã, gente! _xD83D__xDC9B_ #ddj #opendata
https://t.co/d42kcWaXz4</t>
  </si>
  <si>
    <t>marilia_gehrke
É amanhã, gente! _xD83D__xDC9B_ #ddj #opendata
https://t.co/d42kcWaXz4</t>
  </si>
  <si>
    <t>holgerhke
The National Archives are looking
for a Data Engineer. It's one of
the most interesting places to
work in the public sector and beyond
(and you will probably work for
the Jedi Knight of Legislation
Data, @johnlsheridan) #opendata
#ddj #opengov https://t.co/vMOe8dmvSW</t>
  </si>
  <si>
    <t>garyshort
The National Archives are looking
for a Data Engineer. It's one of
the most interesting places to
work in the public sector and beyond
(and you will probably work for
the Jedi Knight of Legislation
Data, @johnlsheridan) #opendata
#ddj #opengov https://t.co/vMOe8dmvSW</t>
  </si>
  <si>
    <t>khalidpress7
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</si>
  <si>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bareftdoctor
Water security: Saving the Nile.
Analysing the impact large dams
have on the world's most famous
river #dataviz #ddj @AJLabs @AJEnglish
https://t.co/QwEAxmnTwx</t>
  </si>
  <si>
    <t>geo_sjfdewsbury
Water security: Saving the Nile.
Analysing the impact large dams
have on the world's most famous
river #dataviz #ddj @AJLabs @AJEnglish
https://t.co/QwEAxmnTwx</t>
  </si>
  <si>
    <t>ekoner
The National Archives are looking
for a Data Engineer. It's one of
the most interesting places to
work in the public sector and beyond
(and you will probably work for
the Jedi Knight of Legislation
Data, @johnlsheridan) #opendata
#ddj #opengov https://t.co/vMOe8dmvSW</t>
  </si>
  <si>
    <t>djschoolhouten
Leren draaien op een #pioneerdj
#nexus2 #djset ? Kom alle ins en
outs ontdekken bij @djschoolmiddennederland
_xD83C__xDFA7_ #cdj2000nxs2 #cdj2000nexus #xdj1000
#djm900nxs2 #mobiledj #djlife #mobiledjlife
#ddj #dj #tracks #music #djschool
#djschoolmiddennederland… https://t.co/DD0JRur3VA
https://t.co/kIeoCpPRKI</t>
  </si>
  <si>
    <t>djment0rs
Will #pioneerdj Always Be the Industry
Standard? . #marketleader #dj #djm
#cdj #xdj #beautifultechnology
#ddj #cdj1000 https://t.co/YS0d5GQhUq</t>
  </si>
  <si>
    <t>d_jyldyz
The National Archives are looking
for a Data Engineer. It's one of
the most interesting places to
work in the public sector and beyond
(and you will probably work for
the Jedi Knight of Legislation
Data, @johnlsheridan) #opendata
#ddj #opengov https://t.co/vMOe8dmvSW</t>
  </si>
  <si>
    <t>lauranavarrosol
Data to bring to light black american
achievements, to pay tribute to
#BlackLivesMatter and to keep with
#TidyTuesday. Code: https://t.co/lQjtmcU5md
#rstats #ggplot2 #ddj #dataviz
https://t.co/P31C2XV2ld</t>
  </si>
  <si>
    <t>adircinho
Data to bring to light black american
achievements, to pay tribute to
#BlackLivesMatter and to keep with
#TidyTuesday. Code: https://t.co/lQjtmcU5md
#rstats #ggplot2 #ddj #dataviz
https://t.co/P31C2XV2ld</t>
  </si>
  <si>
    <t>aprilarchivist
The National Archives are looking
for a Data Engineer. It's one of
the most interesting places to
work in the public sector and beyond
(and you will probably work for
the Jedi Knight of Legislation
Data, @johnlsheridan) #opendata
#ddj #opengov https://t.co/vMOe8dmvSW</t>
  </si>
  <si>
    <t>timgollins
The National Archives are looking
for a Data Engineer. It's one of
the most interesting places to
work in the public sector and beyond
(and you will probably work for
the Jedi Knight of Legislation
Data, @johnlsheridan) #opendata
#ddj #opengov https://t.co/vMOe8dmvSW</t>
  </si>
  <si>
    <t>dtiiqii
Saving the Nile. Analysing the
impact large dams have on the world's
most famous river #dataviz #ddj
@AJLabs @AJEnglish https://t.co/6KonZ5CaRc</t>
  </si>
  <si>
    <t>ashiquebiniqbal
_xD83D__xDCE3_ Sign up today for our latest
FREE online on #equity and #ethics
in data journalism with instructor
Heather Krause (@datassist). Learn
how to avoid inequity and hidden
bias into your storytelling. #ddj
https://t.co/VSoFcqeFa6 https://t.co/lkqSnrOwQI</t>
  </si>
  <si>
    <t>ellenychang
_xD83D__xDCE3_ Sign up today for our latest
FREE online on #equity and #ethics
in data journalism with instructor
Heather Krause (@datassist). Learn
how to avoid inequity and hidden
bias into your storytelling. #ddj
https://t.co/VSoFcqeFa6 https://t.co/lkqSnrOwQI</t>
  </si>
  <si>
    <t>daudpasaney
_xD83D__xDCE3_ Sign up today for our latest
FREE online on #equity and #ethics
in data journalism with instructor
Heather Krause (@datassist). Learn
how to avoid inequity and hidden
bias into your storytelling. #ddj
https://t.co/VSoFcqeFa6 https://t.co/lkqSnrOwQI</t>
  </si>
  <si>
    <t>juanainesjjj
_xD83D__xDCE3_ Sign up today for our latest
FREE online on #equity and #ethics
in data journalism with instructor
Heather Krause (@datassist). Learn
how to avoid inequity and hidden
bias into your storytelling. #ddj
https://t.co/VSoFcqeFa6 https://t.co/lkqSnrOwQI</t>
  </si>
  <si>
    <t>nellylaoni
_xD83D__xDCE3_ Sign up today for our latest
FREE online on #equity and #ethics
in data journalism with instructor
Heather Krause (@datassist). Learn
how to avoid inequity and hidden
bias into your storytelling. #ddj
https://t.co/VSoFcqeFa6 https://t.co/lkqSnrOwQI</t>
  </si>
  <si>
    <t>datosundav
"El periodismo de datos ofrece
posibilidades infinitas": https://t.co/rMnp1iCAAt
Entrevista de Gonzalo Spano a @joseluishuacles,
de @lacajadatera #ddj</t>
  </si>
  <si>
    <t>lacajadatera
"El periodismo de datos ofrece
posibilidades infinitas": https://t.co/rMnp1iCAAt
Entrevista de Gonzalo Spano a @joseluishuacles,
de @lacajadatera #ddj</t>
  </si>
  <si>
    <t xml:space="preserve">joseluishuacles
</t>
  </si>
  <si>
    <t>rocioromerox
"El periodismo de datos ofrece
posibilidades infinitas": https://t.co/rMnp1iCAAt
Entrevista de Gonzalo Spano a @joseluishuacles,
de @lacajadatera #ddj</t>
  </si>
  <si>
    <t>jaishri21
_xD83D__xDCE3_ Sign up today for our latest
FREE online on #equity and #ethics
in data journalism with instructor
Heather Krause (@datassist). Learn
how to avoid inequity and hidden
bias into your storytelling. #ddj
https://t.co/VSoFcqeFa6 https://t.co/lkqSnrOwQI</t>
  </si>
  <si>
    <t>grasiel_grasel
_xD83D__xDCE3_ Sign up today for our latest
FREE online on #equity and #ethics
in data journalism with instructor
Heather Krause (@datassist). Learn
how to avoid inequity and hidden
bias into your storytelling. #ddj
https://t.co/VSoFcqeFa6 https://t.co/lkqSnrOwQI</t>
  </si>
  <si>
    <t>jornalismodados
Dou RT em #ddj RT @sobrejornalismo:
olha que oportunidade ... #jornalismodedados
#jornalismo via @_fiquemsabendo
Aula sobre Cobertura do Covid 19
atra… https://t.co/hO3l1DdCc0</t>
  </si>
  <si>
    <t xml:space="preserve">folha
</t>
  </si>
  <si>
    <t xml:space="preserve">eupilo
</t>
  </si>
  <si>
    <t xml:space="preserve">chowraivoso
</t>
  </si>
  <si>
    <t xml:space="preserve">nunonunes_
</t>
  </si>
  <si>
    <t xml:space="preserve">rubenlmartins
</t>
  </si>
  <si>
    <t xml:space="preserve">franciscopires9
</t>
  </si>
  <si>
    <t xml:space="preserve">dmconstantino
</t>
  </si>
  <si>
    <t xml:space="preserve">tcuoficial
</t>
  </si>
  <si>
    <t xml:space="preserve">veramagalhaes
</t>
  </si>
  <si>
    <t xml:space="preserve">brright3
</t>
  </si>
  <si>
    <t xml:space="preserve">tassojereissati
</t>
  </si>
  <si>
    <t xml:space="preserve">guikudo
</t>
  </si>
  <si>
    <t xml:space="preserve">rodrigomenegat
</t>
  </si>
  <si>
    <t xml:space="preserve">camillatavares
</t>
  </si>
  <si>
    <t xml:space="preserve">lucasreino
</t>
  </si>
  <si>
    <t xml:space="preserve">anieleam
</t>
  </si>
  <si>
    <t xml:space="preserve">biarcosstaa
</t>
  </si>
  <si>
    <t xml:space="preserve">pzaj_
</t>
  </si>
  <si>
    <t xml:space="preserve">_sofialeao
</t>
  </si>
  <si>
    <t xml:space="preserve">venturimdaniel
</t>
  </si>
  <si>
    <t xml:space="preserve">yvesvieiraa
</t>
  </si>
  <si>
    <t xml:space="preserve">piedromarinho
</t>
  </si>
  <si>
    <t xml:space="preserve">eumesmacaroline
</t>
  </si>
  <si>
    <t xml:space="preserve">darazimermann
</t>
  </si>
  <si>
    <t xml:space="preserve">antena1rio
</t>
  </si>
  <si>
    <t xml:space="preserve">leofn3
</t>
  </si>
  <si>
    <t xml:space="preserve">grqm
</t>
  </si>
  <si>
    <t xml:space="preserve">elisarabelo1
</t>
  </si>
  <si>
    <t xml:space="preserve">isabellaguasti_
</t>
  </si>
  <si>
    <t xml:space="preserve">meyreromanha
</t>
  </si>
  <si>
    <t xml:space="preserve">camillemoura
</t>
  </si>
  <si>
    <t>morenocris
É amanhã, gente! _xD83D__xDC9B_ #ddj #opendata
https://t.co/d42kcWaXz4</t>
  </si>
  <si>
    <t xml:space="preserve">okfnbr
</t>
  </si>
  <si>
    <t xml:space="preserve">escoladedados
</t>
  </si>
  <si>
    <t xml:space="preserve">_fiquemsabendo
</t>
  </si>
  <si>
    <t xml:space="preserve">pedaladas
</t>
  </si>
  <si>
    <t xml:space="preserve">vinimiguel3
</t>
  </si>
  <si>
    <t xml:space="preserve">patocorporation
</t>
  </si>
  <si>
    <t xml:space="preserve">pandolpho2
</t>
  </si>
  <si>
    <t xml:space="preserve">spotniks
</t>
  </si>
  <si>
    <t xml:space="preserve">lucas_dourado96
</t>
  </si>
  <si>
    <t xml:space="preserve">rodolfoezsilva
</t>
  </si>
  <si>
    <t xml:space="preserve">xxxtela
</t>
  </si>
  <si>
    <t xml:space="preserve">flaviorocha1
</t>
  </si>
  <si>
    <t xml:space="preserve">sobrejornalismo
</t>
  </si>
  <si>
    <t>paulmenam
_xD83D__xDCE3_ Sign up today for our latest
FREE online on #equity and #ethics
in data journalism with instructor
Heather Krause (@datassist). Learn
how to avoid inequity and hidden
bias into your storytelling. #ddj
https://t.co/VSoFcqeFa6 https://t.co/lkqSnrOwQI</t>
  </si>
  <si>
    <t>jishnuen
_xD83D__xDCE3_ Sign up today for our latest
FREE online on #equity and #ethics
in data journalism with instructor
Heather Krause (@datassist). Learn
how to avoid inequity and hidden
bias into your storytelling. #ddj
https://t.co/VSoFcqeFa6 https://t.co/lkqSnrOwQI</t>
  </si>
  <si>
    <t>lilliefears
_xD83D__xDCE3_ Sign up today for our latest
FREE online on #equity and #ethics
in data journalism with instructor
Heather Krause (@datassist). Learn
how to avoid inequity and hidden
bias into your storytelling. #ddj
https://t.co/VSoFcqeFa6 https://t.co/lkqSnrOwQI</t>
  </si>
  <si>
    <t>fabtresor
_xD83D__xDCE3_ Sign up today for our latest
FREE online on #equity and #ethics
in data journalism with instructor
Heather Krause (@datassist). Learn
how to avoid inequity and hidden
bias into your storytelling. #ddj
https://t.co/VSoFcqeFa6 https://t.co/lkqSnrOwQI</t>
  </si>
  <si>
    <t>downlandsgeog
Saving the Nile. Analysing the
impact large dams have on the world's
most famous river #dataviz #ddj
@AJLabs @AJEnglish https://t.co/SBhWbhiSOz</t>
  </si>
  <si>
    <t>colinnwalker
Water security: Saving the Nile.
Analysing the impact large dams
have on the world's most famous
river #dataviz #ddj @AJLabs @AJEnglish
https://t.co/QwEAxmnTwx</t>
  </si>
  <si>
    <t>able2extract
Yes, there're so many #ddj tools
out there. That's why we've created
a special selection for you. Register
on our website to get access to
#free or heavily discounted #datajournalism
tools. @1Password @mailbrew @easel_ly
@able2extract are just some of
them!https://t.co/AD3ciF3Wkk https://t.co/xj5Z0GXi3a</t>
  </si>
  <si>
    <t>easel_ly
Yes, there're so many #ddj tools
out there. That's why we've created
a special selection for you. Register
on our website to get access to
#free or heavily discounted #datajournalism
tools. @1Password @mailbrew @easel_ly
@able2extract are just some of
them!https://t.co/AD3ciF3Wkk https://t.co/xj5Z0GXi3a</t>
  </si>
  <si>
    <t xml:space="preserve">mailbrew
</t>
  </si>
  <si>
    <t xml:space="preserve">1password
</t>
  </si>
  <si>
    <t>ohmyshambles
_xD83C__xDF99_Listen to our interview with
Prof. Denise Lievesley to learn
about the parallels between #datajournalism
and #statistics &amp;amp; how each
discipline can enrich each other:
https://t.co/POxkC059Mk #podcasts
#ddj https://t.co/IIPVA48SXb</t>
  </si>
  <si>
    <t>margymaclibrary
_xD83C__xDF99_Listen to our interview with
Prof. Denise Lievesley to learn
about the parallels between #datajournalism
and #statistics &amp;amp; how each
discipline can enrich each other:
https://t.co/POxkC059Mk #podcasts
#ddj https://t.co/IIPVA48SXb</t>
  </si>
  <si>
    <t>boerenilse
Een kurkdroog voorjaar, regen op
de foute momenten, en met dit weer
ziet het er niet bepaald goed uit
voor het water in ons land. Het
hele droogteprobleem uitgelegd
door @tijd #ddj -&amp;gt; https://t.co/LmopyyJCyg
https://t.co/Tr1RjuZ5Tc</t>
  </si>
  <si>
    <t>elchinsoul
#dj #beats #djcontroller #midicontroller
#djing #djinglife#djsoftware #mixing
#traktordj #traktorpro #traktor3#
#pioneerdj #djlife #djgear #djequipment
#nativeinstruments #ddj #liveset…
https://t.co/EsKws32Q5X</t>
  </si>
  <si>
    <t>alileo84
_xD83D__xDCE3_ Sign up today for our latest
FREE online on #equity and #ethics
in data journalism with instructor
Heather Krause (@datassist). Learn
how to avoid inequity and hidden
bias into your storytelling. #ddj
https://t.co/VSoFcqeFa6 https://t.co/lkqSnrOwQI</t>
  </si>
  <si>
    <t>billgia
_xD83C__xDF99_Listen to our interview with
Prof. Denise Lievesley to learn
about the parallels between #datajournalism
and #statistics &amp;amp; how each
discipline can enrich each other:
https://t.co/POxkC059Mk #podcasts
#ddj https://t.co/IIPVA48SXb</t>
  </si>
  <si>
    <t>elenavardon
_xD83D__xDCE3_ Sign up today for our latest
FREE online on #equity and #ethics
in data journalism with instructor
Heather Krause (@datassist). Learn
how to avoid inequity and hidden
bias into your storytelling. #ddj
https://t.co/VSoFcqeFa6 https://t.co/lkqSnrOwQI</t>
  </si>
  <si>
    <t>kendimalibot
"There are several alternative
sources of energy - but there is
only one Nile." Saving the Nile.
Analysing the impact large dams
have on the world's most famous
river #dataviz #ddj @AJLabs @AJEnglish
@essamheggy @haddadme https://t.co/oy7r69vUnS</t>
  </si>
  <si>
    <t xml:space="preserve">haddadme
</t>
  </si>
  <si>
    <t xml:space="preserve">essamheggy
</t>
  </si>
  <si>
    <t>dwatchnews
_xD83C__xDF99_Listen to our interview with
Prof. Denise Lievesley to learn
about the parallels between #datajournalism
and #statistics &amp;amp; how each
discipline can enrich each other:
https://t.co/POxkC059Mk #podcasts
#ddj https://t.co/IIPVA48SXb</t>
  </si>
  <si>
    <t>omaakatugba
_xD83D__xDCE3_ Sign up today for our latest
FREE online on #equity and #ethics
in data journalism with instructor
Heather Krause (@datassist). Learn
how to avoid inequity and hidden
bias into your storytelling. #ddj
https://t.co/VSoFcqeFa6 https://t.co/lkqSnrOwQI</t>
  </si>
  <si>
    <t>tmbriceno
_xD83D__xDCE3_ Sign up today for our latest
FREE online on #equity and #ethics
in data journalism with instructor
Heather Krause (@datassist). Learn
how to avoid inequity and hidden
bias into your storytelling. #ddj
https://t.co/VSoFcqeFa6 https://t.co/lkqSnrOwQI</t>
  </si>
  <si>
    <t>ignasialcalde
Massive and comprehensive #dataViz
#infographics #ddj https://t.co/a1WiwSUBt3</t>
  </si>
  <si>
    <t>bartongeography
Water security: Saving the Nile.
Analysing the impact large dams
have on the world's most famous
river #dataviz #ddj @AJLabs @AJEnglish
https://t.co/QwEAxmnTwx</t>
  </si>
  <si>
    <t>asashaelizabeth
_xD83D__xDCE3_ Sign up today for our latest
FREE online on #equity and #ethics
in data journalism with instructor
Heather Krause (@datassist). Learn
how to avoid inequity and hidden
bias into your storytelling. #ddj
https://t.co/VSoFcqeFa6 https://t.co/lkqSnrOwQI</t>
  </si>
  <si>
    <t>mrs_geog
Water security: Saving the Nile.
Analysing the impact large dams
have on the world's most famous
river #dataviz #ddj @AJLabs @AJEnglish
https://t.co/QwEAxmnTwx</t>
  </si>
  <si>
    <t>c_aguilargarcia
Because the best ‘#data stories’
are not obvious &amp;amp; editors of
data investigations must ask even
more questions than usual, we published
this guidance for #datajournalists
and their editors. Written by @maudbeelman
and @j_la28 https://t.co/XUxQewEz4V
#ddj #datajournalism https://t.co/kV5clBZqZ7</t>
  </si>
  <si>
    <t>margueritesall4
_xD83D__xDCE3_ Sign up today for our latest
FREE online on #equity and #ethics
in data journalism with instructor
Heather Krause (@datassist). Learn
how to avoid inequity and hidden
bias into your storytelling. #ddj
https://t.co/VSoFcqeFa6 https://t.co/lkqSnrOwQI</t>
  </si>
  <si>
    <t>gijnfr
Pour retrouver le top 10 des liens
de data journalisme de la semaine
c'est par ici -----&amp;gt; https://t.co/t5VazsrGdN
#ddj https://t.co/nqHrElPH2q</t>
  </si>
  <si>
    <t xml:space="preserve">yannguegan
</t>
  </si>
  <si>
    <t>yerimzwxrhjsky
Pour retrouver le top 10 des liens
de data journalisme de la semaine
c'est par ici -----&amp;gt; https://t.co/t5VazsrGdN
#ddj https://t.co/nqHrElPH2q</t>
  </si>
  <si>
    <t>bsp_sscgeo
Water security: Saving the Nile.
Analysing the impact large dams
have on the world's most famous
river #dataviz #ddj @AJLabs @AJEnglish
https://t.co/QwEAxmnTwx</t>
  </si>
  <si>
    <t>umarhassan96
These three words "Don't give up"
ring true to any journo who wants
to work in the industry, particularly
if you're Black, Asian or disabled.
Apart from the odd one or two I
know that work in #ddj, there's
still work to do in those areas.
Great piece from @TVMarv for @BJTC_UK.
https://t.co/QAdBSzMYti</t>
  </si>
  <si>
    <t xml:space="preserve">bjtc_uk
</t>
  </si>
  <si>
    <t>tvmarv
These three words "Don't give up"
ring true to any journo who wants
to work in the industry, particularly
if you're Black, Asian or disabled.
Apart from the odd one or two I
know that work in #ddj, there's
still work to do in those areas.
Great piece from @TVMarv for @BJTC_UK.
https://t.co/QAdBSzMYti</t>
  </si>
  <si>
    <t>valboy7
Water security: Saving the Nile.
Analysing the impact large dams
have on the world's most famous
river #dataviz #ddj @AJLabs @AJEnglish
https://t.co/QwEAxmnTwx</t>
  </si>
  <si>
    <t>ephemerist08
_xD83D__xDCE3_ Sign up today for our latest
FREE online on #equity and #ethics
in data journalism with instructor
Heather Krause (@datassist). Learn
how to avoid inequity and hidden
bias into your storytelling. #ddj
https://t.co/VSoFcqeFa6 https://t.co/lkqSnrOwQI</t>
  </si>
  <si>
    <t>na7al13
CAR-Journalism rocks! #ddj https://t.co/mKMBMtamxp</t>
  </si>
  <si>
    <t>berlindigital
Noch nie wurde in #Deutschland
so viel #Kurzarbeit angemeldet
wie in der #Coronakrise. Auch die
Arbeitslosenzahlen steigen. Das
trifft vor allem weniger Privilegierte.
Die Folgen der Krise für den #Arbeitsmarkt
in Zahlen: ➡️https://t.co/RvWCyicp5Z
@Tagesspiegel #coronavirus #ddj
https://t.co/QrQ746kOhM</t>
  </si>
  <si>
    <t>datavislisboa
Massive and comprehensive #dataViz
#infographics #ddj https://t.co/a1WiwSUBt3</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</si>
  <si>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</si>
  <si>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</si>
  <si>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</si>
  <si>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</si>
  <si>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</si>
  <si>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</si>
  <si>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</si>
  <si>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</si>
  <si>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</si>
  <si>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</si>
  <si>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</si>
  <si>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</si>
  <si>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</si>
  <si>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</si>
  <si>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</si>
  <si>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</si>
  <si>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</si>
  <si>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</si>
  <si>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</si>
  <si>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</si>
  <si>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</si>
  <si>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</si>
  <si>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</si>
  <si>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</si>
  <si>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</si>
  <si>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</si>
  <si>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</si>
  <si>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</si>
  <si>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</si>
  <si>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</si>
  <si>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</si>
  <si>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</si>
  <si>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</si>
  <si>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</si>
  <si>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</si>
  <si>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</si>
  <si>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</si>
  <si>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</si>
  <si>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</si>
  <si>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</si>
  <si>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</si>
  <si>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</si>
  <si>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</si>
  <si>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</si>
  <si>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</si>
  <si>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#ddj</t>
  </si>
  <si>
    <t>work</t>
  </si>
  <si>
    <t>em</t>
  </si>
  <si>
    <t>dou</t>
  </si>
  <si>
    <t>#dataviz</t>
  </si>
  <si>
    <t>one</t>
  </si>
  <si>
    <t>#opendata</t>
  </si>
  <si>
    <t>national</t>
  </si>
  <si>
    <t>archives</t>
  </si>
  <si>
    <t>looking</t>
  </si>
  <si>
    <t>engineer</t>
  </si>
  <si>
    <t>interesting</t>
  </si>
  <si>
    <t>places</t>
  </si>
  <si>
    <t>public</t>
  </si>
  <si>
    <t>sector</t>
  </si>
  <si>
    <t>beyond</t>
  </si>
  <si>
    <t>probably</t>
  </si>
  <si>
    <t>jedi</t>
  </si>
  <si>
    <t>knight</t>
  </si>
  <si>
    <t>legislation</t>
  </si>
  <si>
    <t>#opengov</t>
  </si>
  <si>
    <t>dados</t>
  </si>
  <si>
    <t>#datajournalism</t>
  </si>
  <si>
    <t>learn</t>
  </si>
  <si>
    <t>uma</t>
  </si>
  <si>
    <t>#data</t>
  </si>
  <si>
    <t>online</t>
  </si>
  <si>
    <t>jornalismo</t>
  </si>
  <si>
    <t>nile</t>
  </si>
  <si>
    <t>saving</t>
  </si>
  <si>
    <t>analysing</t>
  </si>
  <si>
    <t>impact</t>
  </si>
  <si>
    <t>large</t>
  </si>
  <si>
    <t>dams</t>
  </si>
  <si>
    <t>world's</t>
  </si>
  <si>
    <t>famous</t>
  </si>
  <si>
    <t>river</t>
  </si>
  <si>
    <t>journalism</t>
  </si>
  <si>
    <t>sign</t>
  </si>
  <si>
    <t>today</t>
  </si>
  <si>
    <t>latest</t>
  </si>
  <si>
    <t>free</t>
  </si>
  <si>
    <t>#equity</t>
  </si>
  <si>
    <t>#ethics</t>
  </si>
  <si>
    <t>instructor</t>
  </si>
  <si>
    <t>heather</t>
  </si>
  <si>
    <t>krause</t>
  </si>
  <si>
    <t>avoid</t>
  </si>
  <si>
    <t>inequity</t>
  </si>
  <si>
    <t>hidden</t>
  </si>
  <si>
    <t>bias</t>
  </si>
  <si>
    <t>storytelling</t>
  </si>
  <si>
    <t>#nodejs</t>
  </si>
  <si>
    <t>meio</t>
  </si>
  <si>
    <t>são</t>
  </si>
  <si>
    <t>water</t>
  </si>
  <si>
    <t>num</t>
  </si>
  <si>
    <t>onde</t>
  </si>
  <si>
    <t>omitidos</t>
  </si>
  <si>
    <t>crise</t>
  </si>
  <si>
    <t>#infographics</t>
  </si>
  <si>
    <t>editors</t>
  </si>
  <si>
    <t>security</t>
  </si>
  <si>
    <t>many</t>
  </si>
  <si>
    <t>saúde</t>
  </si>
  <si>
    <t>aula</t>
  </si>
  <si>
    <t>amanhã</t>
  </si>
  <si>
    <t>gt</t>
  </si>
  <si>
    <t>more</t>
  </si>
  <si>
    <t>each</t>
  </si>
  <si>
    <t>crucial</t>
  </si>
  <si>
    <t>stories</t>
  </si>
  <si>
    <t>published</t>
  </si>
  <si>
    <t>pensar</t>
  </si>
  <si>
    <t>papel</t>
  </si>
  <si>
    <t>profissional</t>
  </si>
  <si>
    <t>#e2d3</t>
  </si>
  <si>
    <t>#excel</t>
  </si>
  <si>
    <t>add</t>
  </si>
  <si>
    <t>excel</t>
  </si>
  <si>
    <t>#d3js</t>
  </si>
  <si>
    <t>#github</t>
  </si>
  <si>
    <t>#datavizualization</t>
  </si>
  <si>
    <t>#javascript</t>
  </si>
  <si>
    <t>#json</t>
  </si>
  <si>
    <t>#startup</t>
  </si>
  <si>
    <t>#map</t>
  </si>
  <si>
    <t>#datascience</t>
  </si>
  <si>
    <t>#datascraping</t>
  </si>
  <si>
    <t>#js</t>
  </si>
  <si>
    <t>#opensource</t>
  </si>
  <si>
    <t>#oss</t>
  </si>
  <si>
    <t>#gis</t>
  </si>
  <si>
    <t>#microsoft</t>
  </si>
  <si>
    <t>#vuejs</t>
  </si>
  <si>
    <t>#html5</t>
  </si>
  <si>
    <t>#tech</t>
  </si>
  <si>
    <t>#edtech</t>
  </si>
  <si>
    <t>#visualization</t>
  </si>
  <si>
    <t>die</t>
  </si>
  <si>
    <t>co</t>
  </si>
  <si>
    <t>great</t>
  </si>
  <si>
    <t>membro</t>
  </si>
  <si>
    <t>embaixadora</t>
  </si>
  <si>
    <t>vai</t>
  </si>
  <si>
    <t>dar</t>
  </si>
  <si>
    <t>another</t>
  </si>
  <si>
    <t>pm</t>
  </si>
  <si>
    <t>best</t>
  </si>
  <si>
    <t>obvious</t>
  </si>
  <si>
    <t>investigations</t>
  </si>
  <si>
    <t>ask</t>
  </si>
  <si>
    <t>questions</t>
  </si>
  <si>
    <t>usual</t>
  </si>
  <si>
    <t>guidance</t>
  </si>
  <si>
    <t>#datajournalists</t>
  </si>
  <si>
    <t>written</t>
  </si>
  <si>
    <t>prof</t>
  </si>
  <si>
    <t>dado</t>
  </si>
  <si>
    <t>journalisme</t>
  </si>
  <si>
    <t>massive</t>
  </si>
  <si>
    <t>comprehensive</t>
  </si>
  <si>
    <t>tools</t>
  </si>
  <si>
    <t>personal</t>
  </si>
  <si>
    <t>news</t>
  </si>
  <si>
    <t>alert</t>
  </si>
  <si>
    <t>next</t>
  </si>
  <si>
    <t>week</t>
  </si>
  <si>
    <t>starting</t>
  </si>
  <si>
    <t>job</t>
  </si>
  <si>
    <t>projects</t>
  </si>
  <si>
    <t>editor</t>
  </si>
  <si>
    <t>media's</t>
  </si>
  <si>
    <t>team</t>
  </si>
  <si>
    <t>sad</t>
  </si>
  <si>
    <t>leave</t>
  </si>
  <si>
    <t>colleagues</t>
  </si>
  <si>
    <t>excited</t>
  </si>
  <si>
    <t>come</t>
  </si>
  <si>
    <t>listen</t>
  </si>
  <si>
    <t>interview</t>
  </si>
  <si>
    <t>denise</t>
  </si>
  <si>
    <t>lievesley</t>
  </si>
  <si>
    <t>parallels</t>
  </si>
  <si>
    <t>between</t>
  </si>
  <si>
    <t>#statistics</t>
  </si>
  <si>
    <t>discipline</t>
  </si>
  <si>
    <t>enrich</t>
  </si>
  <si>
    <t>#podcasts</t>
  </si>
  <si>
    <t>#pioneerdj</t>
  </si>
  <si>
    <t>2020</t>
  </si>
  <si>
    <t>nie</t>
  </si>
  <si>
    <t>#deutschland</t>
  </si>
  <si>
    <t>viel</t>
  </si>
  <si>
    <t>#kurzarbeit</t>
  </si>
  <si>
    <t>angemeldet</t>
  </si>
  <si>
    <t>#coronakrise</t>
  </si>
  <si>
    <t>arbeitslosenzahlen</t>
  </si>
  <si>
    <t>steigen</t>
  </si>
  <si>
    <t>trifft</t>
  </si>
  <si>
    <t>allem</t>
  </si>
  <si>
    <t>weniger</t>
  </si>
  <si>
    <t>privilegierte</t>
  </si>
  <si>
    <t>folgen</t>
  </si>
  <si>
    <t>krise</t>
  </si>
  <si>
    <t>#arbeitsmarkt</t>
  </si>
  <si>
    <t>zahlen</t>
  </si>
  <si>
    <t>rvwcyicp5z</t>
  </si>
  <si>
    <t>#coronavirus</t>
  </si>
  <si>
    <t>black</t>
  </si>
  <si>
    <t>par</t>
  </si>
  <si>
    <t>techniques</t>
  </si>
  <si>
    <t>plus</t>
  </si>
  <si>
    <t>#dj</t>
  </si>
  <si>
    <t>#djlife</t>
  </si>
  <si>
    <t>kurkdroog</t>
  </si>
  <si>
    <t>voorjaar</t>
  </si>
  <si>
    <t>regen</t>
  </si>
  <si>
    <t>foute</t>
  </si>
  <si>
    <t>momenten</t>
  </si>
  <si>
    <t>met</t>
  </si>
  <si>
    <t>dit</t>
  </si>
  <si>
    <t>weer</t>
  </si>
  <si>
    <t>ziet</t>
  </si>
  <si>
    <t>niet</t>
  </si>
  <si>
    <t>bepaald</t>
  </si>
  <si>
    <t>goed</t>
  </si>
  <si>
    <t>uit</t>
  </si>
  <si>
    <t>ons</t>
  </si>
  <si>
    <t>land</t>
  </si>
  <si>
    <t>hele</t>
  </si>
  <si>
    <t>droogteprobleem</t>
  </si>
  <si>
    <t>uitgelegd</t>
  </si>
  <si>
    <t>door</t>
  </si>
  <si>
    <t>covid</t>
  </si>
  <si>
    <t>19</t>
  </si>
  <si>
    <t>coisa</t>
  </si>
  <si>
    <t>monday</t>
  </si>
  <si>
    <t>issue</t>
  </si>
  <si>
    <t>newsletter</t>
  </si>
  <si>
    <t>ready</t>
  </si>
  <si>
    <t>reach</t>
  </si>
  <si>
    <t>inboxes</t>
  </si>
  <si>
    <t>tomorrow</t>
  </si>
  <si>
    <t>lunchtime</t>
  </si>
  <si>
    <t>subscribe</t>
  </si>
  <si>
    <t>workshop</t>
  </si>
  <si>
    <t>scheduled</t>
  </si>
  <si>
    <t>designing</t>
  </si>
  <si>
    <t>visual</t>
  </si>
  <si>
    <t>narratives</t>
  </si>
  <si>
    <t>english</t>
  </si>
  <si>
    <t>thursday</t>
  </si>
  <si>
    <t>9th</t>
  </si>
  <si>
    <t>july</t>
  </si>
  <si>
    <t>30</t>
  </si>
  <si>
    <t>cet</t>
  </si>
  <si>
    <t>info</t>
  </si>
  <si>
    <t>#datavisualization</t>
  </si>
  <si>
    <t>#infographic</t>
  </si>
  <si>
    <t>industry</t>
  </si>
  <si>
    <t>#djcontroller</t>
  </si>
  <si>
    <t>#djequipment</t>
  </si>
  <si>
    <t>yes</t>
  </si>
  <si>
    <t>there're</t>
  </si>
  <si>
    <t>we've</t>
  </si>
  <si>
    <t>created</t>
  </si>
  <si>
    <t>special</t>
  </si>
  <si>
    <t>selection</t>
  </si>
  <si>
    <t>register</t>
  </si>
  <si>
    <t>website</t>
  </si>
  <si>
    <t>access</t>
  </si>
  <si>
    <t>#free</t>
  </si>
  <si>
    <t>heavily</t>
  </si>
  <si>
    <t>discounted</t>
  </si>
  <si>
    <t>ad3cif3wkk</t>
  </si>
  <si>
    <t>jornali</t>
  </si>
  <si>
    <t>semanário</t>
  </si>
  <si>
    <t>okbr</t>
  </si>
  <si>
    <t>edição</t>
  </si>
  <si>
    <t>#68</t>
  </si>
  <si>
    <t>depois</t>
  </si>
  <si>
    <t>apagão</t>
  </si>
  <si>
    <t>desafio</t>
  </si>
  <si>
    <t>aumentar</t>
  </si>
  <si>
    <t>qualidade</t>
  </si>
  <si>
    <t>gente</t>
  </si>
  <si>
    <t>tem</t>
  </si>
  <si>
    <t>música</t>
  </si>
  <si>
    <t>periodismo</t>
  </si>
  <si>
    <t>datos</t>
  </si>
  <si>
    <t>ofrece</t>
  </si>
  <si>
    <t>posibilidades</t>
  </si>
  <si>
    <t>infinitas</t>
  </si>
  <si>
    <t>entrevista</t>
  </si>
  <si>
    <t>gonzalo</t>
  </si>
  <si>
    <t>spano</t>
  </si>
  <si>
    <t>people</t>
  </si>
  <si>
    <t>died</t>
  </si>
  <si>
    <t>uk</t>
  </si>
  <si>
    <t>during</t>
  </si>
  <si>
    <t>pandemic</t>
  </si>
  <si>
    <t>#cijsummer</t>
  </si>
  <si>
    <t>speakers</t>
  </si>
  <si>
    <t>looked</t>
  </si>
  <si>
    <t>stats</t>
  </si>
  <si>
    <t>#covid19</t>
  </si>
  <si>
    <t>three</t>
  </si>
  <si>
    <t>words</t>
  </si>
  <si>
    <t>give</t>
  </si>
  <si>
    <t>ring</t>
  </si>
  <si>
    <t>true</t>
  </si>
  <si>
    <t>journo</t>
  </si>
  <si>
    <t>particularly</t>
  </si>
  <si>
    <t>asian</t>
  </si>
  <si>
    <t>disabled</t>
  </si>
  <si>
    <t>apart</t>
  </si>
  <si>
    <t>odd</t>
  </si>
  <si>
    <t>two</t>
  </si>
  <si>
    <t>know</t>
  </si>
  <si>
    <t>still</t>
  </si>
  <si>
    <t>those</t>
  </si>
  <si>
    <t>areas</t>
  </si>
  <si>
    <t>piece</t>
  </si>
  <si>
    <t>retrouver</t>
  </si>
  <si>
    <t>top</t>
  </si>
  <si>
    <t>10</t>
  </si>
  <si>
    <t>liens</t>
  </si>
  <si>
    <t>semaine</t>
  </si>
  <si>
    <t>c'est</t>
  </si>
  <si>
    <t>ici</t>
  </si>
  <si>
    <t>journaliste</t>
  </si>
  <si>
    <t>utilisé</t>
  </si>
  <si>
    <t>réaliser</t>
  </si>
  <si>
    <t>analyse</t>
  </si>
  <si>
    <t>linguistique</t>
  </si>
  <si>
    <t>médias</t>
  </si>
  <si>
    <t>français</t>
  </si>
  <si>
    <t>débusquer</t>
  </si>
  <si>
    <t>clichés</t>
  </si>
  <si>
    <t>utilisés</t>
  </si>
  <si>
    <t>journalistes</t>
  </si>
  <si>
    <t>leurs</t>
  </si>
  <si>
    <t>articles</t>
  </si>
  <si>
    <t>#affaireasuivre</t>
  </si>
  <si>
    <t>comment</t>
  </si>
  <si>
    <t>collecter</t>
  </si>
  <si>
    <t>données</t>
  </si>
  <si>
    <t>exclusives</t>
  </si>
  <si>
    <t>découvrez</t>
  </si>
  <si>
    <t>innovantes</t>
  </si>
  <si>
    <t>efficaces</t>
  </si>
  <si>
    <t>#beats</t>
  </si>
  <si>
    <t>#midicontroller</t>
  </si>
  <si>
    <t>#djing</t>
  </si>
  <si>
    <t>#djinglife#djsoftware</t>
  </si>
  <si>
    <t>#mixing</t>
  </si>
  <si>
    <t>#traktordj</t>
  </si>
  <si>
    <t>#traktorpro</t>
  </si>
  <si>
    <t>#traktor3#</t>
  </si>
  <si>
    <t>#djgear</t>
  </si>
  <si>
    <t>#nativeinstruments</t>
  </si>
  <si>
    <t>#liveset</t>
  </si>
  <si>
    <t>sem</t>
  </si>
  <si>
    <t>empresas</t>
  </si>
  <si>
    <t>saúd</t>
  </si>
  <si>
    <t>os</t>
  </si>
  <si>
    <t>hoje</t>
  </si>
  <si>
    <t>simcom</t>
  </si>
  <si>
    <t>ao</t>
  </si>
  <si>
    <t>vivo</t>
  </si>
  <si>
    <t>partir</t>
  </si>
  <si>
    <t>14h</t>
  </si>
  <si>
    <t>recebe</t>
  </si>
  <si>
    <t>marco</t>
  </si>
  <si>
    <t>preciso</t>
  </si>
  <si>
    <t>deixa</t>
  </si>
  <si>
    <t>feliz</t>
  </si>
  <si>
    <t>bring</t>
  </si>
  <si>
    <t>light</t>
  </si>
  <si>
    <t>american</t>
  </si>
  <si>
    <t>achievements</t>
  </si>
  <si>
    <t>pay</t>
  </si>
  <si>
    <t>tribute</t>
  </si>
  <si>
    <t>#blacklivesmatter</t>
  </si>
  <si>
    <t>keep</t>
  </si>
  <si>
    <t>#tidytuesday</t>
  </si>
  <si>
    <t>code</t>
  </si>
  <si>
    <t>#rstats</t>
  </si>
  <si>
    <t>#ggplot2</t>
  </si>
  <si>
    <t>abrimos</t>
  </si>
  <si>
    <t>chamada</t>
  </si>
  <si>
    <t>pra</t>
  </si>
  <si>
    <t>estágio</t>
  </si>
  <si>
    <t>design</t>
  </si>
  <si>
    <t>#estagio</t>
  </si>
  <si>
    <t>#design</t>
  </si>
  <si>
    <t>#graphicdesign</t>
  </si>
  <si>
    <t>#dados</t>
  </si>
  <si>
    <t>handset</t>
  </si>
  <si>
    <t>inspiring</t>
  </si>
  <si>
    <t>lessons</t>
  </si>
  <si>
    <t>anyone</t>
  </si>
  <si>
    <t>project</t>
  </si>
  <si>
    <t>never</t>
  </si>
  <si>
    <t>take</t>
  </si>
  <si>
    <t>anything</t>
  </si>
  <si>
    <t>granted</t>
  </si>
  <si>
    <t>good</t>
  </si>
  <si>
    <t>investigative</t>
  </si>
  <si>
    <t>story</t>
  </si>
  <si>
    <t>hide</t>
  </si>
  <si>
    <t>anywhere</t>
  </si>
  <si>
    <t>within</t>
  </si>
  <si>
    <t>ordinary</t>
  </si>
  <si>
    <t>spam</t>
  </si>
  <si>
    <t>email</t>
  </si>
  <si>
    <t>#wildeye</t>
  </si>
  <si>
    <t>investigation</t>
  </si>
  <si>
    <t>romania</t>
  </si>
  <si>
    <t>uses</t>
  </si>
  <si>
    <t>compare</t>
  </si>
  <si>
    <t>wildlife</t>
  </si>
  <si>
    <t>crime</t>
  </si>
  <si>
    <t>west</t>
  </si>
  <si>
    <t>east</t>
  </si>
  <si>
    <t>europe</t>
  </si>
  <si>
    <t>дата</t>
  </si>
  <si>
    <t>форматы</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</si>
  <si>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</si>
  <si>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</si>
  <si>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</si>
  <si>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</si>
  <si>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</si>
  <si>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</si>
  <si>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</si>
  <si>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</si>
  <si>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</si>
  <si>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</si>
  <si>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</si>
  <si>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</si>
  <si>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</si>
  <si>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</si>
  <si>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</si>
  <si>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</si>
  <si>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</si>
  <si>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</si>
  <si>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</si>
  <si>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</si>
  <si>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</si>
  <si>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</si>
  <si>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</si>
  <si>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</si>
  <si>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</si>
  <si>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</si>
  <si>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</si>
  <si>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</si>
  <si>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</si>
  <si>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</si>
  <si>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</si>
  <si>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</si>
  <si>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</si>
  <si>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</si>
  <si>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</si>
  <si>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</si>
  <si>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</si>
  <si>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</si>
  <si>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</si>
  <si>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</si>
  <si>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</si>
  <si>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</si>
  <si>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</si>
  <si>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</si>
  <si>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</si>
  <si>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</si>
  <si>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</si>
  <si>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</si>
  <si>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</si>
  <si>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</si>
  <si>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</si>
  <si>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</si>
  <si>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</si>
  <si>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</si>
  <si>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</si>
  <si>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</si>
  <si>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</si>
  <si>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</si>
  <si>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</si>
  <si>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</si>
  <si>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</si>
  <si>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</si>
  <si>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</si>
  <si>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</si>
  <si>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https://interactive.aljazeera.com/aje/2020/saving-the-nile/index.html</t>
  </si>
  <si>
    <t>https://ejerciciosdedatos.blogspot.com/2020/06/entrevista-jose-luis-huacles-unocc.html</t>
  </si>
  <si>
    <t>https://gijn.org/2020/06/11/data-journalism-top-10-black-lives-matter-protests-police-shootings-questions-on-covid-19-research-site-russian-orphans/</t>
  </si>
  <si>
    <t>https://twitter.com/_danielmariani/status/1274701756069556225</t>
  </si>
  <si>
    <t>https://twitter.com/_fiquemsabendo/status/1275156603893878784</t>
  </si>
  <si>
    <t>https://docs.google.com/document/d/14OZElNMTJyQult42sorX5bMkhGnxgTcAlRo9kKHYoqw/edit</t>
  </si>
  <si>
    <t>https://twitter.com/basole/status/1274853316758036481</t>
  </si>
  <si>
    <t>https://twitter.com/hatr/status/1275294646349041664</t>
  </si>
  <si>
    <t>https://twitter.com/BJTC_UK/status/1275335232539983872</t>
  </si>
  <si>
    <t>https://dansmonlabo.com/2020/06/01/jai-repris-la-chasse-aux-cliches-dans-les-medias-et-voila-ce-que-jai-appris-1969/</t>
  </si>
  <si>
    <t>Entire Graph Count</t>
  </si>
  <si>
    <t>Top URLs in Tweet in G1</t>
  </si>
  <si>
    <t>https://twitter.com/i/web/status/1275260122881802240</t>
  </si>
  <si>
    <t>https://twitter.com/i/web/status/1274865131990790146</t>
  </si>
  <si>
    <t>https://twitter.com/i/web/status/1274910369551724547</t>
  </si>
  <si>
    <t>https://twitter.com/i/web/status/1274925539954958337</t>
  </si>
  <si>
    <t>https://twitter.com/i/web/status/1275027326720450560</t>
  </si>
  <si>
    <t>https://twitter.com/i/web/status/1275054330006196226</t>
  </si>
  <si>
    <t>https://twitter.com/i/web/status/1275050043129692160</t>
  </si>
  <si>
    <t>https://twitter.com/i/web/status/1275067751967502336</t>
  </si>
  <si>
    <t>Top URLs in Tweet in G2</t>
  </si>
  <si>
    <t>G1 Count</t>
  </si>
  <si>
    <t>https://www.civilservicejobs.service.gov.uk/csr/jobs.cgi?jcode=1670513</t>
  </si>
  <si>
    <t>http://puntofisso.net/newsletter/</t>
  </si>
  <si>
    <t>Top URLs in Tweet in G3</t>
  </si>
  <si>
    <t>G2 Count</t>
  </si>
  <si>
    <t>Top URLs in Tweet in G4</t>
  </si>
  <si>
    <t>G3 Count</t>
  </si>
  <si>
    <t>https://knightcenter.utexas.edu/JC/DATA0620.html</t>
  </si>
  <si>
    <t>Top URLs in Tweet in G5</t>
  </si>
  <si>
    <t>G4 Count</t>
  </si>
  <si>
    <t>https://datajournalism.com/register</t>
  </si>
  <si>
    <t>https://pointer.kro-ncrv.nl/artikelen/het-verhaal-achter-een-identiteitsroof#lang=en</t>
  </si>
  <si>
    <t>https://datajournalism.com/listen</t>
  </si>
  <si>
    <t>https://datajournalism.com/read/longreads/data-journalism-a-guide-for-editors</t>
  </si>
  <si>
    <t>Top URLs in Tweet in G6</t>
  </si>
  <si>
    <t>G5 Count</t>
  </si>
  <si>
    <t>Top URLs in Tweet in G7</t>
  </si>
  <si>
    <t>G6 Count</t>
  </si>
  <si>
    <t>Top URLs in Tweet in G8</t>
  </si>
  <si>
    <t>G7 Count</t>
  </si>
  <si>
    <t>https://youtu.be/_tALUcBBeB0</t>
  </si>
  <si>
    <t>https://www.instagram.com/p/CBwMEuqFhG4/</t>
  </si>
  <si>
    <t>https://www.instagram.com/p/CBwTzp0BUki/?igshid=9gpbtba4lceq</t>
  </si>
  <si>
    <t>https://www.instagram.com/p/CBxFn7zJ1Vg/?igshid=17591pzd81ibu</t>
  </si>
  <si>
    <t>https://www.instagram.com/p/CBvuVmGp6wd/?igshid=1sknq4nindyf3</t>
  </si>
  <si>
    <t>Top URLs in Tweet in G9</t>
  </si>
  <si>
    <t>G8 Count</t>
  </si>
  <si>
    <t>Top URLs in Tweet in G10</t>
  </si>
  <si>
    <t>G9 Count</t>
  </si>
  <si>
    <t>https://interaktiv.tagesspiegel.de/lab/wie-die-coronakrise-den-arbeitsmarkt-getroffen-hat/</t>
  </si>
  <si>
    <t>G10 Count</t>
  </si>
  <si>
    <t>Top URLs in Tweet</t>
  </si>
  <si>
    <t>https://twitter.com/_danielmariani/status/1274701756069556225 https://twitter.com/_fiquemsabendo/status/1275156603893878784 https://twitter.com/i/web/status/1275260122881802240 https://twitter.com/i/web/status/1274865131990790146 https://twitter.com/i/web/status/1274910369551724547 https://twitter.com/i/web/status/1274925539954958337 https://twitter.com/i/web/status/1275027326720450560 https://twitter.com/i/web/status/1275054330006196226 https://twitter.com/i/web/status/1275050043129692160 https://twitter.com/i/web/status/1275067751967502336</t>
  </si>
  <si>
    <t>https://www.civilservicejobs.service.gov.uk/csr/jobs.cgi?jcode=1670513 http://puntofisso.net/newsletter/</t>
  </si>
  <si>
    <t>https://datajournalism.com/register https://pointer.kro-ncrv.nl/artikelen/het-verhaal-achter-een-identiteitsroof#lang=en https://datajournalism.com/listen https://datajournalism.com/read/longreads/data-journalism-a-guide-for-editors</t>
  </si>
  <si>
    <t>https://youtu.be/_tALUcBBeB0 https://www.instagram.com/p/CBwMEuqFhG4/ https://www.instagram.com/p/CBwTzp0BUki/?igshid=9gpbtba4lceq https://www.instagram.com/p/CBxFn7zJ1Vg/?igshid=17591pzd81ibu https://www.instagram.com/p/CBvuVmGp6wd/?igshid=1sknq4nindyf3 https://twitter.com/hatr/status/1275294646349041664</t>
  </si>
  <si>
    <t>https://www.tijd.be/ondernemen/milieu-energie/het-droogteprobleem-in-belgie-uitgelegd/10234318.html</t>
  </si>
  <si>
    <t>https://t.ly/Y31r</t>
  </si>
  <si>
    <t>https://www.theguardian.com/world/2020/jun/18/covid-19-excess-death-rates-more-than-twice-uk-average-for-19-english-councils</t>
  </si>
  <si>
    <t>https://twitter.com/daea_marius/status/1274998459075092486</t>
  </si>
  <si>
    <t>https://gijn.org/2020/06/11/data-journalism-top-10-black-lives-matter-protests-police-shootings-questions-on-covid-19-research-site-russian-orphans/ https://dansmonlabo.com/2020/06/01/jai-repris-la-chasse-aux-cliches-dans-les-medias-et-voila-ce-que-jai-appris-1969/ https://gijn.org/2019/10/08/les-meilleurs-outils-pour-collecter-des-donnees-exclusives/</t>
  </si>
  <si>
    <t>https://github.com/lau-cloud/TidyTuesdaycode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</si>
  <si>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</si>
  <si>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</si>
  <si>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</si>
  <si>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</si>
  <si>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</si>
  <si>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</si>
  <si>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</si>
  <si>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</si>
  <si>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</si>
  <si>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</si>
  <si>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</si>
  <si>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</si>
  <si>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gov.uk puntofisso.net</t>
  </si>
  <si>
    <t>datajournalism.com kro-ncrv.nl</t>
  </si>
  <si>
    <t>instagram.com youtu.be twitter.com</t>
  </si>
  <si>
    <t>gijn.org dansmonlabo.com</t>
  </si>
  <si>
    <t>Top Hashtags in Tweet in Entire Graph</t>
  </si>
  <si>
    <t>equity</t>
  </si>
  <si>
    <t>ethics</t>
  </si>
  <si>
    <t>infographics</t>
  </si>
  <si>
    <t>e2d3</t>
  </si>
  <si>
    <t>d3js</t>
  </si>
  <si>
    <t>Top Hashtags in Tweet in G1</t>
  </si>
  <si>
    <t>opendata</t>
  </si>
  <si>
    <t>jornalismodedados</t>
  </si>
  <si>
    <t>Top Hashtags in Tweet in G2</t>
  </si>
  <si>
    <t>opengov</t>
  </si>
  <si>
    <t>Top Hashtags in Tweet in G3</t>
  </si>
  <si>
    <t>Top Hashtags in Tweet in G4</t>
  </si>
  <si>
    <t>Top Hashtags in Tweet in G5</t>
  </si>
  <si>
    <t>statistics</t>
  </si>
  <si>
    <t>podcasts</t>
  </si>
  <si>
    <t>datajournalists</t>
  </si>
  <si>
    <t>Top Hashtags in Tweet in G6</t>
  </si>
  <si>
    <t>github</t>
  </si>
  <si>
    <t>datavizualization</t>
  </si>
  <si>
    <t>javascript</t>
  </si>
  <si>
    <t>json</t>
  </si>
  <si>
    <t>Top Hashtags in Tweet in G7</t>
  </si>
  <si>
    <t>Top Hashtags in Tweet in G8</t>
  </si>
  <si>
    <t>pioneerdj</t>
  </si>
  <si>
    <t>djlife</t>
  </si>
  <si>
    <t>dj</t>
  </si>
  <si>
    <t>djequipment</t>
  </si>
  <si>
    <t>djcontroller</t>
  </si>
  <si>
    <t>beats</t>
  </si>
  <si>
    <t>midicontroller</t>
  </si>
  <si>
    <t>djing</t>
  </si>
  <si>
    <t>mixing</t>
  </si>
  <si>
    <t>Top Hashtags in Tweet in G9</t>
  </si>
  <si>
    <t>Top Hashtags in Tweet in G10</t>
  </si>
  <si>
    <t>deutschland</t>
  </si>
  <si>
    <t>kurzarbeit</t>
  </si>
  <si>
    <t>coronakrise</t>
  </si>
  <si>
    <t>arbeitsmarkt</t>
  </si>
  <si>
    <t>coronavirus</t>
  </si>
  <si>
    <t>Top Hashtags in Tweet</t>
  </si>
  <si>
    <t>ddj opendata jornalismodedados jornalismo</t>
  </si>
  <si>
    <t>data opendata ddj opengov dataviz</t>
  </si>
  <si>
    <t>data datajournalism ddj free statistics podcasts datajournalists</t>
  </si>
  <si>
    <t>ddj pioneerdj djlife dj djequipment djcontroller beats midicontroller djing mixing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</si>
  <si>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</si>
  <si>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</si>
  <si>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</si>
  <si>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</si>
  <si>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</si>
  <si>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</si>
  <si>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</si>
  <si>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</si>
  <si>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</si>
  <si>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</si>
  <si>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</si>
  <si>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</si>
  <si>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#ddj em dou dados uma jornalismo são meio isabellaguasti_ num</t>
  </si>
  <si>
    <t>data work #opendata #ddj national archives looking engineer one interesting</t>
  </si>
  <si>
    <t>nile saving analysing impact large dams world's famous river #dataviz</t>
  </si>
  <si>
    <t>sign today latest free online #equity #ethics data journalism instructor</t>
  </si>
  <si>
    <t>#ddj #datajournalism editors each #data stories best obvious data investigations</t>
  </si>
  <si>
    <t>#nodejs #e2d3 #excel add #dataviz excel #d3js #github #data #datavizualization</t>
  </si>
  <si>
    <t>personal news alert next week starting job data projects editor</t>
  </si>
  <si>
    <t>#ddj #pioneerdj #djlife #dj #djequipment #djcontroller дата форматы handset #beats</t>
  </si>
  <si>
    <t>massive comprehensive #dataviz #infographics #ddj</t>
  </si>
  <si>
    <t>die nie #deutschland viel #kurzarbeit angemeldet #coronakrise arbeitslosenzahlen steigen trifft</t>
  </si>
  <si>
    <t>kurkdroog voorjaar regen foute momenten met dit weer ziet niet</t>
  </si>
  <si>
    <t>pm #dataviz online workshop scheduled designing visual data narratives aiap_ita</t>
  </si>
  <si>
    <t>periodismo datos ofrece posibilidades infinitas entrevista gonzalo spano joseluishuacles lacajadatera</t>
  </si>
  <si>
    <t>many more people died uk during pandemic one #cijsummer speakers</t>
  </si>
  <si>
    <t>#wildeye investigation published newsweek romania daea_marius uses data compare wildlife</t>
  </si>
  <si>
    <t>work three words give ring true journo industry particularly black</t>
  </si>
  <si>
    <t>data journalisme gt #ddj par techniques plus retrouver top 10</t>
  </si>
  <si>
    <t>abrimos generonumero chamada pra estágio em design #estagio #design #graphicdesign</t>
  </si>
  <si>
    <t>data bring light black american achievements pay tribute #blacklivesmatter keep</t>
  </si>
  <si>
    <t>Top Word Pairs in Tweet in Entire Graph</t>
  </si>
  <si>
    <t>Top Word Pairs in Tweet in G1</t>
  </si>
  <si>
    <t>Top Word Pairs in Tweet in G2</t>
  </si>
  <si>
    <t>national,archives</t>
  </si>
  <si>
    <t>archives,looking</t>
  </si>
  <si>
    <t>looking,data</t>
  </si>
  <si>
    <t>data,engineer</t>
  </si>
  <si>
    <t>engineer,one</t>
  </si>
  <si>
    <t>one,interesting</t>
  </si>
  <si>
    <t>interesting,places</t>
  </si>
  <si>
    <t>places,work</t>
  </si>
  <si>
    <t>work,public</t>
  </si>
  <si>
    <t>public,sector</t>
  </si>
  <si>
    <t>Top Word Pairs in Tweet in G3</t>
  </si>
  <si>
    <t>saving,nile</t>
  </si>
  <si>
    <t>nile,analysing</t>
  </si>
  <si>
    <t>analysing,impact</t>
  </si>
  <si>
    <t>impact,large</t>
  </si>
  <si>
    <t>large,dams</t>
  </si>
  <si>
    <t>dams,world's</t>
  </si>
  <si>
    <t>world's,famous</t>
  </si>
  <si>
    <t>famous,river</t>
  </si>
  <si>
    <t>river,#dataviz</t>
  </si>
  <si>
    <t>#dataviz,#ddj</t>
  </si>
  <si>
    <t>Top Word Pairs in Tweet in G4</t>
  </si>
  <si>
    <t>sign,today</t>
  </si>
  <si>
    <t>today,latest</t>
  </si>
  <si>
    <t>latest,free</t>
  </si>
  <si>
    <t>free,online</t>
  </si>
  <si>
    <t>online,#equity</t>
  </si>
  <si>
    <t>#equity,#ethics</t>
  </si>
  <si>
    <t>#ethics,data</t>
  </si>
  <si>
    <t>data,journalism</t>
  </si>
  <si>
    <t>journalism,instructor</t>
  </si>
  <si>
    <t>instructor,heather</t>
  </si>
  <si>
    <t>Top Word Pairs in Tweet in G5</t>
  </si>
  <si>
    <t>#data,stories</t>
  </si>
  <si>
    <t>best,#data</t>
  </si>
  <si>
    <t>stories,obvious</t>
  </si>
  <si>
    <t>obvious,editors</t>
  </si>
  <si>
    <t>editors,data</t>
  </si>
  <si>
    <t>data,investigations</t>
  </si>
  <si>
    <t>investigations,ask</t>
  </si>
  <si>
    <t>ask,more</t>
  </si>
  <si>
    <t>more,questions</t>
  </si>
  <si>
    <t>questions,usual</t>
  </si>
  <si>
    <t>Top Word Pairs in Tweet in G6</t>
  </si>
  <si>
    <t>#e2d3,#excel</t>
  </si>
  <si>
    <t>#excel,add</t>
  </si>
  <si>
    <t>add,#dataviz</t>
  </si>
  <si>
    <t>#dataviz,excel</t>
  </si>
  <si>
    <t>excel,#d3js</t>
  </si>
  <si>
    <t>#d3js,#github</t>
  </si>
  <si>
    <t>#github,#data</t>
  </si>
  <si>
    <t>#data,#datavizualization</t>
  </si>
  <si>
    <t>#datavizualization,#javascript</t>
  </si>
  <si>
    <t>#javascript,#json</t>
  </si>
  <si>
    <t>Top Word Pairs in Tweet in G7</t>
  </si>
  <si>
    <t>personal,news</t>
  </si>
  <si>
    <t>news,alert</t>
  </si>
  <si>
    <t>alert,next</t>
  </si>
  <si>
    <t>next,week</t>
  </si>
  <si>
    <t>week,starting</t>
  </si>
  <si>
    <t>starting,job</t>
  </si>
  <si>
    <t>job,data</t>
  </si>
  <si>
    <t>data,projects</t>
  </si>
  <si>
    <t>projects,editor</t>
  </si>
  <si>
    <t>editor,newstatesman</t>
  </si>
  <si>
    <t>Top Word Pairs in Tweet in G8</t>
  </si>
  <si>
    <t>#dj,#beats</t>
  </si>
  <si>
    <t>#beats,#djcontroller</t>
  </si>
  <si>
    <t>#djcontroller,#midicontroller</t>
  </si>
  <si>
    <t>#midicontroller,#djing</t>
  </si>
  <si>
    <t>#djing,#djinglife#djsoftware</t>
  </si>
  <si>
    <t>#djinglife#djsoftware,#mixing</t>
  </si>
  <si>
    <t>#mixing,#traktordj</t>
  </si>
  <si>
    <t>#traktordj,#traktorpro</t>
  </si>
  <si>
    <t>#traktorpro,#traktor3#</t>
  </si>
  <si>
    <t>#traktor3#,#pioneerdj</t>
  </si>
  <si>
    <t>Top Word Pairs in Tweet in G9</t>
  </si>
  <si>
    <t>massive,comprehensive</t>
  </si>
  <si>
    <t>comprehensive,#dataviz</t>
  </si>
  <si>
    <t>#dataviz,#infographics</t>
  </si>
  <si>
    <t>#infographics,#ddj</t>
  </si>
  <si>
    <t>Top Word Pairs in Tweet in G10</t>
  </si>
  <si>
    <t>nie,#deutschland</t>
  </si>
  <si>
    <t>#deutschland,viel</t>
  </si>
  <si>
    <t>viel,#kurzarbeit</t>
  </si>
  <si>
    <t>#kurzarbeit,angemeldet</t>
  </si>
  <si>
    <t>angemeldet,#coronakrise</t>
  </si>
  <si>
    <t>#coronakrise,die</t>
  </si>
  <si>
    <t>die,arbeitslosenzahlen</t>
  </si>
  <si>
    <t>arbeitslosenzahlen,steigen</t>
  </si>
  <si>
    <t>steigen,trifft</t>
  </si>
  <si>
    <t>trifft,allem</t>
  </si>
  <si>
    <t>Top Word Pairs in Tweet</t>
  </si>
  <si>
    <t>dou,em  em,#ddj  dados,são  isabellaguasti_,num  num,onde  onde,dados  são,omitidos  omitidos,meio  meio,uma  uma,crise</t>
  </si>
  <si>
    <t>national,archives  archives,looking  looking,data  data,engineer  engineer,one  one,interesting  interesting,places  places,work  work,public  public,sector</t>
  </si>
  <si>
    <t>saving,nile  nile,analysing  analysing,impact  impact,large  large,dams  dams,world's  world's,famous  famous,river  river,#dataviz  #dataviz,#ddj</t>
  </si>
  <si>
    <t>sign,today  today,latest  latest,free  free,online  online,#equity  #equity,#ethics  #ethics,data  data,journalism  journalism,instructor  instructor,heather</t>
  </si>
  <si>
    <t>#data,stories  best,#data  stories,obvious  obvious,editors  editors,data  data,investigations  investigations,ask  ask,more  more,questions  questions,usual</t>
  </si>
  <si>
    <t>#e2d3,#excel  #excel,add  add,#dataviz  #dataviz,excel  excel,#d3js  #d3js,#github  #github,#data  #data,#datavizualization  #datavizualization,#javascript  #javascript,#json</t>
  </si>
  <si>
    <t>personal,news  news,alert  alert,next  next,week  week,starting  starting,job  job,data  data,projects  projects,editor  editor,newstatesman</t>
  </si>
  <si>
    <t>#dj,#beats  #beats,#djcontroller  #djcontroller,#midicontroller  #midicontroller,#djing  #djing,#djinglife#djsoftware  #djinglife#djsoftware,#mixing  #mixing,#traktordj  #traktordj,#traktorpro  #traktorpro,#traktor3#  #traktor3#,#pioneerdj</t>
  </si>
  <si>
    <t>massive,comprehensive  comprehensive,#dataviz  #dataviz,#infographics  #infographics,#ddj</t>
  </si>
  <si>
    <t>nie,#deutschland  #deutschland,viel  viel,#kurzarbeit  #kurzarbeit,angemeldet  angemeldet,#coronakrise  #coronakrise,die  die,arbeitslosenzahlen  arbeitslosenzahlen,steigen  steigen,trifft  trifft,allem</t>
  </si>
  <si>
    <t>kurkdroog,voorjaar  voorjaar,regen  regen,foute  foute,momenten  momenten,met  met,dit  dit,weer  weer,ziet  ziet,niet  niet,bepaald</t>
  </si>
  <si>
    <t>#dataviz,online  online,workshop  workshop,scheduled  scheduled,designing  designing,visual  visual,data  data,narratives  narratives,aiap_ita  aiap_ita,english  english,thursday</t>
  </si>
  <si>
    <t>periodismo,datos  datos,ofrece  ofrece,posibilidades  posibilidades,infinitas  infinitas,entrevista  entrevista,gonzalo  gonzalo,spano  spano,joseluishuacles  joseluishuacles,lacajadatera  lacajadatera,#ddj</t>
  </si>
  <si>
    <t>many,more  more,people  people,died  died,uk  uk,during  during,pandemic  pandemic,one  one,#cijsummer  #cijsummer,speakers  speakers,porcelinad</t>
  </si>
  <si>
    <t>#wildeye,investigation  investigation,published  published,newsweek  newsweek,romania  romania,daea_marius  daea_marius,uses  uses,data  data,compare  compare,wildlife  wildlife,crime</t>
  </si>
  <si>
    <t>three,words  words,give  give,ring  ring,true  true,journo  journo,work  work,industry  industry,particularly  particularly,black  black,asian</t>
  </si>
  <si>
    <t>data,journalisme  gt,#ddj  retrouver,top  top,10  10,liens  liens,data  journalisme,semaine  semaine,c'est  c'est,par  par,ici</t>
  </si>
  <si>
    <t>abrimos,generonumero  generonumero,chamada  chamada,pra  pra,estágio  estágio,em  em,design  design,#estagio  #estagio,#design  #design,#graphicdesign  #graphicdesign,#dados</t>
  </si>
  <si>
    <t>data,bring  bring,light  light,black  black,american  american,achievements  achievements,pay  pay,tribute  tribute,#blacklivesmatter  #blacklivesmatter,keep  keep,#tidytuesday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</si>
  <si>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</si>
  <si>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</si>
  <si>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</si>
  <si>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</si>
  <si>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</si>
  <si>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</si>
  <si>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</si>
  <si>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</si>
  <si>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</si>
  <si>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</si>
  <si>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</si>
  <si>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</si>
  <si>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</si>
  <si>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</si>
  <si>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</si>
  <si>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</si>
  <si>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</si>
  <si>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</si>
  <si>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</si>
  <si>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djschoolmiddennederland</t>
  </si>
  <si>
    <t>Top Mentioned in G9</t>
  </si>
  <si>
    <t>Top Replied-To in G10</t>
  </si>
  <si>
    <t>Top Mentioned in G10</t>
  </si>
  <si>
    <t>Top Replied-To in Tweet</t>
  </si>
  <si>
    <t>Top Mentioned in Tweet</t>
  </si>
  <si>
    <t>isabellaguasti_ jornalismodados okfnbr _fiquemsabendo marilia_gehrke escoladedados nunonunes_ camillatavares lucasreino rodrigomenegat</t>
  </si>
  <si>
    <t>ajlabs ajenglish essamheggy haddadme</t>
  </si>
  <si>
    <t>maudbeelman j_la28 1password mailbrew easel_ly able2extract pointer_kroncrv sigmaawards</t>
  </si>
  <si>
    <t>newstatesman telegraph</t>
  </si>
  <si>
    <t>joseluishuacles lacajadatera</t>
  </si>
  <si>
    <t>newsweek daea_marius</t>
  </si>
  <si>
    <t>tvmarv bjtc_uk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</si>
  <si>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</si>
  <si>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</si>
  <si>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</si>
  <si>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</si>
  <si>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</si>
  <si>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</si>
  <si>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</si>
  <si>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</si>
  <si>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</si>
  <si>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</si>
  <si>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</si>
  <si>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</si>
  <si>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folha patocorporation grqm piedromarinho morenocris flaviorocha1 veramagalhaes anieleam camillatavares _sofialeao</t>
  </si>
  <si>
    <t>nevali annkempster timgollins puntofisso jaggeree eoinmcfadden garyshort maggotlaw jtwentyman watty62</t>
  </si>
  <si>
    <t>ajenglish colinnwalker valboy7 bareftdoctor pittilla_o caleb_nwokoloo haddadme mrvisgeography natalia_ojewska mo_shamah</t>
  </si>
  <si>
    <t>omaakatugba ellenychang utknightcenter nellylaoni daudpasaney juanainesjjj grasiel_grasel datassist jishnuen paulmenam</t>
  </si>
  <si>
    <t>dwatchnews 1password margymaclibrary sin_nl_org anaserranot j_la28 able2extract ohmyshambles susanagarayoa fvas</t>
  </si>
  <si>
    <t>taieb_bot digitalsphere33 codegnuts theinfernobot markj_ohnson nodequotesbot mijinkim33 e2d3org dashboarddr</t>
  </si>
  <si>
    <t>telegraph newstatesman emilyctamkin psychingitout glynmottershead patrick_e_scott oscwilliams rob_w_ingram</t>
  </si>
  <si>
    <t>gijnru elchinsoul mikaelmusic1 realmiguelroca na7al13 djment0rs djschoolhouten</t>
  </si>
  <si>
    <t>albertocairo ecarrascobe ignasialcalde sergiogarciamor datavislisboa masteruah</t>
  </si>
  <si>
    <t>tagesspiegel berlindigital helenawittlich michael_gegg _davidmeidinger</t>
  </si>
  <si>
    <t>tijd andriesfluit emielvnh alex_vnc_ boerenilse</t>
  </si>
  <si>
    <t>hampshire67 konstantinosant aiap_ita guipizzini fedfragapane</t>
  </si>
  <si>
    <t>rocioromerox joseluishuacles datosundav lacajadatera</t>
  </si>
  <si>
    <t>aliciacastroar marcelodgr67 cijournalism porcelinad</t>
  </si>
  <si>
    <t>newsweek oxciej emibarbiroglio daea_marius</t>
  </si>
  <si>
    <t>tvmarv umarhassan96 bjtc_uk</t>
  </si>
  <si>
    <t>yannguegan gijnfr yerimzwxrhjsky</t>
  </si>
  <si>
    <t>generonumero giubianconi rodolfoalmd</t>
  </si>
  <si>
    <t>adircinho lauranavarrosol</t>
  </si>
  <si>
    <t>URLs in Tweet by Count</t>
  </si>
  <si>
    <t>https://datajournalism.com/register https://datajournalism.com/read/longreads/data-journalism-a-guide-for-editors https://datajournalism.com/listen https://pointer.kro-ncrv.nl/artikelen/het-verhaal-achter-een-identiteitsroof#lang=en</t>
  </si>
  <si>
    <t>http://puntofisso.net/newsletter/ https://www.civilservicejobs.service.gov.uk/csr/jobs.cgi?jcode=1670513</t>
  </si>
  <si>
    <t>https://twitter.com/_danielmariani/status/1274701756069556225 https://twitter.com/i/web/status/1275260122881802240 https://twitter.com/i/web/status/1275240330112221186 https://twitter.com/i/web/status/1275220479629017088 https://twitter.com/i/web/status/1275200758170992640 https://twitter.com/i/web/status/1275156603893878784 https://twitter.com/i/web/status/1275171088985661441 https://twitter.com/i/web/status/1275151960887439361 https://twitter.com/i/web/status/1275152041283932160 https://twitter.com/i/web/status/1275121761441517569</t>
  </si>
  <si>
    <t>https://www.instagram.com/p/CBxFn7zJ1Vg/?igshid=17591pzd81ibu https://www.instagram.com/p/CBvuVmGp6wd/?igshid=1sknq4nindyf3</t>
  </si>
  <si>
    <t>https://dansmonlabo.com/2020/06/01/jai-repris-la-chasse-aux-cliches-dans-les-medias-et-voila-ce-que-jai-appris-1969/ https://gijn.org/2020/06/11/data-journalism-top-10-black-lives-matter-protests-police-shootings-questions-on-covid-19-research-site-russian-orphans/ https://gijn.org/2019/10/08/les-meilleurs-outils-pour-collecter-des-donnees-exclusives/</t>
  </si>
  <si>
    <t>URLs in Tweet by Salience</t>
  </si>
  <si>
    <t>Domains in Tweet by Count</t>
  </si>
  <si>
    <t>puntofisso.net gov.uk</t>
  </si>
  <si>
    <t>Domains in Tweet by Salience</t>
  </si>
  <si>
    <t>kro-ncrv.nl datajournalism.com</t>
  </si>
  <si>
    <t>dansmonlabo.com gijn.org</t>
  </si>
  <si>
    <t>Hashtags in Tweet by Count</t>
  </si>
  <si>
    <t>nodejs e2d3 excel dataviz d3js github data datavizualization javascript json</t>
  </si>
  <si>
    <t>ddj datajournalism data free datajournalists statistics podcasts</t>
  </si>
  <si>
    <t>data ddj opendata dataviz opengov</t>
  </si>
  <si>
    <t>producer seratodj serato pioneerdj akaipro akaiprofessional mpclive gearhead setup producerlife</t>
  </si>
  <si>
    <t>pioneerdj nexus2 djset cdj2000nxs2 cdj2000nexus xdj1000 djm900nxs2 mobiledj djlife mobiledjlife</t>
  </si>
  <si>
    <t>dj beats djcontroller midicontroller djing mixing traktordj traktorpro pioneerdj djlife</t>
  </si>
  <si>
    <t>Hashtags in Tweet by Salience</t>
  </si>
  <si>
    <t>data free datajournalists statistics podcasts ddj datajournalism</t>
  </si>
  <si>
    <t>dataviz opengov data ddj opendata</t>
  </si>
  <si>
    <t>jornalismodedados jornalismo ddj</t>
  </si>
  <si>
    <t>opendata ddj</t>
  </si>
  <si>
    <t>affaireasuivre ddj</t>
  </si>
  <si>
    <t>Top Words in Tweet by Count</t>
  </si>
  <si>
    <t>massive comprehensive #dataviz #infographics</t>
  </si>
  <si>
    <t>дата форматы как упаковать историю обсуждаем новые в журналистике скроллителлинг</t>
  </si>
  <si>
    <t>inspiring #data stories one lessons anyone learn project pointer_kroncrv never</t>
  </si>
  <si>
    <t>#datajournalism tools #data stories editors learn each yes there're many</t>
  </si>
  <si>
    <t>handset managed smash phone screen running yesterday 1st time done</t>
  </si>
  <si>
    <t>data work national archives looking engineer one interesting places public</t>
  </si>
  <si>
    <t>another #opendata monday issue #data newsletter ready reach inboxes tomorrow</t>
  </si>
  <si>
    <t>editors best #data stories obvious data investigations ask more questions</t>
  </si>
  <si>
    <t>saving nile analysing impact large dams world's famous river #dataviz</t>
  </si>
  <si>
    <t>mobile setup #producer #seratodj #serato #pioneerdj #akaipro #akaiprofessional #mpclive #gearhead</t>
  </si>
  <si>
    <t>water security saving nile analysing impact large dams world's famous</t>
  </si>
  <si>
    <t>another monday issue #data newsletter ready reach inboxes tomorrow lunchtime</t>
  </si>
  <si>
    <t>amanhã gente #opendata</t>
  </si>
  <si>
    <t>leren draaien #pioneerdj #nexus2 #djset kom alle outs ontdekken bij</t>
  </si>
  <si>
    <t>#pioneerdj always industry standard #marketleader #dj #djm #cdj #xdj #beautifultechnology</t>
  </si>
  <si>
    <t>em dou dados uma jornalismo meio são isabellaguasti_ num onde</t>
  </si>
  <si>
    <t>amanhã dou em morenocris _fiquemsabendo marilia_gehrke membro escoladedados embaixadora okfnbr</t>
  </si>
  <si>
    <t>tools yes there're many we've created special selection register website</t>
  </si>
  <si>
    <t>each listen interview prof denise lievesley learn parallels between #datajournalism</t>
  </si>
  <si>
    <t>#dj #beats #djcontroller #midicontroller #djing #djinglife#djsoftware #mixing #traktordj #traktorpro #traktor3#</t>
  </si>
  <si>
    <t>nile several alternative sources energy one saving analysing impact large</t>
  </si>
  <si>
    <t>data journalisme gt techniques plus par journaliste yannguegan utilisé réaliser</t>
  </si>
  <si>
    <t>data journalisme gt par techniques plus retrouver top 10 liens</t>
  </si>
  <si>
    <t>car journalism rocks</t>
  </si>
  <si>
    <t>Top Words in Tweet by Salience</t>
  </si>
  <si>
    <t>tools editors each #data stories learn yes there're many we've</t>
  </si>
  <si>
    <t>data work another national archives looking engineer one interesting places</t>
  </si>
  <si>
    <t>jornalismodados isabellaguasti_ num onde omitidos crise meio são saúde jornalismo</t>
  </si>
  <si>
    <t>dou em morenocris _fiquemsabendo marilia_gehrke membro escoladedados embaixadora okfnbr vai</t>
  </si>
  <si>
    <t>journaliste yannguegan utilisé réaliser analyse linguistique médias français débusquer clichés</t>
  </si>
  <si>
    <t>retrouver top 10 liens semaine c'est ici journaliste yannguegan utilisé</t>
  </si>
  <si>
    <t>Top Word Pairs in Tweet by Count</t>
  </si>
  <si>
    <t>как,упаковать  упаковать,дата  дата,историю  историю,обсуждаем  обсуждаем,новые  новые,форматы  форматы,в  в,дата  дата,журналистике  журналистике,скроллителлинг</t>
  </si>
  <si>
    <t>inspiring,#data  #data,stories  stories,one  one,lessons  lessons,anyone  anyone,learn  learn,project  project,pointer_kroncrv  pointer_kroncrv,never  never,take</t>
  </si>
  <si>
    <t>#data,stories  yes,there're  there're,many  many,#ddj  #ddj,tools  tools,we've  we've,created  created,special  special,selection  selection,register</t>
  </si>
  <si>
    <t>managed,smash  smash,phone  phone,screen  screen,running  running,yesterday  yesterday,1st  1st,time  time,done  done,serious  serious,damage</t>
  </si>
  <si>
    <t>another,monday  monday,another  another,issue  issue,#data  #data,newsletter  newsletter,ready  ready,reach  reach,inboxes  inboxes,tomorrow  tomorrow,lunchtime</t>
  </si>
  <si>
    <t>best,#data  #data,stories  stories,obvious  obvious,editors  editors,data  data,investigations  investigations,ask  ask,more  more,questions  questions,usual</t>
  </si>
  <si>
    <t>mobile,setup  setup,#producer  #producer,#seratodj  #seratodj,#serato  #serato,#pioneerdj  #pioneerdj,#akaipro  #akaipro,#akaiprofessional  #akaiprofessional,#mpclive  #mpclive,#gearhead  #gearhead,#setup</t>
  </si>
  <si>
    <t>water,security  security,saving  saving,nile  nile,analysing  analysing,impact  impact,large  large,dams  dams,world's  world's,famous  famous,river</t>
  </si>
  <si>
    <t>amanhã,gente  gente,#ddj  #ddj,#opendata</t>
  </si>
  <si>
    <t>leren,draaien  draaien,#pioneerdj  #pioneerdj,#nexus2  #nexus2,#djset  #djset,kom  kom,alle  alle,outs  outs,ontdekken  ontdekken,bij  bij,djschoolmiddennederland</t>
  </si>
  <si>
    <t>#pioneerdj,always  always,industry  industry,standard  standard,#marketleader  #marketleader,#dj  #dj,#djm  #djm,#cdj  #cdj,#xdj  #xdj,#beautifultechnology  #beautifultechnology,#ddj</t>
  </si>
  <si>
    <t>dou,em  em,#ddj  #ddj,morenocris  morenocris,_fiquemsabendo  _fiquemsabendo,amanhã  amanhã,marilia_gehrke  marilia_gehrke,membro  membro,escoladedados  escoladedados,embaixadora  embaixadora,okfnbr</t>
  </si>
  <si>
    <t>yes,there're  there're,many  many,#ddj  #ddj,tools  tools,we've  we've,created  created,special  special,selection  selection,register  register,website</t>
  </si>
  <si>
    <t>listen,interview  interview,prof  prof,denise  denise,lievesley  lievesley,learn  learn,parallels  parallels,between  between,#datajournalism  #datajournalism,#statistics  #statistics,each</t>
  </si>
  <si>
    <t>several,alternative  alternative,sources  sources,energy  energy,one  one,nile  nile,saving  saving,nile  nile,analysing  analysing,impact  impact,large</t>
  </si>
  <si>
    <t>data,journalisme  gt,#ddj  journaliste,yannguegan  yannguegan,utilisé  utilisé,techniques  techniques,data  journalisme,réaliser  réaliser,analyse  analyse,linguistique  linguistique,médias</t>
  </si>
  <si>
    <t>car,journalism  journalism,rocks  rocks,#ddj</t>
  </si>
  <si>
    <t>Top Word Pairs in Tweet by Salience</t>
  </si>
  <si>
    <t>#ddj,jornalismodados  jornalismodados,dou  isabellaguasti_,num  num,onde  onde,dados  são,omitidos  omitidos,meio  meio,uma  uma,crise  dados,são</t>
  </si>
  <si>
    <t>journaliste,yannguegan  yannguegan,utilisé  utilisé,techniques  techniques,data  journalisme,réaliser  réaliser,analyse  analyse,linguistique  linguistique,médias  médias,français  français,débusquer</t>
  </si>
  <si>
    <t>retrouver,top  top,10  10,liens  liens,data  journalisme,semaine  semaine,c'est  c'est,par  par,ici  ici,gt  journaliste,yannguegan</t>
  </si>
  <si>
    <t>Count of Relationship Date (UTC)</t>
  </si>
  <si>
    <t>Row Labels</t>
  </si>
  <si>
    <t>Grand Total</t>
  </si>
  <si>
    <t>Jun</t>
  </si>
  <si>
    <t>1-Jun</t>
  </si>
  <si>
    <t>2-Jun</t>
  </si>
  <si>
    <t>12-Jun</t>
  </si>
  <si>
    <t>14-Jun</t>
  </si>
  <si>
    <t>18-Jun</t>
  </si>
  <si>
    <t>19-Jun</t>
  </si>
  <si>
    <t>20-Jun</t>
  </si>
  <si>
    <t>22-Jun</t>
  </si>
  <si>
    <t>23-Jun</t>
  </si>
  <si>
    <t>128, 128, 128</t>
  </si>
  <si>
    <t>Red</t>
  </si>
  <si>
    <t>171, 85, 85</t>
  </si>
  <si>
    <t>212, 43, 43</t>
  </si>
  <si>
    <t>G1: ddj opendata jornalismodedados jornalismo</t>
  </si>
  <si>
    <t>G2: data opendata ddj opengov dataviz</t>
  </si>
  <si>
    <t>G3: dataviz ddj</t>
  </si>
  <si>
    <t>G4: equity ethics ddj</t>
  </si>
  <si>
    <t>G5: data datajournalism ddj free statistics podcasts datajournalists</t>
  </si>
  <si>
    <t>G6: e2d3 excel dataviz d3js github data datavizualization javascript json infographics</t>
  </si>
  <si>
    <t>G7: ddj</t>
  </si>
  <si>
    <t>G8: ddj pioneerdj djlife dj djequipment djcontroller beats midicontroller djing mixing</t>
  </si>
  <si>
    <t>G9: dataviz infographics ddj</t>
  </si>
  <si>
    <t>G10: deutschland kurzarbeit coronakrise arbeitsmarkt coronavirus ddj</t>
  </si>
  <si>
    <t>G11: ddj</t>
  </si>
  <si>
    <t>G12: dataviz datavisualization infographic ddj</t>
  </si>
  <si>
    <t>G13: ddj</t>
  </si>
  <si>
    <t>G14: cijsummer ddj data covid19</t>
  </si>
  <si>
    <t>G15: wildeye datajournalism ddj</t>
  </si>
  <si>
    <t>G16: ddj</t>
  </si>
  <si>
    <t>G17: ddj affaireasuivre</t>
  </si>
  <si>
    <t>G18: estagio design graphicdesign dados ddj</t>
  </si>
  <si>
    <t>G19: blacklivesmatter tidytuesday rstats ggplot2 ddj dataviz</t>
  </si>
  <si>
    <t>Edge Weight▓1▓4▓0▓True▓Gray▓Red▓▓Edge Weight▓1▓4▓0▓4▓10▓False▓Edge Weight▓1▓4▓0▓30▓10▓False▓▓0▓0▓0▓True▓Black▓Black▓▓Betweenness Centrality▓0▓171▓3▓100▓1000▓False▓▓0▓0▓0▓0▓0▓False▓▓0▓0▓0▓0▓0▓False▓▓0▓0▓0▓0▓0▓False</t>
  </si>
  <si>
    <t>GraphSource░TwitterSearch▓GraphTerm░#ddj▓ImportDescription░The graph represents a network of 223 Twitter users whose recent tweets contained "#ddj", or who were replied to or mentioned in those tweets, taken from a data set limited to a maximum of 200 tweets.  The network was obtained from Twitter on Tuesday, 23 June 2020 at 10:41 UTC.
The tweets in the network were tweeted over the 1-day, 8-hour, 55-minute period from Monday, 22 June 2020 at 01:41 UTC to Tuesday, 23 June 2020 at 10:37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"mentions".▓ImportSuggestedTitle░#ddj Twitter NodeXL SNA Map and Report for Tuesday, 23 June 2020 at 10:41 UTC▓ImportSuggestedFileNameNoExtension░2020-06-23 10-41-30 NodeXL Twitter Search #ddj▓GroupingDescription░The graph's vertices were grouped by cluster using the Clauset-Newman-Moore cluster algorithm.▓LayoutAlgorithm░The graph was laid out using the Harel-Koren Fast Multiscale layout algorithm.▓GraphDirectedness░The graph is directed.</t>
  </si>
  <si>
    <t>="String"&gt;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</si>
  <si>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</si>
  <si>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223 Twitter users whose recent tweets contained "#ddj", or who were replied to or mentioned in those tweets, taken from a data set limited to a maximum of 200 tweets.  The network was obtained from Twitter on Tuesday, 23 June 2020 at 10:41 UTC.
The tweets in the network were tweeted over the 1-day, 8-hour, 55-minute period from Monday, 22 June 2020 at 01:41 UTC to Tuesday, 23 June 2020 at 10:37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</si>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</sst>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1"/>
      <tableStyleElement type="headerRow" dxfId="500"/>
    </tableStyle>
    <tableStyle name="NodeXL Table" pivot="0" count="1">
      <tableStyleElement type="headerRow" dxfId="4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023503"/>
        <c:axId val="39340616"/>
      </c:barChart>
      <c:catAx>
        <c:axId val="640235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40616"/>
        <c:crosses val="autoZero"/>
        <c:auto val="1"/>
        <c:lblOffset val="100"/>
        <c:noMultiLvlLbl val="0"/>
      </c:catAx>
      <c:valAx>
        <c:axId val="39340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1-Jun
Jun
2020</c:v>
                </c:pt>
                <c:pt idx="1">
                  <c:v>2-Jun</c:v>
                </c:pt>
                <c:pt idx="2">
                  <c:v>12-Jun</c:v>
                </c:pt>
                <c:pt idx="3">
                  <c:v>14-Jun</c:v>
                </c:pt>
                <c:pt idx="4">
                  <c:v>18-Jun</c:v>
                </c:pt>
                <c:pt idx="5">
                  <c:v>19-Jun</c:v>
                </c:pt>
                <c:pt idx="6">
                  <c:v>20-Jun</c:v>
                </c:pt>
                <c:pt idx="7">
                  <c:v>22-Jun</c:v>
                </c:pt>
                <c:pt idx="8">
                  <c:v>23-Jun</c:v>
                </c:pt>
              </c:strCache>
            </c:strRef>
          </c:cat>
          <c:val>
            <c:numRef>
              <c:f>'Time Series'!$B$26:$B$37</c:f>
              <c:numCache>
                <c:formatCode>General</c:formatCode>
                <c:ptCount val="9"/>
                <c:pt idx="0">
                  <c:v>1</c:v>
                </c:pt>
                <c:pt idx="1">
                  <c:v>2</c:v>
                </c:pt>
                <c:pt idx="2">
                  <c:v>1</c:v>
                </c:pt>
                <c:pt idx="3">
                  <c:v>1</c:v>
                </c:pt>
                <c:pt idx="4">
                  <c:v>3</c:v>
                </c:pt>
                <c:pt idx="5">
                  <c:v>1</c:v>
                </c:pt>
                <c:pt idx="6">
                  <c:v>1</c:v>
                </c:pt>
                <c:pt idx="7">
                  <c:v>149</c:v>
                </c:pt>
                <c:pt idx="8">
                  <c:v>51</c:v>
                </c:pt>
              </c:numCache>
            </c:numRef>
          </c:val>
        </c:ser>
        <c:axId val="44291801"/>
        <c:axId val="63081890"/>
      </c:barChart>
      <c:catAx>
        <c:axId val="44291801"/>
        <c:scaling>
          <c:orientation val="minMax"/>
        </c:scaling>
        <c:axPos val="b"/>
        <c:delete val="0"/>
        <c:numFmt formatCode="General" sourceLinked="1"/>
        <c:majorTickMark val="out"/>
        <c:minorTickMark val="none"/>
        <c:tickLblPos val="nextTo"/>
        <c:crossAx val="63081890"/>
        <c:crosses val="autoZero"/>
        <c:auto val="1"/>
        <c:lblOffset val="100"/>
        <c:noMultiLvlLbl val="0"/>
      </c:catAx>
      <c:valAx>
        <c:axId val="63081890"/>
        <c:scaling>
          <c:orientation val="minMax"/>
        </c:scaling>
        <c:axPos val="l"/>
        <c:majorGridlines/>
        <c:delete val="0"/>
        <c:numFmt formatCode="General" sourceLinked="1"/>
        <c:majorTickMark val="out"/>
        <c:minorTickMark val="none"/>
        <c:tickLblPos val="nextTo"/>
        <c:crossAx val="44291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521225"/>
        <c:axId val="32473298"/>
      </c:barChart>
      <c:catAx>
        <c:axId val="18521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73298"/>
        <c:crosses val="autoZero"/>
        <c:auto val="1"/>
        <c:lblOffset val="100"/>
        <c:noMultiLvlLbl val="0"/>
      </c:catAx>
      <c:valAx>
        <c:axId val="32473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824227"/>
        <c:axId val="13091452"/>
      </c:barChart>
      <c:catAx>
        <c:axId val="23824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91452"/>
        <c:crosses val="autoZero"/>
        <c:auto val="1"/>
        <c:lblOffset val="100"/>
        <c:noMultiLvlLbl val="0"/>
      </c:catAx>
      <c:valAx>
        <c:axId val="13091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4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714205"/>
        <c:axId val="53774662"/>
      </c:barChart>
      <c:catAx>
        <c:axId val="50714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774662"/>
        <c:crosses val="autoZero"/>
        <c:auto val="1"/>
        <c:lblOffset val="100"/>
        <c:noMultiLvlLbl val="0"/>
      </c:catAx>
      <c:valAx>
        <c:axId val="53774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14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209911"/>
        <c:axId val="60780336"/>
      </c:barChart>
      <c:catAx>
        <c:axId val="14209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80336"/>
        <c:crosses val="autoZero"/>
        <c:auto val="1"/>
        <c:lblOffset val="100"/>
        <c:noMultiLvlLbl val="0"/>
      </c:catAx>
      <c:valAx>
        <c:axId val="60780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9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152113"/>
        <c:axId val="24260154"/>
      </c:barChart>
      <c:catAx>
        <c:axId val="101521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60154"/>
        <c:crosses val="autoZero"/>
        <c:auto val="1"/>
        <c:lblOffset val="100"/>
        <c:noMultiLvlLbl val="0"/>
      </c:catAx>
      <c:valAx>
        <c:axId val="24260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52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014795"/>
        <c:axId val="18915428"/>
      </c:barChart>
      <c:catAx>
        <c:axId val="17014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15428"/>
        <c:crosses val="autoZero"/>
        <c:auto val="1"/>
        <c:lblOffset val="100"/>
        <c:noMultiLvlLbl val="0"/>
      </c:catAx>
      <c:valAx>
        <c:axId val="18915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021125"/>
        <c:axId val="55754670"/>
      </c:barChart>
      <c:catAx>
        <c:axId val="36021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54670"/>
        <c:crosses val="autoZero"/>
        <c:auto val="1"/>
        <c:lblOffset val="100"/>
        <c:noMultiLvlLbl val="0"/>
      </c:catAx>
      <c:valAx>
        <c:axId val="5575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029983"/>
        <c:axId val="19834392"/>
      </c:barChart>
      <c:catAx>
        <c:axId val="32029983"/>
        <c:scaling>
          <c:orientation val="minMax"/>
        </c:scaling>
        <c:axPos val="b"/>
        <c:delete val="1"/>
        <c:majorTickMark val="out"/>
        <c:minorTickMark val="none"/>
        <c:tickLblPos val="none"/>
        <c:crossAx val="19834392"/>
        <c:crosses val="autoZero"/>
        <c:auto val="1"/>
        <c:lblOffset val="100"/>
        <c:noMultiLvlLbl val="0"/>
      </c:catAx>
      <c:valAx>
        <c:axId val="19834392"/>
        <c:scaling>
          <c:orientation val="minMax"/>
        </c:scaling>
        <c:axPos val="l"/>
        <c:delete val="1"/>
        <c:majorTickMark val="out"/>
        <c:minorTickMark val="none"/>
        <c:tickLblPos val="none"/>
        <c:crossAx val="32029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0" refreshedBy="Digital Space Lab" refreshedVersion="6">
  <cacheSource type="worksheet">
    <worksheetSource ref="A2:BN21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209">
        <d v="2020-06-22T06:21:48.000"/>
        <d v="2020-06-22T07:42:13.000"/>
        <d v="2020-06-22T07:42:18.000"/>
        <d v="2020-06-22T07:42:20.000"/>
        <d v="2020-06-22T07:44:24.000"/>
        <d v="2020-06-22T07:59:53.000"/>
        <d v="2020-06-22T07:59:56.000"/>
        <d v="2020-06-02T14:27:23.000"/>
        <d v="2020-06-22T08:14:26.000"/>
        <d v="2020-06-22T09:04:01.000"/>
        <d v="2020-06-22T10:20:56.000"/>
        <d v="2020-06-22T10:21:16.000"/>
        <d v="2020-06-22T10:53:59.000"/>
        <d v="2020-06-22T11:01:03.000"/>
        <d v="2020-06-22T11:04:00.000"/>
        <d v="2020-06-22T11:10:05.000"/>
        <d v="2020-06-22T11:11:14.000"/>
        <d v="2020-06-22T11:12:00.000"/>
        <d v="2020-06-22T11:12:32.000"/>
        <d v="2020-06-22T11:12:37.000"/>
        <d v="2020-06-22T11:14:01.000"/>
        <d v="2020-06-22T11:14:27.000"/>
        <d v="2020-06-22T11:19:35.000"/>
        <d v="2020-06-22T11:20:39.000"/>
        <d v="2020-06-22T11:36:03.000"/>
        <d v="2020-06-22T12:12:32.000"/>
        <d v="2020-06-22T12:17:43.000"/>
        <d v="2020-06-22T12:18:19.000"/>
        <d v="2020-06-22T12:29:43.000"/>
        <d v="2020-06-18T13:43:43.000"/>
        <d v="2020-06-22T12:46:53.000"/>
        <d v="2020-06-22T12:50:23.000"/>
        <d v="2020-06-22T12:53:12.000"/>
        <d v="2020-06-22T13:22:13.000"/>
        <d v="2020-06-22T13:39:02.000"/>
        <d v="2020-06-22T13:49:03.000"/>
        <d v="2020-06-22T13:55:42.000"/>
        <d v="2020-06-22T14:22:09.000"/>
        <d v="2020-06-22T14:44:48.000"/>
        <d v="2020-06-22T14:56:25.000"/>
        <d v="2020-06-22T14:58:18.000"/>
        <d v="2020-06-22T15:10:51.000"/>
        <d v="2020-06-22T15:11:42.000"/>
        <d v="2020-06-22T15:29:39.000"/>
        <d v="2020-06-22T15:35:46.000"/>
        <d v="2020-06-22T15:40:12.000"/>
        <d v="2020-06-22T16:04:14.000"/>
        <d v="2020-06-22T16:11:35.000"/>
        <d v="2020-06-22T16:33:47.000"/>
        <d v="2020-06-22T16:36:17.000"/>
        <d v="2020-06-22T16:39:33.000"/>
        <d v="2020-06-22T16:59:33.000"/>
        <d v="2020-06-22T17:00:56.000"/>
        <d v="2020-06-22T17:09:47.000"/>
        <d v="2020-06-22T17:09:57.000"/>
        <d v="2020-06-22T15:03:04.000"/>
        <d v="2020-06-22T17:23:32.000"/>
        <d v="2020-06-22T15:18:18.000"/>
        <d v="2020-06-22T17:56:45.000"/>
        <d v="2020-06-22T18:10:44.000"/>
        <d v="2020-06-22T18:37:32.000"/>
        <d v="2020-06-22T18:38:58.000"/>
        <d v="2020-06-22T19:07:32.000"/>
        <d v="2020-06-22T19:09:44.000"/>
        <d v="2020-06-22T19:33:09.000"/>
        <d v="2020-06-22T19:33:29.000"/>
        <d v="2020-06-22T19:35:04.000"/>
        <d v="2020-06-22T19:41:16.000"/>
        <d v="2020-06-22T19:42:31.000"/>
        <d v="2020-06-22T19:43:40.000"/>
        <d v="2020-06-22T19:46:30.000"/>
        <d v="2020-06-22T19:48:55.000"/>
        <d v="2020-06-22T19:59:15.000"/>
        <d v="2020-06-22T20:01:36.000"/>
        <d v="2020-06-22T20:02:13.000"/>
        <d v="2020-06-22T20:06:21.000"/>
        <d v="2020-06-22T20:07:45.000"/>
        <d v="2020-06-22T20:11:34.000"/>
        <d v="2020-06-22T20:15:17.000"/>
        <d v="2020-06-22T20:15:36.000"/>
        <d v="2020-06-22T20:17:18.000"/>
        <d v="2020-06-22T20:20:33.000"/>
        <d v="2020-06-22T20:20:58.000"/>
        <d v="2020-06-22T20:22:18.000"/>
        <d v="2020-06-22T21:12:16.000"/>
        <d v="2020-06-22T21:13:33.000"/>
        <d v="2020-06-22T21:24:57.000"/>
        <d v="2020-06-22T21:25:01.000"/>
        <d v="2020-06-22T21:25:16.000"/>
        <d v="2020-06-22T21:53:20.000"/>
        <d v="2020-06-22T22:11:41.000"/>
        <d v="2020-06-22T22:32:26.000"/>
        <d v="2020-06-22T22:39:24.000"/>
        <d v="2020-06-22T22:53:31.000"/>
        <d v="2020-06-22T23:03:21.000"/>
        <d v="2020-06-12T07:04:44.000"/>
        <d v="2020-06-22T23:15:45.000"/>
        <d v="2020-06-22T23:46:31.000"/>
        <d v="2020-06-23T00:14:14.000"/>
        <d v="2020-06-23T00:50:50.000"/>
        <d v="2020-06-23T01:02:34.000"/>
        <d v="2020-06-23T01:05:36.000"/>
        <d v="2020-06-23T01:12:54.000"/>
        <d v="2020-06-23T01:26:11.000"/>
        <d v="2020-06-23T01:49:27.000"/>
        <d v="2020-06-18T16:34:19.000"/>
        <d v="2020-06-23T02:08:48.000"/>
        <d v="2020-06-23T02:09:28.000"/>
        <d v="2020-06-23T02:27:46.000"/>
        <d v="2020-06-23T02:38:06.000"/>
        <d v="2020-06-22T01:41:36.000"/>
        <d v="2020-06-22T02:41:33.000"/>
        <d v="2020-06-22T03:41:33.000"/>
        <d v="2020-06-22T04:41:50.000"/>
        <d v="2020-06-22T05:41:33.000"/>
        <d v="2020-06-22T11:41:33.000"/>
        <d v="2020-06-22T13:41:34.000"/>
        <d v="2020-06-22T13:41:43.000"/>
        <d v="2020-06-22T14:41:33.000"/>
        <d v="2020-06-22T15:41:33.000"/>
        <d v="2020-06-22T15:41:37.000"/>
        <d v="2020-06-22T16:41:33.000"/>
        <d v="2020-06-22T16:41:37.000"/>
        <d v="2020-06-22T16:41:46.000"/>
        <d v="2020-06-22T17:42:03.000"/>
        <d v="2020-06-22T17:41:46.000"/>
        <d v="2020-06-22T18:41:33.000"/>
        <d v="2020-06-22T17:41:41.000"/>
        <d v="2020-06-22T18:41:40.000"/>
        <d v="2020-06-22T17:41:33.000"/>
        <d v="2020-06-22T18:41:49.000"/>
        <d v="2020-06-22T19:41:42.000"/>
        <d v="2020-06-22T19:41:46.000"/>
        <d v="2020-06-22T20:41:33.000"/>
        <d v="2020-06-22T20:41:37.000"/>
        <d v="2020-06-22T19:41:52.000"/>
        <d v="2020-06-22T20:41:52.000"/>
        <d v="2020-06-22T16:41:56.000"/>
        <d v="2020-06-22T17:41:57.000"/>
        <d v="2020-06-22T19:41:33.000"/>
        <d v="2020-06-22T20:41:57.000"/>
        <d v="2020-06-22T21:41:33.000"/>
        <d v="2020-06-22T21:41:57.000"/>
        <d v="2020-06-22T22:28:00.000"/>
        <d v="2020-06-22T21:41:36.000"/>
        <d v="2020-06-22T21:41:46.000"/>
        <d v="2020-06-22T22:41:33.000"/>
        <d v="2020-06-22T22:41:43.000"/>
        <d v="2020-06-22T23:41:33.000"/>
        <d v="2020-06-23T00:41:33.000"/>
        <d v="2020-06-23T01:41:33.000"/>
        <d v="2020-06-23T01:41:43.000"/>
        <d v="2020-06-22T20:41:44.000"/>
        <d v="2020-06-22T21:41:51.000"/>
        <d v="2020-06-23T02:41:33.000"/>
        <d v="2020-06-22T20:28:33.000"/>
        <d v="2020-06-23T03:41:32.000"/>
        <d v="2020-06-23T03:47:53.000"/>
        <d v="2020-06-23T04:31:44.000"/>
        <d v="2020-06-23T04:32:04.000"/>
        <d v="2020-06-23T05:23:46.000"/>
        <d v="2020-06-23T05:56:00.000"/>
        <d v="2020-06-23T05:58:41.000"/>
        <d v="2020-06-18T06:19:58.000"/>
        <d v="2020-06-22T11:12:22.000"/>
        <d v="2020-06-22T12:12:23.000"/>
        <d v="2020-06-20T11:35:52.000"/>
        <d v="2020-06-23T06:00:33.000"/>
        <d v="2020-06-23T06:04:35.000"/>
        <d v="2020-06-22T14:57:32.000"/>
        <d v="2020-06-23T06:08:39.000"/>
        <d v="2020-06-22T17:26:08.000"/>
        <d v="2020-06-23T06:08:50.000"/>
        <d v="2020-06-23T06:08:57.000"/>
        <d v="2020-06-23T06:14:11.000"/>
        <d v="2020-06-23T06:14:48.000"/>
        <d v="2020-06-23T06:15:01.000"/>
        <d v="2020-06-23T06:30:36.000"/>
        <d v="2020-06-23T06:45:01.000"/>
        <d v="2020-06-23T07:58:22.000"/>
        <d v="2020-06-22T03:53:45.000"/>
        <d v="2020-06-23T08:04:54.000"/>
        <d v="2020-06-23T08:10:20.000"/>
        <d v="2020-06-23T08:11:30.000"/>
        <d v="2020-06-23T08:15:12.000"/>
        <d v="2020-06-22T12:08:10.000"/>
        <d v="2020-06-23T08:25:29.000"/>
        <d v="2020-06-23T05:59:53.000"/>
        <d v="2020-06-23T08:29:25.000"/>
        <d v="2020-06-02T11:47:03.000"/>
        <d v="2020-06-23T08:42:45.000"/>
        <d v="2020-06-01T14:30:02.000"/>
        <d v="2020-06-14T09:30:03.000"/>
        <d v="2020-06-23T08:42:44.000"/>
        <d v="2020-06-23T08:42:53.000"/>
        <d v="2020-06-23T09:04:33.000"/>
        <d v="2020-06-23T08:03:38.000"/>
        <d v="2020-06-23T09:29:49.000"/>
        <d v="2020-06-22T19:55:42.000"/>
        <d v="2020-06-23T09:47:45.000"/>
        <d v="2020-06-19T14:00:03.000"/>
        <d v="2020-06-23T10:08:33.000"/>
        <d v="2020-06-22T19:40:54.000"/>
        <d v="2020-06-22T11:09:48.000"/>
        <d v="2020-06-22T20:09:52.000"/>
        <d v="2020-06-23T10:28:28.000"/>
        <d v="2020-06-23T10:37:21.000"/>
        <d v="2020-06-22T14:39:38.000"/>
        <d v="2020-06-23T10:40:53.000"/>
      </sharedItems>
      <fieldGroup par="67" base="15">
        <rangePr groupBy="days" autoEnd="1" autoStart="1" startDate="2020-06-01T14:30:02.000" endDate="2020-06-23T10:40:53.000"/>
        <groupItems count="368">
          <s v="&lt;6/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0-06-01T14:30:02.000" endDate="2020-06-23T10:40:53.000"/>
        <groupItems count="14">
          <s v="&lt;6/1/2020"/>
          <s v="Jan"/>
          <s v="Feb"/>
          <s v="Mar"/>
          <s v="Apr"/>
          <s v="May"/>
          <s v="Jun"/>
          <s v="Jul"/>
          <s v="Aug"/>
          <s v="Sep"/>
          <s v="Oct"/>
          <s v="Nov"/>
          <s v="Dec"/>
          <s v="&gt;6/23/2020"/>
        </groupItems>
      </fieldGroup>
    </cacheField>
    <cacheField name="Years" databaseField="0">
      <sharedItems containsMixedTypes="0" count="0"/>
      <fieldGroup base="15">
        <rangePr groupBy="years" autoEnd="1" autoStart="1" startDate="2020-06-01T14:30:02.000" endDate="2020-06-23T10:40:53.000"/>
        <groupItems count="3">
          <s v="&lt;6/1/2020"/>
          <s v="2020"/>
          <s v="&gt;6/23/2020"/>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10">
  <r>
    <s v="datavislisboa"/>
    <s v="albertocairo"/>
    <m/>
    <m/>
    <m/>
    <m/>
    <m/>
    <m/>
    <m/>
    <m/>
    <s v="No"/>
    <n v="3"/>
    <m/>
    <m/>
    <s v="Retweet"/>
    <x v="0"/>
    <s v="Massive and comprehensive #dataViz #infographics #ddj https://t.co/a1WiwSUBt3"/>
    <m/>
    <m/>
    <s v="dataviz infographics ddj"/>
    <m/>
    <s v="http://pbs.twimg.com/profile_images/1103253061131292673/FMnT8x8x_normal.png"/>
    <d v="2020-06-22T06:21:48.000"/>
    <d v="2020-06-22T00:00:00.000"/>
    <s v="06:21:48"/>
    <s v="https://twitter.com/datavislisboa/status/1274950699428831232"/>
    <m/>
    <m/>
    <s v="1274950699428831232"/>
    <m/>
    <b v="0"/>
    <n v="0"/>
    <s v=""/>
    <b v="1"/>
    <s v="en"/>
    <m/>
    <s v="1274853316758036481"/>
    <b v="0"/>
    <n v="7"/>
    <s v="1274913441057251333"/>
    <s v="Twitter for iPhone"/>
    <b v="0"/>
    <s v="1274913441057251333"/>
    <s v="Tweet"/>
    <n v="0"/>
    <n v="0"/>
    <m/>
    <m/>
    <m/>
    <m/>
    <m/>
    <m/>
    <m/>
    <m/>
    <n v="1"/>
    <s v="9"/>
    <s v="9"/>
    <n v="1"/>
    <n v="16.666666666666668"/>
    <n v="0"/>
    <n v="0"/>
    <n v="0"/>
    <n v="0"/>
    <n v="5"/>
    <n v="83.33333333333333"/>
    <n v="6"/>
  </r>
  <r>
    <s v="mijinkim33"/>
    <s v="e2d3org"/>
    <m/>
    <m/>
    <m/>
    <m/>
    <m/>
    <m/>
    <m/>
    <m/>
    <s v="No"/>
    <n v="4"/>
    <m/>
    <m/>
    <s v="Retweet"/>
    <x v="1"/>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247422970613526530/94grK6Rm_normal.jpg"/>
    <d v="2020-06-22T07:42:13.000"/>
    <d v="2020-06-22T00:00:00.000"/>
    <s v="07:42:13"/>
    <s v="https://twitter.com/mijinkim33/status/1274970934990925825"/>
    <m/>
    <m/>
    <s v="1274970934990925825"/>
    <m/>
    <b v="0"/>
    <n v="0"/>
    <s v=""/>
    <b v="0"/>
    <s v="en"/>
    <m/>
    <s v=""/>
    <b v="0"/>
    <n v="19"/>
    <s v="1267825141666312192"/>
    <s v="Twitter for iPhone"/>
    <b v="0"/>
    <s v="1267825141666312192"/>
    <s v="Tweet"/>
    <n v="0"/>
    <n v="0"/>
    <m/>
    <m/>
    <m/>
    <m/>
    <m/>
    <m/>
    <m/>
    <m/>
    <n v="1"/>
    <s v="6"/>
    <s v="6"/>
    <n v="2"/>
    <n v="5.714285714285714"/>
    <n v="0"/>
    <n v="0"/>
    <n v="0"/>
    <n v="0"/>
    <n v="33"/>
    <n v="94.28571428571429"/>
    <n v="35"/>
  </r>
  <r>
    <s v="codegnuts"/>
    <s v="e2d3org"/>
    <m/>
    <m/>
    <m/>
    <m/>
    <m/>
    <m/>
    <m/>
    <m/>
    <s v="No"/>
    <n v="5"/>
    <m/>
    <m/>
    <s v="Retweet"/>
    <x v="2"/>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266134298429517824/Gxv_xYd7_normal.jpg"/>
    <d v="2020-06-22T07:42:18.000"/>
    <d v="2020-06-22T00:00:00.000"/>
    <s v="07:42:18"/>
    <s v="https://twitter.com/codegnuts/status/1274970956600049666"/>
    <m/>
    <m/>
    <s v="1274970956600049666"/>
    <m/>
    <b v="0"/>
    <n v="0"/>
    <s v=""/>
    <b v="0"/>
    <s v="en"/>
    <m/>
    <s v=""/>
    <b v="0"/>
    <n v="19"/>
    <s v="1267825141666312192"/>
    <s v="GnutsBot"/>
    <b v="0"/>
    <s v="1267825141666312192"/>
    <s v="Tweet"/>
    <n v="0"/>
    <n v="0"/>
    <m/>
    <m/>
    <m/>
    <m/>
    <m/>
    <m/>
    <m/>
    <m/>
    <n v="1"/>
    <s v="6"/>
    <s v="6"/>
    <n v="2"/>
    <n v="5.714285714285714"/>
    <n v="0"/>
    <n v="0"/>
    <n v="0"/>
    <n v="0"/>
    <n v="33"/>
    <n v="94.28571428571429"/>
    <n v="35"/>
  </r>
  <r>
    <s v="nodequotesbot"/>
    <s v="e2d3org"/>
    <m/>
    <m/>
    <m/>
    <m/>
    <m/>
    <m/>
    <m/>
    <m/>
    <s v="No"/>
    <n v="6"/>
    <m/>
    <m/>
    <s v="Retweet"/>
    <x v="2"/>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272605555497078785/WLzdWQ-o_normal.jpg"/>
    <d v="2020-06-22T07:42:18.000"/>
    <d v="2020-06-22T00:00:00.000"/>
    <s v="07:42:18"/>
    <s v="https://twitter.com/nodequotesbot/status/1274970956683935744"/>
    <m/>
    <m/>
    <s v="1274970956683935744"/>
    <m/>
    <b v="0"/>
    <n v="0"/>
    <s v=""/>
    <b v="0"/>
    <s v="en"/>
    <m/>
    <s v=""/>
    <b v="0"/>
    <n v="19"/>
    <s v="1267825141666312192"/>
    <s v="Twitter for addempsea"/>
    <b v="0"/>
    <s v="1267825141666312192"/>
    <s v="Tweet"/>
    <n v="0"/>
    <n v="0"/>
    <m/>
    <m/>
    <m/>
    <m/>
    <m/>
    <m/>
    <m/>
    <m/>
    <n v="1"/>
    <s v="6"/>
    <s v="6"/>
    <n v="2"/>
    <n v="5.714285714285714"/>
    <n v="0"/>
    <n v="0"/>
    <n v="0"/>
    <n v="0"/>
    <n v="33"/>
    <n v="94.28571428571429"/>
    <n v="35"/>
  </r>
  <r>
    <s v="theinfernobot"/>
    <s v="e2d3org"/>
    <m/>
    <m/>
    <m/>
    <m/>
    <m/>
    <m/>
    <m/>
    <m/>
    <s v="No"/>
    <n v="7"/>
    <m/>
    <m/>
    <s v="Retweet"/>
    <x v="3"/>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263711283196633089/mckc1xGI_normal.jpg"/>
    <d v="2020-06-22T07:42:20.000"/>
    <d v="2020-06-22T00:00:00.000"/>
    <s v="07:42:20"/>
    <s v="https://twitter.com/theinfernobot/status/1274970965332672514"/>
    <m/>
    <m/>
    <s v="1274970965332672514"/>
    <m/>
    <b v="0"/>
    <n v="0"/>
    <s v=""/>
    <b v="0"/>
    <s v="en"/>
    <m/>
    <s v=""/>
    <b v="0"/>
    <n v="19"/>
    <s v="1267825141666312192"/>
    <s v="@erRaghavKhanna"/>
    <b v="0"/>
    <s v="1267825141666312192"/>
    <s v="Tweet"/>
    <n v="0"/>
    <n v="0"/>
    <m/>
    <m/>
    <m/>
    <m/>
    <m/>
    <m/>
    <m/>
    <m/>
    <n v="1"/>
    <s v="6"/>
    <s v="6"/>
    <n v="2"/>
    <n v="5.714285714285714"/>
    <n v="0"/>
    <n v="0"/>
    <n v="0"/>
    <n v="0"/>
    <n v="33"/>
    <n v="94.28571428571429"/>
    <n v="35"/>
  </r>
  <r>
    <s v="markj_ohnson"/>
    <s v="e2d3org"/>
    <m/>
    <m/>
    <m/>
    <m/>
    <m/>
    <m/>
    <m/>
    <m/>
    <s v="No"/>
    <n v="8"/>
    <m/>
    <m/>
    <s v="Retweet"/>
    <x v="4"/>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039966314960437248/yKL_4LvX_normal.jpg"/>
    <d v="2020-06-22T07:44:24.000"/>
    <d v="2020-06-22T00:00:00.000"/>
    <s v="07:44:24"/>
    <s v="https://twitter.com/markj_ohnson/status/1274971486420336643"/>
    <m/>
    <m/>
    <s v="1274971486420336643"/>
    <m/>
    <b v="0"/>
    <n v="0"/>
    <s v=""/>
    <b v="0"/>
    <s v="en"/>
    <m/>
    <s v=""/>
    <b v="0"/>
    <n v="19"/>
    <s v="1267825141666312192"/>
    <s v="Mark Johnson1"/>
    <b v="0"/>
    <s v="1267825141666312192"/>
    <s v="Tweet"/>
    <n v="0"/>
    <n v="0"/>
    <m/>
    <m/>
    <m/>
    <m/>
    <m/>
    <m/>
    <m/>
    <m/>
    <n v="1"/>
    <s v="6"/>
    <s v="6"/>
    <n v="2"/>
    <n v="5.714285714285714"/>
    <n v="0"/>
    <n v="0"/>
    <n v="0"/>
    <n v="0"/>
    <n v="33"/>
    <n v="94.28571428571429"/>
    <n v="35"/>
  </r>
  <r>
    <s v="digitalsphere33"/>
    <s v="e2d3org"/>
    <m/>
    <m/>
    <m/>
    <m/>
    <m/>
    <m/>
    <m/>
    <m/>
    <s v="No"/>
    <n v="9"/>
    <m/>
    <m/>
    <s v="Retweet"/>
    <x v="5"/>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031997097690759170/psuwWLYh_normal.jpg"/>
    <d v="2020-06-22T07:59:53.000"/>
    <d v="2020-06-22T00:00:00.000"/>
    <s v="07:59:53"/>
    <s v="https://twitter.com/digitalsphere33/status/1274975382123536384"/>
    <m/>
    <m/>
    <s v="1274975382123536384"/>
    <m/>
    <b v="0"/>
    <n v="0"/>
    <s v=""/>
    <b v="0"/>
    <s v="en"/>
    <m/>
    <s v=""/>
    <b v="0"/>
    <n v="19"/>
    <s v="1267825141666312192"/>
    <s v="Replier bot"/>
    <b v="0"/>
    <s v="1267825141666312192"/>
    <s v="Tweet"/>
    <n v="0"/>
    <n v="0"/>
    <m/>
    <m/>
    <m/>
    <m/>
    <m/>
    <m/>
    <m/>
    <m/>
    <n v="1"/>
    <s v="6"/>
    <s v="6"/>
    <n v="2"/>
    <n v="5.714285714285714"/>
    <n v="0"/>
    <n v="0"/>
    <n v="0"/>
    <n v="0"/>
    <n v="33"/>
    <n v="94.28571428571429"/>
    <n v="35"/>
  </r>
  <r>
    <s v="taieb_bot"/>
    <s v="e2d3org"/>
    <m/>
    <m/>
    <m/>
    <m/>
    <m/>
    <m/>
    <m/>
    <m/>
    <s v="No"/>
    <n v="10"/>
    <m/>
    <m/>
    <s v="Retweet"/>
    <x v="6"/>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885513954818220033/gf3Ci4dO_normal.jpg"/>
    <d v="2020-06-22T07:59:56.000"/>
    <d v="2020-06-22T00:00:00.000"/>
    <s v="07:59:56"/>
    <s v="https://twitter.com/taieb_bot/status/1274975393179721732"/>
    <m/>
    <m/>
    <s v="1274975393179721732"/>
    <m/>
    <b v="0"/>
    <n v="0"/>
    <s v=""/>
    <b v="0"/>
    <s v="en"/>
    <m/>
    <s v=""/>
    <b v="0"/>
    <n v="19"/>
    <s v="1267825141666312192"/>
    <s v="Js_100_Day_Code"/>
    <b v="0"/>
    <s v="1267825141666312192"/>
    <s v="Tweet"/>
    <n v="0"/>
    <n v="0"/>
    <m/>
    <m/>
    <m/>
    <m/>
    <m/>
    <m/>
    <m/>
    <m/>
    <n v="1"/>
    <s v="6"/>
    <s v="6"/>
    <n v="2"/>
    <n v="5.714285714285714"/>
    <n v="0"/>
    <n v="0"/>
    <n v="0"/>
    <n v="0"/>
    <n v="33"/>
    <n v="94.28571428571429"/>
    <n v="35"/>
  </r>
  <r>
    <s v="e2d3org"/>
    <s v="e2d3org"/>
    <m/>
    <m/>
    <m/>
    <m/>
    <m/>
    <m/>
    <m/>
    <m/>
    <s v="No"/>
    <n v="11"/>
    <m/>
    <m/>
    <s v="Tweet"/>
    <x v="7"/>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startup map datascience ddj datascraping datajournalism js opensource oss gis microsoft vuejs nodejs html5 tech edtech visualization nodejs"/>
    <s v="https://pbs.twimg.com/tweet_video_thumb/EZg4PaVUMAINhAm.jpg"/>
    <s v="https://pbs.twimg.com/tweet_video_thumb/EZg4PaVUMAINhAm.jpg"/>
    <d v="2020-06-02T14:27:23.000"/>
    <d v="2020-06-02T00:00:00.000"/>
    <s v="14:27:23"/>
    <s v="https://twitter.com/e2d3org/status/1267825141666312192"/>
    <m/>
    <m/>
    <s v="1267825141666312192"/>
    <m/>
    <b v="0"/>
    <n v="10"/>
    <s v=""/>
    <b v="0"/>
    <s v="en"/>
    <m/>
    <s v=""/>
    <b v="0"/>
    <n v="19"/>
    <s v=""/>
    <s v="Twitter Web App"/>
    <b v="0"/>
    <s v="1267825141666312192"/>
    <s v="Retweet"/>
    <n v="0"/>
    <n v="0"/>
    <m/>
    <m/>
    <m/>
    <m/>
    <m/>
    <m/>
    <m/>
    <m/>
    <n v="1"/>
    <s v="6"/>
    <s v="6"/>
    <n v="2"/>
    <n v="5.714285714285714"/>
    <n v="0"/>
    <n v="0"/>
    <n v="0"/>
    <n v="0"/>
    <n v="33"/>
    <n v="94.28571428571429"/>
    <n v="35"/>
  </r>
  <r>
    <s v="dashboarddr"/>
    <s v="e2d3org"/>
    <m/>
    <m/>
    <m/>
    <m/>
    <m/>
    <m/>
    <m/>
    <m/>
    <s v="No"/>
    <n v="12"/>
    <m/>
    <m/>
    <s v="Retweet"/>
    <x v="8"/>
    <s v="#E2D3 is an #Excel add-in for #dataviz. Excel to #d3js.#GitHub #data #datavizualization #javascript #json #infographics #startup #map #DataScience #ddj #datascraping #datajournalism #JS #OpenSource #OSS #GIS #Microsoft #vuejs #Nodejs #html5 #tech #edtech #visualization #Nodejs https://t.co/OAQhlWzevs"/>
    <m/>
    <m/>
    <s v="e2d3 excel dataviz d3js github data datavizualization javascript json infographics"/>
    <m/>
    <s v="http://pbs.twimg.com/profile_images/1200295317385564161/97PctBj3_normal.jpg"/>
    <d v="2020-06-22T08:14:26.000"/>
    <d v="2020-06-22T00:00:00.000"/>
    <s v="08:14:26"/>
    <s v="https://twitter.com/dashboarddr/status/1274979044358938624"/>
    <m/>
    <m/>
    <s v="1274979044358938624"/>
    <m/>
    <b v="0"/>
    <n v="0"/>
    <s v=""/>
    <b v="0"/>
    <s v="en"/>
    <m/>
    <s v=""/>
    <b v="0"/>
    <n v="19"/>
    <s v="1267825141666312192"/>
    <s v="Microsoft Power Platform"/>
    <b v="0"/>
    <s v="1267825141666312192"/>
    <s v="Tweet"/>
    <n v="0"/>
    <n v="0"/>
    <m/>
    <m/>
    <m/>
    <m/>
    <m/>
    <m/>
    <m/>
    <m/>
    <n v="1"/>
    <s v="6"/>
    <s v="6"/>
    <n v="2"/>
    <n v="5.714285714285714"/>
    <n v="0"/>
    <n v="0"/>
    <n v="0"/>
    <n v="0"/>
    <n v="33"/>
    <n v="94.28571428571429"/>
    <n v="35"/>
  </r>
  <r>
    <s v="gijnru"/>
    <s v="gijnru"/>
    <m/>
    <m/>
    <m/>
    <m/>
    <m/>
    <m/>
    <m/>
    <m/>
    <s v="No"/>
    <n v="13"/>
    <m/>
    <m/>
    <s v="Tweet"/>
    <x v="9"/>
    <s v="Как упаковать дата-историю. Обсуждаем новые форматы в дата-журналистике: скроллителлинг, talkie, сонификация, видео, анимация, форматы для соцсетей. Какой из них стоит выбрать?_x000a_https://t.co/xRXxlWomEP #ddj #LAMPA2020 https://t.co/phcfysdc6m"/>
    <s v="https://youtu.be/_tALUcBBeB0"/>
    <s v="youtu.be"/>
    <s v="ddj lampa2020"/>
    <s v="https://pbs.twimg.com/media/EbGuCILX0AEjIl0.jpg"/>
    <s v="https://pbs.twimg.com/media/EbGuCILX0AEjIl0.jpg"/>
    <d v="2020-06-22T09:04:01.000"/>
    <d v="2020-06-22T00:00:00.000"/>
    <s v="09:04:01"/>
    <s v="https://twitter.com/gijnru/status/1274991522329571333"/>
    <m/>
    <m/>
    <s v="1274991522329571333"/>
    <m/>
    <b v="0"/>
    <n v="2"/>
    <s v=""/>
    <b v="0"/>
    <s v="ru"/>
    <m/>
    <s v=""/>
    <b v="0"/>
    <n v="0"/>
    <s v=""/>
    <s v="Buffer"/>
    <b v="0"/>
    <s v="1274991522329571333"/>
    <s v="Tweet"/>
    <n v="0"/>
    <n v="0"/>
    <m/>
    <m/>
    <m/>
    <m/>
    <m/>
    <m/>
    <m/>
    <m/>
    <n v="1"/>
    <s v="8"/>
    <s v="8"/>
    <n v="0"/>
    <n v="0"/>
    <n v="0"/>
    <n v="0"/>
    <n v="0"/>
    <n v="0"/>
    <n v="25"/>
    <n v="100"/>
    <n v="25"/>
  </r>
  <r>
    <s v="oxciej"/>
    <s v="daea_marius"/>
    <m/>
    <m/>
    <m/>
    <m/>
    <m/>
    <m/>
    <m/>
    <m/>
    <s v="No"/>
    <n v="14"/>
    <m/>
    <m/>
    <s v="Mentions"/>
    <x v="10"/>
    <s v="#WildEye investigation published in @Newsweek in Romania. @daea_marius uses data to compare wildlife crime in West and East Europe🔽_x000a_#datajournalism #ddj https://t.co/KXxIh4qXTh"/>
    <s v="https://twitter.com/daea_marius/status/1274998459075092486"/>
    <s v="twitter.com"/>
    <s v="wildeye datajournalism ddj"/>
    <m/>
    <s v="http://pbs.twimg.com/profile_images/378800000640777086/92cded97f125830eb29dc1f136797d88_normal.png"/>
    <d v="2020-06-22T10:20:56.000"/>
    <d v="2020-06-22T00:00:00.000"/>
    <s v="10:20:56"/>
    <s v="https://twitter.com/oxciej/status/1275010876886695936"/>
    <m/>
    <m/>
    <s v="1275010876886695936"/>
    <m/>
    <b v="0"/>
    <n v="1"/>
    <s v=""/>
    <b v="1"/>
    <s v="en"/>
    <m/>
    <s v="1274998459075092486"/>
    <b v="0"/>
    <n v="1"/>
    <s v=""/>
    <s v="Twitter Web App"/>
    <b v="0"/>
    <s v="1275010876886695936"/>
    <s v="Tweet"/>
    <n v="0"/>
    <n v="0"/>
    <m/>
    <m/>
    <m/>
    <m/>
    <m/>
    <m/>
    <m/>
    <m/>
    <n v="1"/>
    <s v="15"/>
    <s v="15"/>
    <m/>
    <m/>
    <m/>
    <m/>
    <m/>
    <m/>
    <m/>
    <m/>
    <m/>
  </r>
  <r>
    <s v="emibarbiroglio"/>
    <s v="daea_marius"/>
    <m/>
    <m/>
    <m/>
    <m/>
    <m/>
    <m/>
    <m/>
    <m/>
    <s v="No"/>
    <n v="15"/>
    <m/>
    <m/>
    <s v="MentionsInRetweet"/>
    <x v="11"/>
    <s v="#WildEye investigation published in @Newsweek in Romania. @daea_marius uses data to compare wildlife crime in West and East Europe🔽_x000a_#datajournalism #ddj https://t.co/KXxIh4qXTh"/>
    <m/>
    <m/>
    <s v="wildeye"/>
    <m/>
    <s v="http://pbs.twimg.com/profile_images/479237208067424256/icLNQWf8_normal.png"/>
    <d v="2020-06-22T10:21:16.000"/>
    <d v="2020-06-22T00:00:00.000"/>
    <s v="10:21:16"/>
    <s v="https://twitter.com/emibarbiroglio/status/1275010961926172672"/>
    <m/>
    <m/>
    <s v="1275010961926172672"/>
    <m/>
    <b v="0"/>
    <n v="0"/>
    <s v=""/>
    <b v="1"/>
    <s v="en"/>
    <m/>
    <s v="1274998459075092486"/>
    <b v="0"/>
    <n v="1"/>
    <s v="1275010876886695936"/>
    <s v="Twitter Web App"/>
    <b v="0"/>
    <s v="1275010876886695936"/>
    <s v="Tweet"/>
    <n v="0"/>
    <n v="0"/>
    <m/>
    <m/>
    <m/>
    <m/>
    <m/>
    <m/>
    <m/>
    <m/>
    <n v="1"/>
    <s v="15"/>
    <s v="15"/>
    <m/>
    <m/>
    <m/>
    <m/>
    <m/>
    <m/>
    <m/>
    <m/>
    <m/>
  </r>
  <r>
    <s v="masteruah"/>
    <s v="albertocairo"/>
    <m/>
    <m/>
    <m/>
    <m/>
    <m/>
    <m/>
    <m/>
    <m/>
    <s v="No"/>
    <n v="19"/>
    <m/>
    <m/>
    <s v="Retweet"/>
    <x v="12"/>
    <s v="Massive and comprehensive #dataViz #infographics #ddj https://t.co/a1WiwSUBt3"/>
    <s v="https://twitter.com/basole/status/1274853316758036481"/>
    <s v="twitter.com"/>
    <s v="dataviz infographics ddj"/>
    <m/>
    <s v="http://pbs.twimg.com/profile_images/1273030706629881856/EuOF5hHx_normal.png"/>
    <d v="2020-06-22T10:53:59.000"/>
    <d v="2020-06-22T00:00:00.000"/>
    <s v="10:53:59"/>
    <s v="https://twitter.com/masteruah/status/1275019193461739520"/>
    <m/>
    <m/>
    <s v="1275019193461739520"/>
    <m/>
    <b v="0"/>
    <n v="0"/>
    <s v=""/>
    <b v="1"/>
    <s v="en"/>
    <m/>
    <s v="1274853316758036481"/>
    <b v="0"/>
    <n v="7"/>
    <s v="1274913441057251333"/>
    <s v="TweetDeck"/>
    <b v="0"/>
    <s v="1274913441057251333"/>
    <s v="Tweet"/>
    <n v="0"/>
    <n v="0"/>
    <m/>
    <m/>
    <m/>
    <m/>
    <m/>
    <m/>
    <m/>
    <m/>
    <n v="1"/>
    <s v="9"/>
    <s v="9"/>
    <n v="1"/>
    <n v="16.666666666666668"/>
    <n v="0"/>
    <n v="0"/>
    <n v="0"/>
    <n v="0"/>
    <n v="5"/>
    <n v="83.33333333333333"/>
    <n v="6"/>
  </r>
  <r>
    <s v="sin_nl_org"/>
    <s v="sigmaawards"/>
    <m/>
    <m/>
    <m/>
    <m/>
    <m/>
    <m/>
    <m/>
    <m/>
    <s v="No"/>
    <n v="20"/>
    <m/>
    <m/>
    <s v="MentionsInRetweet"/>
    <x v="13"/>
    <s v="Inspiring #data stories: One of the lessons anyone can learn from this project by @pointer_kroncrv is to never take anything for granted: a good investigative story can hide anywhere, even within ordinary spam email! https://t.co/YgrDMEqs80 #datajournalism @sigmaawards  #ddj https://t.co/A9krmmT00V"/>
    <m/>
    <m/>
    <s v="data"/>
    <m/>
    <s v="http://pbs.twimg.com/profile_images/747149568920395776/ZRrsHHsO_normal.jpg"/>
    <d v="2020-06-22T11:01:03.000"/>
    <d v="2020-06-22T00:00:00.000"/>
    <s v="11:01:03"/>
    <s v="https://twitter.com/sin_nl_org/status/1275020971867607040"/>
    <m/>
    <m/>
    <s v="1275020971867607040"/>
    <m/>
    <b v="0"/>
    <n v="0"/>
    <s v=""/>
    <b v="0"/>
    <s v="en"/>
    <m/>
    <s v=""/>
    <b v="0"/>
    <n v="8"/>
    <s v="1273500685208883200"/>
    <s v="Twitter for iPhone"/>
    <b v="0"/>
    <s v="1273500685208883200"/>
    <s v="Tweet"/>
    <n v="0"/>
    <n v="0"/>
    <m/>
    <m/>
    <m/>
    <m/>
    <m/>
    <m/>
    <m/>
    <m/>
    <n v="1"/>
    <s v="5"/>
    <s v="5"/>
    <m/>
    <m/>
    <m/>
    <m/>
    <m/>
    <m/>
    <m/>
    <m/>
    <m/>
  </r>
  <r>
    <s v="realmiguelroca"/>
    <s v="realmiguelroca"/>
    <m/>
    <m/>
    <m/>
    <m/>
    <m/>
    <m/>
    <m/>
    <m/>
    <s v="No"/>
    <n v="23"/>
    <m/>
    <m/>
    <s v="Tweet"/>
    <x v="14"/>
    <s v="Managed to smash my phone screen when out running yesterday. 1st time I've ever done any serious damage to a handset! Thankfully was due an upgrade in a few months so have ordered a new Samsung handset which looks perfect for my #journalism &amp;amp; #ddj aspirations. 👍🤓"/>
    <m/>
    <m/>
    <s v="journalism ddj"/>
    <m/>
    <s v="http://pbs.twimg.com/profile_images/1270351092841398278/RPOWrWMl_normal.jpg"/>
    <d v="2020-06-22T11:04:00.000"/>
    <d v="2020-06-22T00:00:00.000"/>
    <s v="11:04:00"/>
    <s v="https://twitter.com/realmiguelroca/status/1275021717862309888"/>
    <m/>
    <m/>
    <s v="1275021717862309888"/>
    <m/>
    <b v="0"/>
    <n v="1"/>
    <s v=""/>
    <b v="0"/>
    <s v="en"/>
    <m/>
    <s v=""/>
    <b v="0"/>
    <n v="0"/>
    <s v=""/>
    <s v="Twitter for Android"/>
    <b v="0"/>
    <s v="1275021717862309888"/>
    <s v="Tweet"/>
    <n v="0"/>
    <n v="0"/>
    <m/>
    <m/>
    <m/>
    <m/>
    <m/>
    <m/>
    <m/>
    <m/>
    <n v="1"/>
    <s v="8"/>
    <s v="8"/>
    <n v="2"/>
    <n v="4.3478260869565215"/>
    <n v="2"/>
    <n v="4.3478260869565215"/>
    <n v="0"/>
    <n v="0"/>
    <n v="42"/>
    <n v="91.30434782608695"/>
    <n v="46"/>
  </r>
  <r>
    <s v="annkempster"/>
    <s v="johnlsheridan"/>
    <m/>
    <m/>
    <m/>
    <m/>
    <m/>
    <m/>
    <m/>
    <m/>
    <s v="No"/>
    <n v="24"/>
    <m/>
    <m/>
    <s v="MentionsInRetweet"/>
    <x v="15"/>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31540206341410816/siroPAMQ_normal.jpg"/>
    <d v="2020-06-22T11:10:05.000"/>
    <d v="2020-06-22T00:00:00.000"/>
    <s v="11:10:05"/>
    <s v="https://twitter.com/annkempster/status/1275023248477040647"/>
    <m/>
    <m/>
    <s v="1275023248477040647"/>
    <m/>
    <b v="0"/>
    <n v="0"/>
    <s v=""/>
    <b v="0"/>
    <s v="en"/>
    <m/>
    <s v=""/>
    <b v="0"/>
    <n v="37"/>
    <s v="1275023175747805186"/>
    <s v="TweetDeck"/>
    <b v="0"/>
    <s v="1275023175747805186"/>
    <s v="Tweet"/>
    <n v="0"/>
    <n v="0"/>
    <m/>
    <m/>
    <m/>
    <m/>
    <m/>
    <m/>
    <m/>
    <m/>
    <n v="1"/>
    <s v="2"/>
    <s v="2"/>
    <m/>
    <m/>
    <m/>
    <m/>
    <m/>
    <m/>
    <m/>
    <m/>
    <m/>
  </r>
  <r>
    <s v="jtwentyman"/>
    <s v="johnlsheridan"/>
    <m/>
    <m/>
    <m/>
    <m/>
    <m/>
    <m/>
    <m/>
    <m/>
    <s v="No"/>
    <n v="26"/>
    <m/>
    <m/>
    <s v="MentionsInRetweet"/>
    <x v="16"/>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61737606167715840/s3DfExtj_normal.jpg"/>
    <d v="2020-06-22T11:11:14.000"/>
    <d v="2020-06-22T00:00:00.000"/>
    <s v="11:11:14"/>
    <s v="https://twitter.com/jtwentyman/status/1275023535816261634"/>
    <m/>
    <m/>
    <s v="1275023535816261634"/>
    <m/>
    <b v="0"/>
    <n v="0"/>
    <s v=""/>
    <b v="0"/>
    <s v="en"/>
    <m/>
    <s v=""/>
    <b v="0"/>
    <n v="37"/>
    <s v="1275023175747805186"/>
    <s v="Twitter for iPhone"/>
    <b v="0"/>
    <s v="1275023175747805186"/>
    <s v="Tweet"/>
    <n v="0"/>
    <n v="0"/>
    <m/>
    <m/>
    <m/>
    <m/>
    <m/>
    <m/>
    <m/>
    <m/>
    <n v="1"/>
    <s v="2"/>
    <s v="2"/>
    <m/>
    <m/>
    <m/>
    <m/>
    <m/>
    <m/>
    <m/>
    <m/>
    <m/>
  </r>
  <r>
    <s v="sihugh"/>
    <s v="johnlsheridan"/>
    <m/>
    <m/>
    <m/>
    <m/>
    <m/>
    <m/>
    <m/>
    <m/>
    <s v="No"/>
    <n v="28"/>
    <m/>
    <m/>
    <s v="MentionsInRetweet"/>
    <x v="17"/>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779335654379511808/2be3RZOv_normal.jpg"/>
    <d v="2020-06-22T11:12:00.000"/>
    <d v="2020-06-22T00:00:00.000"/>
    <s v="11:12:00"/>
    <s v="https://twitter.com/sihugh/status/1275023729668603911"/>
    <m/>
    <m/>
    <s v="1275023729668603911"/>
    <m/>
    <b v="0"/>
    <n v="0"/>
    <s v=""/>
    <b v="0"/>
    <s v="en"/>
    <m/>
    <s v=""/>
    <b v="0"/>
    <n v="37"/>
    <s v="1275023175747805186"/>
    <s v="Twitter Web App"/>
    <b v="0"/>
    <s v="1275023175747805186"/>
    <s v="Tweet"/>
    <n v="0"/>
    <n v="0"/>
    <m/>
    <m/>
    <m/>
    <m/>
    <m/>
    <m/>
    <m/>
    <m/>
    <n v="1"/>
    <s v="2"/>
    <s v="2"/>
    <m/>
    <m/>
    <m/>
    <m/>
    <m/>
    <m/>
    <m/>
    <m/>
    <m/>
  </r>
  <r>
    <s v="nevali"/>
    <s v="johnlsheridan"/>
    <m/>
    <m/>
    <m/>
    <m/>
    <m/>
    <m/>
    <m/>
    <m/>
    <s v="No"/>
    <n v="30"/>
    <m/>
    <m/>
    <s v="MentionsInRetweet"/>
    <x v="18"/>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15556487868829696/CxKwhFtM_normal.jpg"/>
    <d v="2020-06-22T11:12:32.000"/>
    <d v="2020-06-22T00:00:00.000"/>
    <s v="11:12:32"/>
    <s v="https://twitter.com/nevali/status/1275023864267968513"/>
    <m/>
    <m/>
    <s v="1275023864267968513"/>
    <m/>
    <b v="0"/>
    <n v="0"/>
    <s v=""/>
    <b v="0"/>
    <s v="en"/>
    <m/>
    <s v=""/>
    <b v="0"/>
    <n v="37"/>
    <s v="1275023175747805186"/>
    <s v="Twitter for iPhone"/>
    <b v="0"/>
    <s v="1275023175747805186"/>
    <s v="Tweet"/>
    <n v="0"/>
    <n v="0"/>
    <m/>
    <m/>
    <m/>
    <m/>
    <m/>
    <m/>
    <m/>
    <m/>
    <n v="1"/>
    <s v="2"/>
    <s v="2"/>
    <m/>
    <m/>
    <m/>
    <m/>
    <m/>
    <m/>
    <m/>
    <m/>
    <m/>
  </r>
  <r>
    <s v="ellenbroad"/>
    <s v="johnlsheridan"/>
    <m/>
    <m/>
    <m/>
    <m/>
    <m/>
    <m/>
    <m/>
    <m/>
    <s v="No"/>
    <n v="32"/>
    <m/>
    <m/>
    <s v="MentionsInRetweet"/>
    <x v="19"/>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957484678855839746/pZJMD6qw_normal.jpg"/>
    <d v="2020-06-22T11:12:37.000"/>
    <d v="2020-06-22T00:00:00.000"/>
    <s v="11:12:37"/>
    <s v="https://twitter.com/ellenbroad/status/1275023885243527169"/>
    <m/>
    <m/>
    <s v="1275023885243527169"/>
    <m/>
    <b v="0"/>
    <n v="0"/>
    <s v=""/>
    <b v="0"/>
    <s v="en"/>
    <m/>
    <s v=""/>
    <b v="0"/>
    <n v="37"/>
    <s v="1275023175747805186"/>
    <s v="Twitter for iPhone"/>
    <b v="0"/>
    <s v="1275023175747805186"/>
    <s v="Tweet"/>
    <n v="0"/>
    <n v="0"/>
    <m/>
    <m/>
    <m/>
    <m/>
    <m/>
    <m/>
    <m/>
    <m/>
    <n v="1"/>
    <s v="2"/>
    <s v="2"/>
    <m/>
    <m/>
    <m/>
    <m/>
    <m/>
    <m/>
    <m/>
    <m/>
    <m/>
  </r>
  <r>
    <s v="jargonautical"/>
    <s v="johnlsheridan"/>
    <m/>
    <m/>
    <m/>
    <m/>
    <m/>
    <m/>
    <m/>
    <m/>
    <s v="No"/>
    <n v="34"/>
    <m/>
    <m/>
    <s v="MentionsInRetweet"/>
    <x v="20"/>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378800000268650026/fd91606861cc8d50f3885ed3dddd8f15_normal.jpeg"/>
    <d v="2020-06-22T11:14:01.000"/>
    <d v="2020-06-22T00:00:00.000"/>
    <s v="11:14:01"/>
    <s v="https://twitter.com/jargonautical/status/1275024238311849987"/>
    <m/>
    <m/>
    <s v="1275024238311849987"/>
    <m/>
    <b v="0"/>
    <n v="0"/>
    <s v=""/>
    <b v="0"/>
    <s v="en"/>
    <m/>
    <s v=""/>
    <b v="0"/>
    <n v="37"/>
    <s v="1275023175747805186"/>
    <s v="Twitter Web App"/>
    <b v="0"/>
    <s v="1275023175747805186"/>
    <s v="Tweet"/>
    <n v="0"/>
    <n v="0"/>
    <m/>
    <m/>
    <m/>
    <m/>
    <m/>
    <m/>
    <m/>
    <m/>
    <n v="1"/>
    <s v="2"/>
    <s v="2"/>
    <m/>
    <m/>
    <m/>
    <m/>
    <m/>
    <m/>
    <m/>
    <m/>
    <m/>
  </r>
  <r>
    <s v="mets1977"/>
    <s v="johnlsheridan"/>
    <m/>
    <m/>
    <m/>
    <m/>
    <m/>
    <m/>
    <m/>
    <m/>
    <s v="No"/>
    <n v="36"/>
    <m/>
    <m/>
    <s v="MentionsInRetweet"/>
    <x v="21"/>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31486337032826885/J26kp1W2_normal.jpg"/>
    <d v="2020-06-22T11:14:27.000"/>
    <d v="2020-06-22T00:00:00.000"/>
    <s v="11:14:27"/>
    <s v="https://twitter.com/mets1977/status/1275024347749666820"/>
    <m/>
    <m/>
    <s v="1275024347749666820"/>
    <m/>
    <b v="0"/>
    <n v="0"/>
    <s v=""/>
    <b v="0"/>
    <s v="en"/>
    <m/>
    <s v=""/>
    <b v="0"/>
    <n v="37"/>
    <s v="1275023175747805186"/>
    <s v="Twitter for Android"/>
    <b v="0"/>
    <s v="1275023175747805186"/>
    <s v="Tweet"/>
    <n v="0"/>
    <n v="0"/>
    <m/>
    <m/>
    <m/>
    <m/>
    <m/>
    <m/>
    <m/>
    <m/>
    <n v="1"/>
    <s v="2"/>
    <s v="2"/>
    <m/>
    <m/>
    <m/>
    <m/>
    <m/>
    <m/>
    <m/>
    <m/>
    <m/>
  </r>
  <r>
    <s v="mrj1971"/>
    <s v="johnlsheridan"/>
    <m/>
    <m/>
    <m/>
    <m/>
    <m/>
    <m/>
    <m/>
    <m/>
    <s v="No"/>
    <n v="38"/>
    <m/>
    <m/>
    <s v="MentionsInRetweet"/>
    <x v="22"/>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27314820749418496/ispRUpJU_normal.jpg"/>
    <d v="2020-06-22T11:19:35.000"/>
    <d v="2020-06-22T00:00:00.000"/>
    <s v="11:19:35"/>
    <s v="https://twitter.com/mrj1971/status/1275025637879746560"/>
    <m/>
    <m/>
    <s v="1275025637879746560"/>
    <m/>
    <b v="0"/>
    <n v="0"/>
    <s v=""/>
    <b v="0"/>
    <s v="en"/>
    <m/>
    <s v=""/>
    <b v="0"/>
    <n v="37"/>
    <s v="1275023175747805186"/>
    <s v="Twitter Web App"/>
    <b v="0"/>
    <s v="1275023175747805186"/>
    <s v="Tweet"/>
    <n v="0"/>
    <n v="0"/>
    <m/>
    <m/>
    <m/>
    <m/>
    <m/>
    <m/>
    <m/>
    <m/>
    <n v="1"/>
    <s v="2"/>
    <s v="2"/>
    <m/>
    <m/>
    <m/>
    <m/>
    <m/>
    <m/>
    <m/>
    <m/>
    <m/>
  </r>
  <r>
    <s v="sophietaysom"/>
    <s v="johnlsheridan"/>
    <m/>
    <m/>
    <m/>
    <m/>
    <m/>
    <m/>
    <m/>
    <m/>
    <s v="No"/>
    <n v="40"/>
    <m/>
    <m/>
    <s v="MentionsInRetweet"/>
    <x v="23"/>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19172166526885888/kPKCJx4E_normal.png"/>
    <d v="2020-06-22T11:20:39.000"/>
    <d v="2020-06-22T00:00:00.000"/>
    <s v="11:20:39"/>
    <s v="https://twitter.com/sophietaysom/status/1275025907619713025"/>
    <m/>
    <m/>
    <s v="1275025907619713025"/>
    <m/>
    <b v="0"/>
    <n v="0"/>
    <s v=""/>
    <b v="0"/>
    <s v="en"/>
    <m/>
    <s v=""/>
    <b v="0"/>
    <n v="37"/>
    <s v="1275023175747805186"/>
    <s v="Twitter Web App"/>
    <b v="0"/>
    <s v="1275023175747805186"/>
    <s v="Tweet"/>
    <n v="0"/>
    <n v="0"/>
    <m/>
    <m/>
    <m/>
    <m/>
    <m/>
    <m/>
    <m/>
    <m/>
    <n v="1"/>
    <s v="2"/>
    <s v="2"/>
    <m/>
    <m/>
    <m/>
    <m/>
    <m/>
    <m/>
    <m/>
    <m/>
    <m/>
  </r>
  <r>
    <s v="aliciacastroar"/>
    <s v="porcelinad"/>
    <m/>
    <m/>
    <m/>
    <m/>
    <m/>
    <m/>
    <m/>
    <m/>
    <s v="No"/>
    <n v="42"/>
    <m/>
    <m/>
    <s v="MentionsInRetweet"/>
    <x v="24"/>
    <s v="How many more people died in the UK during the pandemic? One of our #CIJSummer speakers _x000a_@PorcelinaD looked into the stats. #ddj #data #covid19 https://t.co/lNqRtabA43 https://t.co/IPNOXelBwF"/>
    <m/>
    <m/>
    <s v="cijsummer"/>
    <m/>
    <s v="http://pbs.twimg.com/profile_images/783046525010206720/2ZGn4mZm_normal.jpg"/>
    <d v="2020-06-22T11:36:03.000"/>
    <d v="2020-06-22T00:00:00.000"/>
    <s v="11:36:03"/>
    <s v="https://twitter.com/aliciacastroar/status/1275029783324307477"/>
    <m/>
    <m/>
    <s v="1275029783324307477"/>
    <m/>
    <b v="0"/>
    <n v="0"/>
    <s v=""/>
    <b v="0"/>
    <s v="en"/>
    <m/>
    <s v=""/>
    <b v="0"/>
    <n v="4"/>
    <s v="1273612357369987074"/>
    <s v="Twitter for iPhone"/>
    <b v="0"/>
    <s v="1273612357369987074"/>
    <s v="Tweet"/>
    <n v="0"/>
    <n v="0"/>
    <m/>
    <m/>
    <m/>
    <m/>
    <m/>
    <m/>
    <m/>
    <m/>
    <n v="1"/>
    <s v="14"/>
    <s v="14"/>
    <m/>
    <m/>
    <m/>
    <m/>
    <m/>
    <m/>
    <m/>
    <m/>
    <m/>
  </r>
  <r>
    <s v="ecarrascobe"/>
    <s v="albertocairo"/>
    <m/>
    <m/>
    <m/>
    <m/>
    <m/>
    <m/>
    <m/>
    <m/>
    <s v="No"/>
    <n v="44"/>
    <m/>
    <m/>
    <s v="Retweet"/>
    <x v="25"/>
    <s v="Massive and comprehensive #dataViz #infographics #ddj https://t.co/a1WiwSUBt3"/>
    <m/>
    <m/>
    <s v="dataviz infographics ddj"/>
    <m/>
    <s v="http://pbs.twimg.com/profile_images/1217745234/For_twet_normal.jpg"/>
    <d v="2020-06-22T12:12:32.000"/>
    <d v="2020-06-22T00:00:00.000"/>
    <s v="12:12:32"/>
    <s v="https://twitter.com/ecarrascobe/status/1275038964655759361"/>
    <m/>
    <m/>
    <s v="1275038964655759361"/>
    <m/>
    <b v="0"/>
    <n v="0"/>
    <s v=""/>
    <b v="1"/>
    <s v="en"/>
    <m/>
    <s v="1274853316758036481"/>
    <b v="0"/>
    <n v="7"/>
    <s v="1274913441057251333"/>
    <s v="Twitter for Android"/>
    <b v="0"/>
    <s v="1274913441057251333"/>
    <s v="Tweet"/>
    <n v="0"/>
    <n v="0"/>
    <m/>
    <m/>
    <m/>
    <m/>
    <m/>
    <m/>
    <m/>
    <m/>
    <n v="1"/>
    <s v="9"/>
    <s v="9"/>
    <n v="1"/>
    <n v="16.666666666666668"/>
    <n v="0"/>
    <n v="0"/>
    <n v="0"/>
    <n v="0"/>
    <n v="5"/>
    <n v="83.33333333333333"/>
    <n v="6"/>
  </r>
  <r>
    <s v="joesb"/>
    <s v="johnlsheridan"/>
    <m/>
    <m/>
    <m/>
    <m/>
    <m/>
    <m/>
    <m/>
    <m/>
    <s v="No"/>
    <n v="45"/>
    <m/>
    <m/>
    <s v="MentionsInRetweet"/>
    <x v="26"/>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81222482612817921/Y8P69F8B_normal.jpg"/>
    <d v="2020-06-22T12:17:43.000"/>
    <d v="2020-06-22T00:00:00.000"/>
    <s v="12:17:43"/>
    <s v="https://twitter.com/joesb/status/1275040268186726400"/>
    <m/>
    <m/>
    <s v="1275040268186726400"/>
    <m/>
    <b v="0"/>
    <n v="0"/>
    <s v=""/>
    <b v="0"/>
    <s v="en"/>
    <m/>
    <s v=""/>
    <b v="0"/>
    <n v="37"/>
    <s v="1275023175747805186"/>
    <s v="Twitter for iPhone"/>
    <b v="0"/>
    <s v="1275023175747805186"/>
    <s v="Tweet"/>
    <n v="0"/>
    <n v="0"/>
    <m/>
    <m/>
    <m/>
    <m/>
    <m/>
    <m/>
    <m/>
    <m/>
    <n v="1"/>
    <s v="2"/>
    <s v="2"/>
    <m/>
    <m/>
    <m/>
    <m/>
    <m/>
    <m/>
    <m/>
    <m/>
    <m/>
  </r>
  <r>
    <s v="fvas"/>
    <s v="j_la28"/>
    <m/>
    <m/>
    <m/>
    <m/>
    <m/>
    <m/>
    <m/>
    <m/>
    <s v="No"/>
    <n v="47"/>
    <m/>
    <m/>
    <s v="MentionsInRetweet"/>
    <x v="27"/>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m/>
    <m/>
    <s v="data"/>
    <m/>
    <s v="http://pbs.twimg.com/profile_images/1249468566811934725/02Zw7Jf6_normal.jpg"/>
    <d v="2020-06-22T12:18:19.000"/>
    <d v="2020-06-22T00:00:00.000"/>
    <s v="12:18:19"/>
    <s v="https://twitter.com/fvas/status/1275040417747173377"/>
    <m/>
    <m/>
    <s v="1275040417747173377"/>
    <m/>
    <b v="0"/>
    <n v="0"/>
    <s v=""/>
    <b v="0"/>
    <s v="en"/>
    <m/>
    <s v=""/>
    <b v="0"/>
    <n v="6"/>
    <s v="1275037865118965761"/>
    <s v="Twitter for Android"/>
    <b v="0"/>
    <s v="1275037865118965761"/>
    <s v="Tweet"/>
    <n v="0"/>
    <n v="0"/>
    <m/>
    <m/>
    <m/>
    <m/>
    <m/>
    <m/>
    <m/>
    <m/>
    <n v="1"/>
    <s v="5"/>
    <s v="5"/>
    <m/>
    <m/>
    <m/>
    <m/>
    <m/>
    <m/>
    <m/>
    <m/>
    <m/>
  </r>
  <r>
    <s v="dasbarrett"/>
    <s v="johnlsheridan"/>
    <m/>
    <m/>
    <m/>
    <m/>
    <m/>
    <m/>
    <m/>
    <m/>
    <s v="No"/>
    <n v="50"/>
    <m/>
    <m/>
    <s v="MentionsInRetweet"/>
    <x v="28"/>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75825868532461569/L1ohgpWh_normal.jpg"/>
    <d v="2020-06-22T12:29:43.000"/>
    <d v="2020-06-22T00:00:00.000"/>
    <s v="12:29:43"/>
    <s v="https://twitter.com/dasbarrett/status/1275043286978375685"/>
    <m/>
    <m/>
    <s v="1275043286978375685"/>
    <m/>
    <b v="0"/>
    <n v="0"/>
    <s v=""/>
    <b v="0"/>
    <s v="en"/>
    <m/>
    <s v=""/>
    <b v="0"/>
    <n v="37"/>
    <s v="1275023175747805186"/>
    <s v="Twitter for iPhone"/>
    <b v="0"/>
    <s v="1275023175747805186"/>
    <s v="Tweet"/>
    <n v="0"/>
    <n v="0"/>
    <m/>
    <m/>
    <m/>
    <m/>
    <m/>
    <m/>
    <m/>
    <m/>
    <n v="1"/>
    <s v="2"/>
    <s v="2"/>
    <m/>
    <m/>
    <m/>
    <m/>
    <m/>
    <m/>
    <m/>
    <m/>
    <m/>
  </r>
  <r>
    <s v="cijournalism"/>
    <s v="porcelinad"/>
    <m/>
    <m/>
    <m/>
    <m/>
    <m/>
    <m/>
    <m/>
    <m/>
    <s v="No"/>
    <n v="52"/>
    <m/>
    <m/>
    <s v="Mentions"/>
    <x v="29"/>
    <s v="How many more people died in the UK during the pandemic? One of our #CIJSummer speakers _x000a_@PorcelinaD looked into the stats. #ddj #data #covid19 https://t.co/lNqRtabA43 https://t.co/IPNOXelBwF"/>
    <s v="https://www.theguardian.com/world/2020/jun/18/covid-19-excess-death-rates-more-than-twice-uk-average-for-19-english-councils"/>
    <s v="theguardian.com"/>
    <s v="cijsummer ddj data covid19"/>
    <s v="https://pbs.twimg.com/media/EazHnIGXkAEoFx1.jpg"/>
    <s v="https://pbs.twimg.com/media/EazHnIGXkAEoFx1.jpg"/>
    <d v="2020-06-18T13:43:43.000"/>
    <d v="2020-06-18T00:00:00.000"/>
    <s v="13:43:43"/>
    <s v="https://twitter.com/cijournalism/status/1273612357369987074"/>
    <m/>
    <m/>
    <s v="1273612357369987074"/>
    <m/>
    <b v="0"/>
    <n v="3"/>
    <s v=""/>
    <b v="0"/>
    <s v="en"/>
    <m/>
    <s v=""/>
    <b v="0"/>
    <n v="4"/>
    <s v=""/>
    <s v="Twitter Web App"/>
    <b v="0"/>
    <s v="1273612357369987074"/>
    <s v="Retweet"/>
    <n v="0"/>
    <n v="0"/>
    <m/>
    <m/>
    <m/>
    <m/>
    <m/>
    <m/>
    <m/>
    <m/>
    <n v="1"/>
    <s v="14"/>
    <s v="14"/>
    <n v="0"/>
    <n v="0"/>
    <n v="1"/>
    <n v="4.166666666666667"/>
    <n v="0"/>
    <n v="0"/>
    <n v="23"/>
    <n v="95.83333333333333"/>
    <n v="24"/>
  </r>
  <r>
    <s v="marcelodgr67"/>
    <s v="porcelinad"/>
    <m/>
    <m/>
    <m/>
    <m/>
    <m/>
    <m/>
    <m/>
    <m/>
    <s v="No"/>
    <n v="53"/>
    <m/>
    <m/>
    <s v="MentionsInRetweet"/>
    <x v="30"/>
    <s v="How many more people died in the UK during the pandemic? One of our #CIJSummer speakers _x000a_@PorcelinaD looked into the stats. #ddj #data #covid19 https://t.co/lNqRtabA43 https://t.co/IPNOXelBwF"/>
    <m/>
    <m/>
    <s v="cijsummer"/>
    <m/>
    <s v="http://pbs.twimg.com/profile_images/911891391/paaaaaaaaaa_normal.jpg"/>
    <d v="2020-06-22T12:46:53.000"/>
    <d v="2020-06-22T00:00:00.000"/>
    <s v="12:46:53"/>
    <s v="https://twitter.com/marcelodgr67/status/1275047608617242625"/>
    <m/>
    <m/>
    <s v="1275047608617242625"/>
    <m/>
    <b v="0"/>
    <n v="0"/>
    <s v=""/>
    <b v="0"/>
    <s v="en"/>
    <m/>
    <s v=""/>
    <b v="0"/>
    <n v="4"/>
    <s v="1273612357369987074"/>
    <s v="Twitter for Android"/>
    <b v="0"/>
    <s v="1273612357369987074"/>
    <s v="Tweet"/>
    <n v="0"/>
    <n v="0"/>
    <m/>
    <m/>
    <m/>
    <m/>
    <m/>
    <m/>
    <m/>
    <m/>
    <n v="1"/>
    <s v="14"/>
    <s v="14"/>
    <m/>
    <m/>
    <m/>
    <m/>
    <m/>
    <m/>
    <m/>
    <m/>
    <m/>
  </r>
  <r>
    <s v="anaserranot"/>
    <s v="j_la28"/>
    <m/>
    <m/>
    <m/>
    <m/>
    <m/>
    <m/>
    <m/>
    <m/>
    <s v="No"/>
    <n v="55"/>
    <m/>
    <m/>
    <s v="MentionsInRetweet"/>
    <x v="31"/>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m/>
    <m/>
    <s v="data"/>
    <m/>
    <s v="http://pbs.twimg.com/profile_images/1180539516811124736/U0w4DB3S_normal.jpg"/>
    <d v="2020-06-22T12:50:23.000"/>
    <d v="2020-06-22T00:00:00.000"/>
    <s v="12:50:23"/>
    <s v="https://twitter.com/anaserranot/status/1275048486891855873"/>
    <m/>
    <m/>
    <s v="1275048486891855873"/>
    <m/>
    <b v="0"/>
    <n v="0"/>
    <s v=""/>
    <b v="0"/>
    <s v="en"/>
    <m/>
    <s v=""/>
    <b v="0"/>
    <n v="6"/>
    <s v="1275037865118965761"/>
    <s v="Twitter for iPhone"/>
    <b v="0"/>
    <s v="1275037865118965761"/>
    <s v="Tweet"/>
    <n v="0"/>
    <n v="0"/>
    <m/>
    <m/>
    <m/>
    <m/>
    <m/>
    <m/>
    <m/>
    <m/>
    <n v="1"/>
    <s v="5"/>
    <s v="5"/>
    <m/>
    <m/>
    <m/>
    <m/>
    <m/>
    <m/>
    <m/>
    <m/>
    <m/>
  </r>
  <r>
    <s v="jeremy_morley"/>
    <s v="johnlsheridan"/>
    <m/>
    <m/>
    <m/>
    <m/>
    <m/>
    <m/>
    <m/>
    <m/>
    <s v="No"/>
    <n v="58"/>
    <m/>
    <m/>
    <s v="MentionsInRetweet"/>
    <x v="32"/>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018391950406373376/oAMTohyh_normal.jpg"/>
    <d v="2020-06-22T12:53:12.000"/>
    <d v="2020-06-22T00:00:00.000"/>
    <s v="12:53:12"/>
    <s v="https://twitter.com/jeremy_morley/status/1275049198547763204"/>
    <m/>
    <m/>
    <s v="1275049198547763204"/>
    <m/>
    <b v="0"/>
    <n v="0"/>
    <s v=""/>
    <b v="0"/>
    <s v="en"/>
    <m/>
    <s v=""/>
    <b v="0"/>
    <n v="37"/>
    <s v="1275023175747805186"/>
    <s v="Twitter for iPhone"/>
    <b v="0"/>
    <s v="1275023175747805186"/>
    <s v="Tweet"/>
    <n v="0"/>
    <n v="0"/>
    <m/>
    <m/>
    <m/>
    <m/>
    <m/>
    <m/>
    <m/>
    <m/>
    <n v="1"/>
    <s v="2"/>
    <s v="2"/>
    <m/>
    <m/>
    <m/>
    <m/>
    <m/>
    <m/>
    <m/>
    <m/>
    <m/>
  </r>
  <r>
    <s v="jenit"/>
    <s v="johnlsheridan"/>
    <m/>
    <m/>
    <m/>
    <m/>
    <m/>
    <m/>
    <m/>
    <m/>
    <s v="No"/>
    <n v="60"/>
    <m/>
    <m/>
    <s v="MentionsInRetweet"/>
    <x v="33"/>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035175023437336576/PlWu55Xt_normal.jpg"/>
    <d v="2020-06-22T13:22:13.000"/>
    <d v="2020-06-22T00:00:00.000"/>
    <s v="13:22:13"/>
    <s v="https://twitter.com/jenit/status/1275056500394921984"/>
    <m/>
    <m/>
    <s v="1275056500394921984"/>
    <m/>
    <b v="0"/>
    <n v="0"/>
    <s v=""/>
    <b v="0"/>
    <s v="en"/>
    <m/>
    <s v=""/>
    <b v="0"/>
    <n v="37"/>
    <s v="1275023175747805186"/>
    <s v="Twitter for Android"/>
    <b v="0"/>
    <s v="1275023175747805186"/>
    <s v="Tweet"/>
    <n v="0"/>
    <n v="0"/>
    <m/>
    <m/>
    <m/>
    <m/>
    <m/>
    <m/>
    <m/>
    <m/>
    <n v="1"/>
    <s v="2"/>
    <s v="2"/>
    <m/>
    <m/>
    <m/>
    <m/>
    <m/>
    <m/>
    <m/>
    <m/>
    <m/>
  </r>
  <r>
    <s v="susanagarayoa"/>
    <s v="j_la28"/>
    <m/>
    <m/>
    <m/>
    <m/>
    <m/>
    <m/>
    <m/>
    <m/>
    <s v="No"/>
    <n v="62"/>
    <m/>
    <m/>
    <s v="MentionsInRetweet"/>
    <x v="34"/>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m/>
    <m/>
    <s v="data"/>
    <m/>
    <s v="http://pbs.twimg.com/profile_images/1042441961368629249/OZo_zt9b_normal.jpg"/>
    <d v="2020-06-22T13:39:02.000"/>
    <d v="2020-06-22T00:00:00.000"/>
    <s v="13:39:02"/>
    <s v="https://twitter.com/susanagarayoa/status/1275060730555842561"/>
    <m/>
    <m/>
    <s v="1275060730555842561"/>
    <m/>
    <b v="0"/>
    <n v="0"/>
    <s v=""/>
    <b v="0"/>
    <s v="en"/>
    <m/>
    <s v=""/>
    <b v="0"/>
    <n v="6"/>
    <s v="1275037865118965761"/>
    <s v="Twitter for iPhone"/>
    <b v="0"/>
    <s v="1275037865118965761"/>
    <s v="Tweet"/>
    <n v="0"/>
    <n v="0"/>
    <m/>
    <m/>
    <m/>
    <m/>
    <m/>
    <m/>
    <m/>
    <m/>
    <n v="1"/>
    <s v="5"/>
    <s v="5"/>
    <m/>
    <m/>
    <m/>
    <m/>
    <m/>
    <m/>
    <m/>
    <m/>
    <m/>
  </r>
  <r>
    <s v="hlutwama"/>
    <s v="ajenglish"/>
    <m/>
    <m/>
    <m/>
    <m/>
    <m/>
    <m/>
    <m/>
    <m/>
    <s v="No"/>
    <n v="65"/>
    <m/>
    <m/>
    <s v="Mentions"/>
    <x v="35"/>
    <s v="Saving the Nile. Analysing the impact large dams have on the world's most famous river #dataviz #ddj @AJLabs @AJEnglish https://t.co/Ri6ETcWCXW"/>
    <s v="https://interactive.aljazeera.com/aje/2020/saving-the-nile/index.html"/>
    <s v="aljazeera.com"/>
    <s v="dataviz ddj"/>
    <m/>
    <s v="http://pbs.twimg.com/profile_images/1023052984811438080/R5xMoijf_normal.jpg"/>
    <d v="2020-06-22T13:49:03.000"/>
    <d v="2020-06-22T00:00:00.000"/>
    <s v="13:49:03"/>
    <s v="https://twitter.com/hlutwama/status/1275063253047992324"/>
    <m/>
    <m/>
    <s v="1275063253047992324"/>
    <m/>
    <b v="0"/>
    <n v="1"/>
    <s v=""/>
    <b v="0"/>
    <s v="en"/>
    <m/>
    <s v=""/>
    <b v="0"/>
    <n v="0"/>
    <s v=""/>
    <s v="Twitter Web App"/>
    <b v="0"/>
    <s v="1275063253047992324"/>
    <s v="Tweet"/>
    <n v="0"/>
    <n v="0"/>
    <m/>
    <m/>
    <m/>
    <m/>
    <m/>
    <m/>
    <m/>
    <m/>
    <n v="1"/>
    <s v="3"/>
    <s v="3"/>
    <m/>
    <m/>
    <m/>
    <m/>
    <m/>
    <m/>
    <m/>
    <m/>
    <m/>
  </r>
  <r>
    <s v="sergiogarciamor"/>
    <s v="albertocairo"/>
    <m/>
    <m/>
    <m/>
    <m/>
    <m/>
    <m/>
    <m/>
    <m/>
    <s v="No"/>
    <n v="67"/>
    <m/>
    <m/>
    <s v="Retweet"/>
    <x v="36"/>
    <s v="Massive and comprehensive #dataViz #infographics #ddj https://t.co/a1WiwSUBt3"/>
    <m/>
    <m/>
    <s v="dataviz infographics ddj"/>
    <m/>
    <s v="http://pbs.twimg.com/profile_images/378800000573874304/8d69ae96654c67dbde48e40b2b94638d_normal.jpeg"/>
    <d v="2020-06-22T13:55:42.000"/>
    <d v="2020-06-22T00:00:00.000"/>
    <s v="13:55:42"/>
    <s v="https://twitter.com/sergiogarciamor/status/1275064927611281409"/>
    <m/>
    <m/>
    <s v="1275064927611281409"/>
    <m/>
    <b v="0"/>
    <n v="0"/>
    <s v=""/>
    <b v="1"/>
    <s v="en"/>
    <m/>
    <s v="1274853316758036481"/>
    <b v="0"/>
    <n v="7"/>
    <s v="1274913441057251333"/>
    <s v="Twitter for Android"/>
    <b v="0"/>
    <s v="1274913441057251333"/>
    <s v="Tweet"/>
    <n v="0"/>
    <n v="0"/>
    <m/>
    <m/>
    <m/>
    <m/>
    <m/>
    <m/>
    <m/>
    <m/>
    <n v="1"/>
    <s v="9"/>
    <s v="9"/>
    <n v="1"/>
    <n v="16.666666666666668"/>
    <n v="0"/>
    <n v="0"/>
    <n v="0"/>
    <n v="0"/>
    <n v="5"/>
    <n v="83.33333333333333"/>
    <n v="6"/>
  </r>
  <r>
    <s v="rorisangshomang"/>
    <s v="ajenglish"/>
    <m/>
    <m/>
    <m/>
    <m/>
    <m/>
    <m/>
    <m/>
    <m/>
    <s v="No"/>
    <n v="68"/>
    <m/>
    <m/>
    <s v="Mentions"/>
    <x v="37"/>
    <s v="Saving the Nile. Analysing the impact large dams have on the world's most famous river #dataviz #ddj @AJLabs @AJEnglish https://t.co/UaXvJggotd"/>
    <s v="https://interactive.aljazeera.com/aje/2020/saving-the-nile/index.html"/>
    <s v="aljazeera.com"/>
    <s v="dataviz ddj"/>
    <m/>
    <s v="http://abs.twimg.com/sticky/default_profile_images/default_profile_normal.png"/>
    <d v="2020-06-22T14:22:09.000"/>
    <d v="2020-06-22T00:00:00.000"/>
    <s v="14:22:09"/>
    <s v="https://twitter.com/rorisangshomang/status/1275071583497777153"/>
    <m/>
    <m/>
    <s v="1275071583497777153"/>
    <m/>
    <b v="0"/>
    <n v="0"/>
    <s v=""/>
    <b v="0"/>
    <s v="en"/>
    <m/>
    <s v=""/>
    <b v="0"/>
    <n v="0"/>
    <s v=""/>
    <s v="Twitter for Android"/>
    <b v="0"/>
    <s v="1275071583497777153"/>
    <s v="Tweet"/>
    <n v="0"/>
    <n v="0"/>
    <m/>
    <m/>
    <m/>
    <m/>
    <m/>
    <m/>
    <m/>
    <m/>
    <n v="1"/>
    <s v="3"/>
    <s v="3"/>
    <m/>
    <m/>
    <m/>
    <m/>
    <m/>
    <m/>
    <m/>
    <m/>
    <m/>
  </r>
  <r>
    <s v="natalia_ojewska"/>
    <s v="ajenglish"/>
    <m/>
    <m/>
    <m/>
    <m/>
    <m/>
    <m/>
    <m/>
    <m/>
    <s v="No"/>
    <n v="70"/>
    <m/>
    <m/>
    <s v="Mentions"/>
    <x v="38"/>
    <s v="Saving the Nile. Analysing the impact large dams have on the world's most famous river #dataviz #ddj @AJLabs @AJEnglish https://t.co/9pVtIFTh04"/>
    <s v="https://interactive.aljazeera.com/aje/2020/saving-the-nile/index.html"/>
    <s v="aljazeera.com"/>
    <s v="dataviz ddj"/>
    <m/>
    <s v="http://pbs.twimg.com/profile_images/1154077318664663041/hcieLb5Z_normal.jpg"/>
    <d v="2020-06-22T14:44:48.000"/>
    <d v="2020-06-22T00:00:00.000"/>
    <s v="14:44:48"/>
    <s v="https://twitter.com/natalia_ojewska/status/1275077283196227584"/>
    <m/>
    <m/>
    <s v="1275077283196227584"/>
    <m/>
    <b v="0"/>
    <n v="0"/>
    <s v=""/>
    <b v="0"/>
    <s v="en"/>
    <m/>
    <s v=""/>
    <b v="0"/>
    <n v="0"/>
    <s v=""/>
    <s v="Twitter Web App"/>
    <b v="0"/>
    <s v="1275077283196227584"/>
    <s v="Tweet"/>
    <n v="0"/>
    <n v="0"/>
    <m/>
    <m/>
    <m/>
    <m/>
    <m/>
    <m/>
    <m/>
    <m/>
    <n v="1"/>
    <s v="3"/>
    <s v="3"/>
    <m/>
    <m/>
    <m/>
    <m/>
    <m/>
    <m/>
    <m/>
    <m/>
    <m/>
  </r>
  <r>
    <s v="_davidmeidinger"/>
    <s v="tagesspiegel"/>
    <m/>
    <m/>
    <m/>
    <m/>
    <m/>
    <m/>
    <m/>
    <m/>
    <s v="No"/>
    <n v="72"/>
    <m/>
    <m/>
    <s v="MentionsInRetweet"/>
    <x v="39"/>
    <s v="Noch nie wurde in #Deutschland so viel #Kurzarbeit angemeldet wie in der #Coronakrise. Auch die Arbeitslosenzahlen steigen. Das trifft vor allem weniger Privilegierte. Die Folgen der Krise für den #Arbeitsmarkt in Zahlen: _x000a_➡️https://t.co/RvWCyicp5Z_x000a_@Tagesspiegel #coronavirus #ddj https://t.co/QrQ746kOhM"/>
    <m/>
    <m/>
    <s v="deutschland kurzarbeit coronakrise"/>
    <m/>
    <s v="http://pbs.twimg.com/profile_images/1054905398749265920/6BN7Qsue_normal.jpg"/>
    <d v="2020-06-22T14:56:25.000"/>
    <d v="2020-06-22T00:00:00.000"/>
    <s v="14:56:25"/>
    <s v="https://twitter.com/_davidmeidinger/status/1275080204541517826"/>
    <m/>
    <m/>
    <s v="1275080204541517826"/>
    <m/>
    <b v="0"/>
    <n v="0"/>
    <s v=""/>
    <b v="0"/>
    <s v="de"/>
    <m/>
    <s v=""/>
    <b v="0"/>
    <n v="3"/>
    <s v="1275075981967908864"/>
    <s v="Twitter for Android"/>
    <b v="0"/>
    <s v="1275075981967908864"/>
    <s v="Tweet"/>
    <n v="0"/>
    <n v="0"/>
    <m/>
    <m/>
    <m/>
    <m/>
    <m/>
    <m/>
    <m/>
    <m/>
    <n v="1"/>
    <s v="10"/>
    <s v="10"/>
    <m/>
    <m/>
    <m/>
    <m/>
    <m/>
    <m/>
    <m/>
    <m/>
    <m/>
  </r>
  <r>
    <s v="michael_gegg"/>
    <s v="tagesspiegel"/>
    <m/>
    <m/>
    <m/>
    <m/>
    <m/>
    <m/>
    <m/>
    <m/>
    <s v="No"/>
    <n v="74"/>
    <m/>
    <m/>
    <s v="MentionsInRetweet"/>
    <x v="40"/>
    <s v="Noch nie wurde in #Deutschland so viel #Kurzarbeit angemeldet wie in der #Coronakrise. Auch die Arbeitslosenzahlen steigen. Das trifft vor allem weniger Privilegierte. Die Folgen der Krise für den #Arbeitsmarkt in Zahlen: _x000a_➡️https://t.co/RvWCyicp5Z_x000a_@Tagesspiegel #coronavirus #ddj https://t.co/QrQ746kOhM"/>
    <m/>
    <m/>
    <s v="deutschland kurzarbeit coronakrise"/>
    <m/>
    <s v="http://pbs.twimg.com/profile_images/1031312316430725120/IzOnwH8b_normal.jpg"/>
    <d v="2020-06-22T14:58:18.000"/>
    <d v="2020-06-22T00:00:00.000"/>
    <s v="14:58:18"/>
    <s v="https://twitter.com/michael_gegg/status/1275080678279794691"/>
    <m/>
    <m/>
    <s v="1275080678279794691"/>
    <m/>
    <b v="0"/>
    <n v="0"/>
    <s v=""/>
    <b v="0"/>
    <s v="de"/>
    <m/>
    <s v=""/>
    <b v="0"/>
    <n v="3"/>
    <s v="1275075981967908864"/>
    <s v="Twitter for iPhone"/>
    <b v="0"/>
    <s v="1275075981967908864"/>
    <s v="Tweet"/>
    <n v="0"/>
    <n v="0"/>
    <m/>
    <m/>
    <m/>
    <m/>
    <m/>
    <m/>
    <m/>
    <m/>
    <n v="1"/>
    <s v="10"/>
    <s v="10"/>
    <m/>
    <m/>
    <m/>
    <m/>
    <m/>
    <m/>
    <m/>
    <m/>
    <m/>
  </r>
  <r>
    <s v="emielvnh"/>
    <s v="tijd"/>
    <m/>
    <m/>
    <m/>
    <m/>
    <m/>
    <m/>
    <m/>
    <m/>
    <s v="No"/>
    <n v="76"/>
    <m/>
    <m/>
    <s v="MentionsInRetweet"/>
    <x v="41"/>
    <s v="Een kurkdroog voorjaar, regen op de foute momenten, en met dit weer ziet het er niet bepaald goed uit voor het water in ons land. Het hele droogteprobleem uitgelegd door _x000a_@tijd_x000a_ #ddj -&amp;gt; https://t.co/LmopyyJCyg https://t.co/Tr1RjuZ5Tc"/>
    <m/>
    <m/>
    <m/>
    <m/>
    <s v="http://pbs.twimg.com/profile_images/1049422406476009472/MXDKrEeP_normal.jpg"/>
    <d v="2020-06-22T15:10:51.000"/>
    <d v="2020-06-22T00:00:00.000"/>
    <s v="15:10:51"/>
    <s v="https://twitter.com/emielvnh/status/1275083837018603520"/>
    <m/>
    <m/>
    <s v="1275083837018603520"/>
    <m/>
    <b v="0"/>
    <n v="0"/>
    <s v=""/>
    <b v="0"/>
    <s v="nl"/>
    <m/>
    <s v=""/>
    <b v="0"/>
    <n v="3"/>
    <s v="1275080485333463042"/>
    <s v="Twitter for Android"/>
    <b v="0"/>
    <s v="1275080485333463042"/>
    <s v="Tweet"/>
    <n v="0"/>
    <n v="0"/>
    <m/>
    <m/>
    <m/>
    <m/>
    <m/>
    <m/>
    <m/>
    <m/>
    <n v="1"/>
    <s v="11"/>
    <s v="11"/>
    <m/>
    <m/>
    <m/>
    <m/>
    <m/>
    <m/>
    <m/>
    <m/>
    <m/>
  </r>
  <r>
    <s v="mikaelmusic1"/>
    <s v="mikaelmusic1"/>
    <m/>
    <m/>
    <m/>
    <m/>
    <m/>
    <m/>
    <m/>
    <m/>
    <s v="No"/>
    <n v="78"/>
    <m/>
    <m/>
    <s v="Tweet"/>
    <x v="42"/>
    <s v="Mobile Setup _x000a_#producer #seratodj #serato #pioneerdj #akaipro #akaiprofessional #mpclive #gearhead #setup #producerlife #mobilesetup #djlife #djlifestyle #djbooth #djequipment #djcontroller #ddjsx #pioneer #ddj #sx #pioneerddj https://t.co/DZM3L6RIF3"/>
    <m/>
    <m/>
    <s v="producer seratodj serato pioneerdj akaipro akaiprofessional mpclive gearhead setup producerlife mobilesetup djlife djlifestyle djbooth djequipment djcontroller ddjsx pioneer ddj sx pioneerddj"/>
    <s v="https://pbs.twimg.com/media/EbICLqEVAAAQBsJ.jpg"/>
    <s v="https://pbs.twimg.com/media/EbICLqEVAAAQBsJ.jpg"/>
    <d v="2020-06-22T15:11:42.000"/>
    <d v="2020-06-22T00:00:00.000"/>
    <s v="15:11:42"/>
    <s v="https://twitter.com/mikaelmusic1/status/1275084049728409601"/>
    <m/>
    <m/>
    <s v="1275084049728409601"/>
    <m/>
    <b v="0"/>
    <n v="1"/>
    <s v=""/>
    <b v="0"/>
    <s v="in"/>
    <m/>
    <s v=""/>
    <b v="0"/>
    <n v="0"/>
    <s v=""/>
    <s v="Twitter for Android"/>
    <b v="0"/>
    <s v="1275084049728409601"/>
    <s v="Tweet"/>
    <n v="0"/>
    <n v="0"/>
    <m/>
    <m/>
    <m/>
    <m/>
    <m/>
    <m/>
    <m/>
    <m/>
    <n v="1"/>
    <s v="8"/>
    <s v="8"/>
    <n v="0"/>
    <n v="0"/>
    <n v="0"/>
    <n v="0"/>
    <n v="0"/>
    <n v="0"/>
    <n v="23"/>
    <n v="100"/>
    <n v="23"/>
  </r>
  <r>
    <s v="alex_vnc_"/>
    <s v="tijd"/>
    <m/>
    <m/>
    <m/>
    <m/>
    <m/>
    <m/>
    <m/>
    <m/>
    <s v="No"/>
    <n v="79"/>
    <m/>
    <m/>
    <s v="MentionsInRetweet"/>
    <x v="43"/>
    <s v="Een kurkdroog voorjaar, regen op de foute momenten, en met dit weer ziet het er niet bepaald goed uit voor het water in ons land. Het hele droogteprobleem uitgelegd door _x000a_@tijd_x000a_ #ddj -&amp;gt; https://t.co/LmopyyJCyg https://t.co/Tr1RjuZ5Tc"/>
    <m/>
    <m/>
    <m/>
    <m/>
    <s v="http://pbs.twimg.com/profile_images/1245331442130980869/RdGTsJZQ_normal.jpg"/>
    <d v="2020-06-22T15:29:39.000"/>
    <d v="2020-06-22T00:00:00.000"/>
    <s v="15:29:39"/>
    <s v="https://twitter.com/alex_vnc_/status/1275088570869571586"/>
    <m/>
    <m/>
    <s v="1275088570869571586"/>
    <m/>
    <b v="0"/>
    <n v="0"/>
    <s v=""/>
    <b v="0"/>
    <s v="nl"/>
    <m/>
    <s v=""/>
    <b v="0"/>
    <n v="3"/>
    <s v="1275080485333463042"/>
    <s v="Twitter for Android"/>
    <b v="0"/>
    <s v="1275080485333463042"/>
    <s v="Tweet"/>
    <n v="0"/>
    <n v="0"/>
    <m/>
    <m/>
    <m/>
    <m/>
    <m/>
    <m/>
    <m/>
    <m/>
    <n v="1"/>
    <s v="11"/>
    <s v="11"/>
    <m/>
    <m/>
    <m/>
    <m/>
    <m/>
    <m/>
    <m/>
    <m/>
    <m/>
  </r>
  <r>
    <s v="konstantinosant"/>
    <s v="aiap_ita"/>
    <m/>
    <m/>
    <m/>
    <m/>
    <m/>
    <m/>
    <m/>
    <m/>
    <s v="No"/>
    <n v="81"/>
    <m/>
    <m/>
    <s v="MentionsInRetweet"/>
    <x v="44"/>
    <s v="New #dataviz online workshop scheduled! &quot;Designing visual data narratives&quot; with @Aiap_ita (in English)._x000a_Thursday 9th July 2020 | 2 pm - 6.30 pm CET, info here → https://t.co/GOlCiImGyF_x000a_#DataVisualization #infographic #ddj https://t.co/nGakPdtgec"/>
    <m/>
    <m/>
    <s v="dataviz"/>
    <m/>
    <s v="http://pbs.twimg.com/profile_images/1188845400595275776/0wa5l7cr_normal.jpg"/>
    <d v="2020-06-22T15:35:46.000"/>
    <d v="2020-06-22T00:00:00.000"/>
    <s v="15:35:46"/>
    <s v="https://twitter.com/konstantinosant/status/1275090109654859776"/>
    <m/>
    <m/>
    <s v="1275090109654859776"/>
    <m/>
    <b v="0"/>
    <n v="0"/>
    <s v=""/>
    <b v="0"/>
    <s v="en"/>
    <m/>
    <s v=""/>
    <b v="0"/>
    <n v="3"/>
    <s v="1275085713239945216"/>
    <s v="Twitter for Android"/>
    <b v="0"/>
    <s v="1275085713239945216"/>
    <s v="Tweet"/>
    <n v="0"/>
    <n v="0"/>
    <m/>
    <m/>
    <m/>
    <m/>
    <m/>
    <m/>
    <m/>
    <m/>
    <n v="1"/>
    <s v="12"/>
    <s v="12"/>
    <m/>
    <m/>
    <m/>
    <m/>
    <m/>
    <m/>
    <m/>
    <m/>
    <m/>
  </r>
  <r>
    <s v="tikiblagojev"/>
    <s v="j_la28"/>
    <m/>
    <m/>
    <m/>
    <m/>
    <m/>
    <m/>
    <m/>
    <m/>
    <s v="No"/>
    <n v="83"/>
    <m/>
    <m/>
    <s v="MentionsInRetweet"/>
    <x v="45"/>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m/>
    <m/>
    <s v="data"/>
    <m/>
    <s v="http://pbs.twimg.com/profile_images/1067845427377119234/_jD5Ca22_normal.jpg"/>
    <d v="2020-06-22T15:40:12.000"/>
    <d v="2020-06-22T00:00:00.000"/>
    <s v="15:40:12"/>
    <s v="https://twitter.com/tikiblagojev/status/1275091225595523073"/>
    <m/>
    <m/>
    <s v="1275091225595523073"/>
    <m/>
    <b v="0"/>
    <n v="0"/>
    <s v=""/>
    <b v="0"/>
    <s v="en"/>
    <m/>
    <s v=""/>
    <b v="0"/>
    <n v="6"/>
    <s v="1275037865118965761"/>
    <s v="Twitter for iPhone"/>
    <b v="0"/>
    <s v="1275037865118965761"/>
    <s v="Tweet"/>
    <n v="0"/>
    <n v="0"/>
    <m/>
    <m/>
    <m/>
    <m/>
    <m/>
    <m/>
    <m/>
    <m/>
    <n v="1"/>
    <s v="5"/>
    <s v="5"/>
    <m/>
    <m/>
    <m/>
    <m/>
    <m/>
    <m/>
    <m/>
    <m/>
    <m/>
  </r>
  <r>
    <s v="glynmottershead"/>
    <s v="telegraph"/>
    <m/>
    <m/>
    <m/>
    <m/>
    <m/>
    <m/>
    <m/>
    <m/>
    <s v="No"/>
    <n v="86"/>
    <m/>
    <m/>
    <s v="MentionsInRetweet"/>
    <x v="46"/>
    <s v="Personal news alert! Next week I'll be starting a new job as the Data Projects Editor for @NewStatesman Media's new #ddj team. Sad to leave so many great colleagues at the @Telegraph but excited for what's to come!"/>
    <m/>
    <m/>
    <m/>
    <m/>
    <s v="http://pbs.twimg.com/profile_images/2647814014/8f3c3c61ca163e32c3e085a5d8fd66e2_normal.jpeg"/>
    <d v="2020-06-22T16:04:14.000"/>
    <d v="2020-06-22T00:00:00.000"/>
    <s v="16:04:14"/>
    <s v="https://twitter.com/glynmottershead/status/1275097273668636672"/>
    <m/>
    <m/>
    <s v="1275097273668636672"/>
    <m/>
    <b v="0"/>
    <n v="0"/>
    <s v=""/>
    <b v="0"/>
    <s v="en"/>
    <m/>
    <s v=""/>
    <b v="0"/>
    <n v="5"/>
    <s v="1275081880954527746"/>
    <s v="Twitter for iPhone"/>
    <b v="0"/>
    <s v="1275081880954527746"/>
    <s v="Tweet"/>
    <n v="0"/>
    <n v="0"/>
    <m/>
    <m/>
    <m/>
    <m/>
    <m/>
    <m/>
    <m/>
    <m/>
    <n v="1"/>
    <s v="7"/>
    <s v="7"/>
    <m/>
    <m/>
    <m/>
    <m/>
    <m/>
    <m/>
    <m/>
    <m/>
    <m/>
  </r>
  <r>
    <s v="guipizzini"/>
    <s v="aiap_ita"/>
    <m/>
    <m/>
    <m/>
    <m/>
    <m/>
    <m/>
    <m/>
    <m/>
    <s v="No"/>
    <n v="89"/>
    <m/>
    <m/>
    <s v="MentionsInRetweet"/>
    <x v="47"/>
    <s v="New #dataviz online workshop scheduled! &quot;Designing visual data narratives&quot; with @Aiap_ita (in English)._x000a_Thursday 9th July 2020 | 2 pm - 6.30 pm CET, info here → https://t.co/GOlCiImGyF_x000a_#DataVisualization #infographic #ddj https://t.co/nGakPdtgec"/>
    <m/>
    <m/>
    <s v="dataviz"/>
    <m/>
    <s v="http://pbs.twimg.com/profile_images/1085889901206405120/CXGkLkkg_normal.jpg"/>
    <d v="2020-06-22T16:11:35.000"/>
    <d v="2020-06-22T00:00:00.000"/>
    <s v="16:11:35"/>
    <s v="https://twitter.com/guipizzini/status/1275099122744336385"/>
    <m/>
    <m/>
    <s v="1275099122744336385"/>
    <m/>
    <b v="0"/>
    <n v="0"/>
    <s v=""/>
    <b v="0"/>
    <s v="en"/>
    <m/>
    <s v=""/>
    <b v="0"/>
    <n v="3"/>
    <s v="1275085713239945216"/>
    <s v="Twitter for iPhone"/>
    <b v="0"/>
    <s v="1275085713239945216"/>
    <s v="Tweet"/>
    <n v="0"/>
    <n v="0"/>
    <m/>
    <m/>
    <m/>
    <m/>
    <m/>
    <m/>
    <m/>
    <m/>
    <n v="1"/>
    <s v="12"/>
    <s v="12"/>
    <m/>
    <m/>
    <m/>
    <m/>
    <m/>
    <m/>
    <m/>
    <m/>
    <m/>
  </r>
  <r>
    <s v="mcnatch"/>
    <s v="johnlsheridan"/>
    <m/>
    <m/>
    <m/>
    <m/>
    <m/>
    <m/>
    <m/>
    <m/>
    <s v="No"/>
    <n v="91"/>
    <m/>
    <m/>
    <s v="MentionsInRetweet"/>
    <x v="48"/>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14608871299469313/qJktmlL2_normal.jpg"/>
    <d v="2020-06-22T16:33:47.000"/>
    <d v="2020-06-22T00:00:00.000"/>
    <s v="16:33:47"/>
    <s v="https://twitter.com/mcnatch/status/1275104710610083845"/>
    <m/>
    <m/>
    <s v="1275104710610083845"/>
    <m/>
    <b v="0"/>
    <n v="0"/>
    <s v=""/>
    <b v="0"/>
    <s v="en"/>
    <m/>
    <s v=""/>
    <b v="0"/>
    <n v="37"/>
    <s v="1275023175747805186"/>
    <s v="Twitter for iPhone"/>
    <b v="0"/>
    <s v="1275023175747805186"/>
    <s v="Tweet"/>
    <n v="0"/>
    <n v="0"/>
    <m/>
    <m/>
    <m/>
    <m/>
    <m/>
    <m/>
    <m/>
    <m/>
    <n v="1"/>
    <s v="2"/>
    <s v="2"/>
    <m/>
    <m/>
    <m/>
    <m/>
    <m/>
    <m/>
    <m/>
    <m/>
    <m/>
  </r>
  <r>
    <s v="lukestanbra"/>
    <s v="johnlsheridan"/>
    <m/>
    <m/>
    <m/>
    <m/>
    <m/>
    <m/>
    <m/>
    <m/>
    <s v="No"/>
    <n v="93"/>
    <m/>
    <m/>
    <s v="MentionsInRetweet"/>
    <x v="49"/>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874729548323094528/NP7PyiPy_normal.jpg"/>
    <d v="2020-06-22T16:36:17.000"/>
    <d v="2020-06-22T00:00:00.000"/>
    <s v="16:36:17"/>
    <s v="https://twitter.com/lukestanbra/status/1275105339319386113"/>
    <m/>
    <m/>
    <s v="1275105339319386113"/>
    <m/>
    <b v="0"/>
    <n v="0"/>
    <s v=""/>
    <b v="0"/>
    <s v="en"/>
    <m/>
    <s v=""/>
    <b v="0"/>
    <n v="37"/>
    <s v="1275023175747805186"/>
    <s v="Twitter for Android"/>
    <b v="0"/>
    <s v="1275023175747805186"/>
    <s v="Tweet"/>
    <n v="0"/>
    <n v="0"/>
    <m/>
    <m/>
    <m/>
    <m/>
    <m/>
    <m/>
    <m/>
    <m/>
    <n v="1"/>
    <s v="2"/>
    <s v="2"/>
    <m/>
    <m/>
    <m/>
    <m/>
    <m/>
    <m/>
    <m/>
    <m/>
    <m/>
  </r>
  <r>
    <s v="mo_shamah"/>
    <s v="ajenglish"/>
    <m/>
    <m/>
    <m/>
    <m/>
    <m/>
    <m/>
    <m/>
    <m/>
    <s v="No"/>
    <n v="95"/>
    <m/>
    <m/>
    <s v="Mentions"/>
    <x v="50"/>
    <s v="Saving the Nile. Analysing the impact large dams have on the world's most famous river #dataviz #ddj @AJLabs @AJEnglish https://t.co/mwEo2mjz1l"/>
    <s v="https://interactive.aljazeera.com/aje/2020/saving-the-nile/index.html"/>
    <s v="aljazeera.com"/>
    <s v="dataviz ddj"/>
    <m/>
    <s v="http://pbs.twimg.com/profile_images/1259946967242870786/VBIslPot_normal.jpg"/>
    <d v="2020-06-22T16:39:33.000"/>
    <d v="2020-06-22T00:00:00.000"/>
    <s v="16:39:33"/>
    <s v="https://twitter.com/mo_shamah/status/1275106161944117253"/>
    <m/>
    <m/>
    <s v="1275106161944117253"/>
    <m/>
    <b v="0"/>
    <n v="0"/>
    <s v=""/>
    <b v="0"/>
    <s v="en"/>
    <m/>
    <s v=""/>
    <b v="0"/>
    <n v="0"/>
    <s v=""/>
    <s v="Twitter for Android"/>
    <b v="0"/>
    <s v="1275106161944117253"/>
    <s v="Tweet"/>
    <n v="0"/>
    <n v="0"/>
    <m/>
    <m/>
    <m/>
    <m/>
    <m/>
    <m/>
    <m/>
    <m/>
    <n v="1"/>
    <s v="3"/>
    <s v="3"/>
    <m/>
    <m/>
    <m/>
    <m/>
    <m/>
    <m/>
    <m/>
    <m/>
    <m/>
  </r>
  <r>
    <s v="psychingitout"/>
    <s v="telegraph"/>
    <m/>
    <m/>
    <m/>
    <m/>
    <m/>
    <m/>
    <m/>
    <m/>
    <s v="No"/>
    <n v="97"/>
    <m/>
    <m/>
    <s v="MentionsInRetweet"/>
    <x v="51"/>
    <s v="Personal news alert! Next week I'll be starting a new job as the Data Projects Editor for @NewStatesman Media's new #ddj team. Sad to leave so many great colleagues at the @Telegraph but excited for what's to come!"/>
    <m/>
    <m/>
    <m/>
    <m/>
    <s v="http://pbs.twimg.com/profile_images/1275099031748952072/_X1v6SKX_normal.jpg"/>
    <d v="2020-06-22T16:59:33.000"/>
    <d v="2020-06-22T00:00:00.000"/>
    <s v="16:59:33"/>
    <s v="https://twitter.com/psychingitout/status/1275111192604872704"/>
    <m/>
    <m/>
    <s v="1275111192604872704"/>
    <m/>
    <b v="0"/>
    <n v="0"/>
    <s v=""/>
    <b v="0"/>
    <s v="en"/>
    <m/>
    <s v=""/>
    <b v="0"/>
    <n v="5"/>
    <s v="1275081880954527746"/>
    <s v="Twitter for Android"/>
    <b v="0"/>
    <s v="1275081880954527746"/>
    <s v="Tweet"/>
    <n v="0"/>
    <n v="0"/>
    <m/>
    <m/>
    <m/>
    <m/>
    <m/>
    <m/>
    <m/>
    <m/>
    <n v="1"/>
    <s v="7"/>
    <s v="7"/>
    <m/>
    <m/>
    <m/>
    <m/>
    <m/>
    <m/>
    <m/>
    <m/>
    <m/>
  </r>
  <r>
    <s v="missg_dhsgeog"/>
    <s v="ajenglish"/>
    <m/>
    <m/>
    <m/>
    <m/>
    <m/>
    <m/>
    <m/>
    <m/>
    <s v="No"/>
    <n v="100"/>
    <m/>
    <m/>
    <s v="Mentions"/>
    <x v="52"/>
    <s v="Saving the Nile. Analysing the impact large dams have on the world's most famous river #dataviz #ddj @AJLabs @AJEnglish https://t.co/8jH0FXJcS8"/>
    <s v="https://interactive.aljazeera.com/aje/2020/saving-the-nile/index.html"/>
    <s v="aljazeera.com"/>
    <s v="dataviz ddj"/>
    <m/>
    <s v="http://pbs.twimg.com/profile_images/1171365730362769409/_spJA1T7_normal.jpg"/>
    <d v="2020-06-22T17:00:56.000"/>
    <d v="2020-06-22T00:00:00.000"/>
    <s v="17:00:56"/>
    <s v="https://twitter.com/missg_dhsgeog/status/1275111539520012293"/>
    <m/>
    <m/>
    <s v="1275111539520012293"/>
    <m/>
    <b v="0"/>
    <n v="0"/>
    <s v=""/>
    <b v="0"/>
    <s v="en"/>
    <m/>
    <s v=""/>
    <b v="0"/>
    <n v="0"/>
    <s v=""/>
    <s v="Twitter for iPhone"/>
    <b v="0"/>
    <s v="1275111539520012293"/>
    <s v="Tweet"/>
    <n v="0"/>
    <n v="0"/>
    <m/>
    <m/>
    <m/>
    <m/>
    <m/>
    <m/>
    <m/>
    <m/>
    <n v="1"/>
    <s v="3"/>
    <s v="3"/>
    <m/>
    <m/>
    <m/>
    <m/>
    <m/>
    <m/>
    <m/>
    <m/>
    <m/>
  </r>
  <r>
    <s v="oscwilliams"/>
    <s v="telegraph"/>
    <m/>
    <m/>
    <m/>
    <m/>
    <m/>
    <m/>
    <m/>
    <m/>
    <s v="No"/>
    <n v="102"/>
    <m/>
    <m/>
    <s v="MentionsInRetweet"/>
    <x v="53"/>
    <s v="Personal news alert! Next week I'll be starting a new job as the Data Projects Editor for @NewStatesman Media's new #ddj team. Sad to leave so many great colleagues at the @Telegraph but excited for what's to come!"/>
    <m/>
    <m/>
    <m/>
    <m/>
    <s v="http://pbs.twimg.com/profile_images/747158769671475200/w4M2qo_t_normal.jpg"/>
    <d v="2020-06-22T17:09:47.000"/>
    <d v="2020-06-22T00:00:00.000"/>
    <s v="17:09:47"/>
    <s v="https://twitter.com/oscwilliams/status/1275113767429459969"/>
    <m/>
    <m/>
    <s v="1275113767429459969"/>
    <m/>
    <b v="0"/>
    <n v="0"/>
    <s v=""/>
    <b v="0"/>
    <s v="en"/>
    <m/>
    <s v=""/>
    <b v="0"/>
    <n v="5"/>
    <s v="1275081880954527746"/>
    <s v="Twitter for iPhone"/>
    <b v="0"/>
    <s v="1275081880954527746"/>
    <s v="Tweet"/>
    <n v="0"/>
    <n v="0"/>
    <m/>
    <m/>
    <m/>
    <m/>
    <m/>
    <m/>
    <m/>
    <m/>
    <n v="1"/>
    <s v="7"/>
    <s v="7"/>
    <m/>
    <m/>
    <m/>
    <m/>
    <m/>
    <m/>
    <m/>
    <m/>
    <m/>
  </r>
  <r>
    <s v="emilyctamkin"/>
    <s v="telegraph"/>
    <m/>
    <m/>
    <m/>
    <m/>
    <m/>
    <m/>
    <m/>
    <m/>
    <s v="No"/>
    <n v="105"/>
    <m/>
    <m/>
    <s v="MentionsInRetweet"/>
    <x v="54"/>
    <s v="Personal news alert! Next week I'll be starting a new job as the Data Projects Editor for @NewStatesman Media's new #ddj team. Sad to leave so many great colleagues at the @Telegraph but excited for what's to come!"/>
    <m/>
    <m/>
    <m/>
    <m/>
    <s v="http://pbs.twimg.com/profile_images/1172243646038577157/PeV0BOU1_normal.jpg"/>
    <d v="2020-06-22T17:09:57.000"/>
    <d v="2020-06-22T00:00:00.000"/>
    <s v="17:09:57"/>
    <s v="https://twitter.com/emilyctamkin/status/1275113808726495232"/>
    <m/>
    <m/>
    <s v="1275113808726495232"/>
    <m/>
    <b v="0"/>
    <n v="0"/>
    <s v=""/>
    <b v="0"/>
    <s v="en"/>
    <m/>
    <s v=""/>
    <b v="0"/>
    <n v="5"/>
    <s v="1275081880954527746"/>
    <s v="Twitter Web App"/>
    <b v="0"/>
    <s v="1275081880954527746"/>
    <s v="Tweet"/>
    <n v="0"/>
    <n v="0"/>
    <m/>
    <m/>
    <m/>
    <m/>
    <m/>
    <m/>
    <m/>
    <m/>
    <n v="1"/>
    <s v="7"/>
    <s v="7"/>
    <m/>
    <m/>
    <m/>
    <m/>
    <m/>
    <m/>
    <m/>
    <m/>
    <m/>
  </r>
  <r>
    <s v="patrick_e_scott"/>
    <s v="telegraph"/>
    <m/>
    <m/>
    <m/>
    <m/>
    <m/>
    <m/>
    <m/>
    <m/>
    <s v="No"/>
    <n v="108"/>
    <m/>
    <m/>
    <s v="Mentions"/>
    <x v="55"/>
    <s v="Personal news alert! Next week I'll be starting a new job as the Data Projects Editor for @NewStatesman Media's new #ddj team. Sad to leave so many great colleagues at the @Telegraph but excited for what's to come!"/>
    <m/>
    <m/>
    <s v="ddj"/>
    <m/>
    <s v="http://pbs.twimg.com/profile_images/1034720657655963648/loP-DJvI_normal.jpg"/>
    <d v="2020-06-22T15:03:04.000"/>
    <d v="2020-06-22T00:00:00.000"/>
    <s v="15:03:04"/>
    <s v="https://twitter.com/patrick_e_scott/status/1275081880954527746"/>
    <m/>
    <m/>
    <s v="1275081880954527746"/>
    <m/>
    <b v="0"/>
    <n v="82"/>
    <s v=""/>
    <b v="0"/>
    <s v="en"/>
    <m/>
    <s v=""/>
    <b v="0"/>
    <n v="5"/>
    <s v=""/>
    <s v="Twitter Web App"/>
    <b v="0"/>
    <s v="1275081880954527746"/>
    <s v="Tweet"/>
    <n v="0"/>
    <n v="0"/>
    <m/>
    <m/>
    <m/>
    <m/>
    <m/>
    <m/>
    <m/>
    <m/>
    <n v="1"/>
    <s v="7"/>
    <s v="7"/>
    <m/>
    <m/>
    <m/>
    <m/>
    <m/>
    <m/>
    <m/>
    <m/>
    <m/>
  </r>
  <r>
    <s v="rob_w_ingram"/>
    <s v="telegraph"/>
    <m/>
    <m/>
    <m/>
    <m/>
    <m/>
    <m/>
    <m/>
    <m/>
    <s v="No"/>
    <n v="109"/>
    <m/>
    <m/>
    <s v="MentionsInRetweet"/>
    <x v="56"/>
    <s v="Personal news alert! Next week I'll be starting a new job as the Data Projects Editor for @NewStatesman Media's new #ddj team. Sad to leave so many great colleagues at the @Telegraph but excited for what's to come!"/>
    <m/>
    <m/>
    <m/>
    <m/>
    <s v="http://pbs.twimg.com/profile_images/730103087457652736/w24ivGRo_normal.jpg"/>
    <d v="2020-06-22T17:23:32.000"/>
    <d v="2020-06-22T00:00:00.000"/>
    <s v="17:23:32"/>
    <s v="https://twitter.com/rob_w_ingram/status/1275117227541397504"/>
    <m/>
    <m/>
    <s v="1275117227541397504"/>
    <m/>
    <b v="0"/>
    <n v="0"/>
    <s v=""/>
    <b v="0"/>
    <s v="en"/>
    <m/>
    <s v=""/>
    <b v="0"/>
    <n v="5"/>
    <s v="1275081880954527746"/>
    <s v="Twitter for iPhone"/>
    <b v="0"/>
    <s v="1275081880954527746"/>
    <s v="Tweet"/>
    <n v="0"/>
    <n v="0"/>
    <m/>
    <m/>
    <m/>
    <m/>
    <m/>
    <m/>
    <m/>
    <m/>
    <n v="1"/>
    <s v="7"/>
    <s v="7"/>
    <m/>
    <m/>
    <m/>
    <m/>
    <m/>
    <m/>
    <m/>
    <m/>
    <m/>
  </r>
  <r>
    <s v="fedfragapane"/>
    <s v="aiap_ita"/>
    <m/>
    <m/>
    <m/>
    <m/>
    <m/>
    <m/>
    <m/>
    <m/>
    <s v="No"/>
    <n v="113"/>
    <m/>
    <m/>
    <s v="Mentions"/>
    <x v="57"/>
    <s v="New #dataviz online workshop scheduled! &quot;Designing visual data narratives&quot; with @Aiap_ita (in English)._x000a_Thursday 9th July 2020 | 2 pm - 6.30 pm CET, info here → https://t.co/GOlCiImGyF_x000a_#DataVisualization #infographic #ddj https://t.co/nGakPdtgec"/>
    <s v="https://t.ly/Y31r"/>
    <s v="t.ly"/>
    <s v="dataviz datavisualization infographic ddj"/>
    <s v="https://pbs.twimg.com/media/EbIC030XYAATzgJ.jpg"/>
    <s v="https://pbs.twimg.com/media/EbIC030XYAATzgJ.jpg"/>
    <d v="2020-06-22T15:18:18.000"/>
    <d v="2020-06-22T00:00:00.000"/>
    <s v="15:18:18"/>
    <s v="https://twitter.com/fedfragapane/status/1275085713239945216"/>
    <m/>
    <m/>
    <s v="1275085713239945216"/>
    <m/>
    <b v="0"/>
    <n v="13"/>
    <s v=""/>
    <b v="0"/>
    <s v="en"/>
    <m/>
    <s v=""/>
    <b v="0"/>
    <n v="3"/>
    <s v=""/>
    <s v="Twitter Web App"/>
    <b v="0"/>
    <s v="1275085713239945216"/>
    <s v="Tweet"/>
    <n v="0"/>
    <n v="0"/>
    <m/>
    <m/>
    <m/>
    <m/>
    <m/>
    <m/>
    <m/>
    <m/>
    <n v="1"/>
    <s v="12"/>
    <s v="12"/>
    <n v="0"/>
    <n v="0"/>
    <n v="0"/>
    <n v="0"/>
    <n v="0"/>
    <n v="0"/>
    <n v="28"/>
    <n v="100"/>
    <n v="28"/>
  </r>
  <r>
    <s v="hampshire67"/>
    <s v="aiap_ita"/>
    <m/>
    <m/>
    <m/>
    <m/>
    <m/>
    <m/>
    <m/>
    <m/>
    <s v="No"/>
    <n v="114"/>
    <m/>
    <m/>
    <s v="MentionsInRetweet"/>
    <x v="58"/>
    <s v="New #dataviz online workshop scheduled! &quot;Designing visual data narratives&quot; with @Aiap_ita (in English)._x000a_Thursday 9th July 2020 | 2 pm - 6.30 pm CET, info here → https://t.co/GOlCiImGyF_x000a_#DataVisualization #infographic #ddj https://t.co/nGakPdtgec"/>
    <m/>
    <m/>
    <s v="dataviz"/>
    <m/>
    <s v="http://pbs.twimg.com/profile_images/1250135488192634880/cpcbOrEu_normal.jpg"/>
    <d v="2020-06-22T17:56:45.000"/>
    <d v="2020-06-22T00:00:00.000"/>
    <s v="17:56:45"/>
    <s v="https://twitter.com/hampshire67/status/1275125586613071872"/>
    <m/>
    <m/>
    <s v="1275125586613071872"/>
    <m/>
    <b v="0"/>
    <n v="0"/>
    <s v=""/>
    <b v="0"/>
    <s v="en"/>
    <m/>
    <s v=""/>
    <b v="0"/>
    <n v="3"/>
    <s v="1275085713239945216"/>
    <s v="Twitter Web App"/>
    <b v="0"/>
    <s v="1275085713239945216"/>
    <s v="Tweet"/>
    <n v="0"/>
    <n v="0"/>
    <m/>
    <m/>
    <m/>
    <m/>
    <m/>
    <m/>
    <m/>
    <m/>
    <n v="1"/>
    <s v="12"/>
    <s v="12"/>
    <m/>
    <m/>
    <m/>
    <m/>
    <m/>
    <m/>
    <m/>
    <m/>
    <m/>
  </r>
  <r>
    <s v="caleb_nwokoloo"/>
    <s v="ajenglish"/>
    <m/>
    <m/>
    <m/>
    <m/>
    <m/>
    <m/>
    <m/>
    <m/>
    <s v="No"/>
    <n v="116"/>
    <m/>
    <m/>
    <s v="Mentions"/>
    <x v="59"/>
    <s v="Saving the Nile. Analysing the impact large dams have on the world's most famous river #dataviz #ddj @AJLabs @AJEnglish https://t.co/CuVT4vVLpp"/>
    <s v="https://interactive.aljazeera.com/aje/2020/saving-the-nile/index.html"/>
    <s v="aljazeera.com"/>
    <s v="dataviz ddj"/>
    <m/>
    <s v="http://pbs.twimg.com/profile_images/1073341484181712898/F-HFmuR5_normal.jpg"/>
    <d v="2020-06-22T18:10:44.000"/>
    <d v="2020-06-22T00:00:00.000"/>
    <s v="18:10:44"/>
    <s v="https://twitter.com/caleb_nwokoloo/status/1275129105432883201"/>
    <m/>
    <m/>
    <s v="1275129105432883201"/>
    <m/>
    <b v="0"/>
    <n v="1"/>
    <s v=""/>
    <b v="0"/>
    <s v="en"/>
    <m/>
    <s v=""/>
    <b v="0"/>
    <n v="0"/>
    <s v=""/>
    <s v="Twitter for Android"/>
    <b v="0"/>
    <s v="1275129105432883201"/>
    <s v="Tweet"/>
    <n v="0"/>
    <n v="0"/>
    <m/>
    <m/>
    <m/>
    <m/>
    <m/>
    <m/>
    <m/>
    <m/>
    <n v="1"/>
    <s v="3"/>
    <s v="3"/>
    <m/>
    <m/>
    <m/>
    <m/>
    <m/>
    <m/>
    <m/>
    <m/>
    <m/>
  </r>
  <r>
    <s v="giubianconi"/>
    <s v="generonumero"/>
    <m/>
    <m/>
    <m/>
    <m/>
    <m/>
    <m/>
    <m/>
    <m/>
    <s v="No"/>
    <n v="118"/>
    <m/>
    <m/>
    <s v="Mentions"/>
    <x v="60"/>
    <s v="Abrimos na @generonumero chamada pra estágio em design.  https://t.co/PEXtf8TPsC_x000a__x000a_#estagio #design #GraphicDesign #dados #ddj"/>
    <s v="https://docs.google.com/document/d/14OZElNMTJyQult42sorX5bMkhGnxgTcAlRo9kKHYoqw/edit"/>
    <s v="google.com"/>
    <s v="estagio design graphicdesign dados ddj"/>
    <m/>
    <s v="http://pbs.twimg.com/profile_images/1257491671652216834/5Lr3EIHJ_normal.jpg"/>
    <d v="2020-06-22T18:37:32.000"/>
    <d v="2020-06-22T00:00:00.000"/>
    <s v="18:37:32"/>
    <s v="https://twitter.com/giubianconi/status/1275135849630445569"/>
    <m/>
    <m/>
    <s v="1275135849630445569"/>
    <m/>
    <b v="0"/>
    <n v="5"/>
    <s v=""/>
    <b v="0"/>
    <s v="pt"/>
    <m/>
    <s v=""/>
    <b v="0"/>
    <n v="1"/>
    <s v=""/>
    <s v="Twitter Web App"/>
    <b v="0"/>
    <s v="1275135849630445569"/>
    <s v="Tweet"/>
    <n v="0"/>
    <n v="0"/>
    <m/>
    <m/>
    <m/>
    <m/>
    <m/>
    <m/>
    <m/>
    <m/>
    <n v="1"/>
    <s v="18"/>
    <s v="18"/>
    <n v="0"/>
    <n v="0"/>
    <n v="0"/>
    <n v="0"/>
    <n v="0"/>
    <n v="0"/>
    <n v="13"/>
    <n v="100"/>
    <n v="13"/>
  </r>
  <r>
    <s v="rodolfoalmd"/>
    <s v="generonumero"/>
    <m/>
    <m/>
    <m/>
    <m/>
    <m/>
    <m/>
    <m/>
    <m/>
    <s v="No"/>
    <n v="119"/>
    <m/>
    <m/>
    <s v="MentionsInRetweet"/>
    <x v="61"/>
    <s v="Abrimos na @generonumero chamada pra estágio em design.  https://t.co/PEXtf8TPsC_x000a__x000a_#estagio #design #GraphicDesign #dados #ddj"/>
    <s v="https://docs.google.com/document/d/14OZElNMTJyQult42sorX5bMkhGnxgTcAlRo9kKHYoqw/edit"/>
    <s v="google.com"/>
    <s v="estagio design graphicdesign dados"/>
    <m/>
    <s v="http://pbs.twimg.com/profile_images/1275078217825542149/ygeXKC2H_normal.jpg"/>
    <d v="2020-06-22T18:38:58.000"/>
    <d v="2020-06-22T00:00:00.000"/>
    <s v="18:38:58"/>
    <s v="https://twitter.com/rodolfoalmd/status/1275136211632435200"/>
    <m/>
    <m/>
    <s v="1275136211632435200"/>
    <m/>
    <b v="0"/>
    <n v="0"/>
    <s v=""/>
    <b v="0"/>
    <s v="pt"/>
    <m/>
    <s v=""/>
    <b v="0"/>
    <n v="1"/>
    <s v="1275135849630445569"/>
    <s v="TweetDeck"/>
    <b v="0"/>
    <s v="1275135849630445569"/>
    <s v="Tweet"/>
    <n v="0"/>
    <n v="0"/>
    <m/>
    <m/>
    <m/>
    <m/>
    <m/>
    <m/>
    <m/>
    <m/>
    <n v="1"/>
    <s v="18"/>
    <s v="18"/>
    <m/>
    <m/>
    <m/>
    <m/>
    <m/>
    <m/>
    <m/>
    <m/>
    <m/>
  </r>
  <r>
    <s v="pittilla_o"/>
    <s v="ajenglish"/>
    <m/>
    <m/>
    <m/>
    <m/>
    <m/>
    <m/>
    <m/>
    <m/>
    <s v="No"/>
    <n v="121"/>
    <m/>
    <m/>
    <s v="Mentions"/>
    <x v="62"/>
    <s v="Saving the Nile. Analysing the impact large dams have on the world's most famous river #dataviz #ddj @AJLabs @AJEnglish https://t.co/rO4GSXqDi0"/>
    <s v="https://interactive.aljazeera.com/aje/2020/saving-the-nile/index.html"/>
    <s v="aljazeera.com"/>
    <s v="dataviz ddj"/>
    <m/>
    <s v="http://pbs.twimg.com/profile_images/670755807248654337/0io4RFOc_normal.jpg"/>
    <d v="2020-06-22T19:07:32.000"/>
    <d v="2020-06-22T00:00:00.000"/>
    <s v="19:07:32"/>
    <s v="https://twitter.com/pittilla_o/status/1275143400199684109"/>
    <m/>
    <m/>
    <s v="1275143400199684109"/>
    <m/>
    <b v="0"/>
    <n v="0"/>
    <s v=""/>
    <b v="0"/>
    <s v="en"/>
    <m/>
    <s v=""/>
    <b v="0"/>
    <n v="0"/>
    <s v=""/>
    <s v="Twitter for Android"/>
    <b v="0"/>
    <s v="1275143400199684109"/>
    <s v="Tweet"/>
    <n v="0"/>
    <n v="0"/>
    <m/>
    <m/>
    <m/>
    <m/>
    <m/>
    <m/>
    <m/>
    <m/>
    <n v="1"/>
    <s v="3"/>
    <s v="3"/>
    <m/>
    <m/>
    <m/>
    <m/>
    <m/>
    <m/>
    <m/>
    <m/>
    <m/>
  </r>
  <r>
    <s v="bitten_"/>
    <s v="johnlsheridan"/>
    <m/>
    <m/>
    <m/>
    <m/>
    <m/>
    <m/>
    <m/>
    <m/>
    <s v="No"/>
    <n v="123"/>
    <m/>
    <m/>
    <s v="MentionsInRetweet"/>
    <x v="63"/>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048739117247467520/xi6VVCb8_normal.jpg"/>
    <d v="2020-06-22T19:09:44.000"/>
    <d v="2020-06-22T00:00:00.000"/>
    <s v="19:09:44"/>
    <s v="https://twitter.com/bitten_/status/1275143955232034827"/>
    <m/>
    <m/>
    <s v="1275143955232034827"/>
    <m/>
    <b v="0"/>
    <n v="0"/>
    <s v=""/>
    <b v="0"/>
    <s v="en"/>
    <m/>
    <s v=""/>
    <b v="0"/>
    <n v="37"/>
    <s v="1275023175747805186"/>
    <s v="Twitter for iPhone"/>
    <b v="0"/>
    <s v="1275023175747805186"/>
    <s v="Tweet"/>
    <n v="0"/>
    <n v="0"/>
    <m/>
    <m/>
    <m/>
    <m/>
    <m/>
    <m/>
    <m/>
    <m/>
    <n v="1"/>
    <s v="2"/>
    <s v="2"/>
    <m/>
    <m/>
    <m/>
    <m/>
    <m/>
    <m/>
    <m/>
    <m/>
    <m/>
  </r>
  <r>
    <s v="edsaperia"/>
    <s v="johnlsheridan"/>
    <m/>
    <m/>
    <m/>
    <m/>
    <m/>
    <m/>
    <m/>
    <m/>
    <s v="No"/>
    <n v="125"/>
    <m/>
    <m/>
    <s v="MentionsInRetweet"/>
    <x v="64"/>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034180623924187137/DOAITlAr_normal.jpg"/>
    <d v="2020-06-22T19:33:09.000"/>
    <d v="2020-06-22T00:00:00.000"/>
    <s v="19:33:09"/>
    <s v="https://twitter.com/edsaperia/status/1275149846438129664"/>
    <m/>
    <m/>
    <s v="1275149846438129664"/>
    <m/>
    <b v="0"/>
    <n v="0"/>
    <s v=""/>
    <b v="0"/>
    <s v="en"/>
    <m/>
    <s v=""/>
    <b v="0"/>
    <n v="37"/>
    <s v="1275023175747805186"/>
    <s v="Twitter for iPhone"/>
    <b v="0"/>
    <s v="1275023175747805186"/>
    <s v="Tweet"/>
    <n v="0"/>
    <n v="0"/>
    <m/>
    <m/>
    <m/>
    <m/>
    <m/>
    <m/>
    <m/>
    <m/>
    <n v="1"/>
    <s v="2"/>
    <s v="2"/>
    <m/>
    <m/>
    <m/>
    <m/>
    <m/>
    <m/>
    <m/>
    <m/>
    <m/>
  </r>
  <r>
    <s v="nwspk"/>
    <s v="johnlsheridan"/>
    <m/>
    <m/>
    <m/>
    <m/>
    <m/>
    <m/>
    <m/>
    <m/>
    <s v="No"/>
    <n v="127"/>
    <m/>
    <m/>
    <s v="MentionsInRetweet"/>
    <x v="65"/>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599530591386804224/fBztcZ41_normal.png"/>
    <d v="2020-06-22T19:33:29.000"/>
    <d v="2020-06-22T00:00:00.000"/>
    <s v="19:33:29"/>
    <s v="https://twitter.com/nwspk/status/1275149932723408896"/>
    <m/>
    <m/>
    <s v="1275149932723408896"/>
    <m/>
    <b v="0"/>
    <n v="0"/>
    <s v=""/>
    <b v="0"/>
    <s v="en"/>
    <m/>
    <s v=""/>
    <b v="0"/>
    <n v="37"/>
    <s v="1275023175747805186"/>
    <s v="Twitter for iPhone"/>
    <b v="0"/>
    <s v="1275023175747805186"/>
    <s v="Tweet"/>
    <n v="0"/>
    <n v="0"/>
    <m/>
    <m/>
    <m/>
    <m/>
    <m/>
    <m/>
    <m/>
    <m/>
    <n v="1"/>
    <s v="2"/>
    <s v="2"/>
    <m/>
    <m/>
    <m/>
    <m/>
    <m/>
    <m/>
    <m/>
    <m/>
    <m/>
  </r>
  <r>
    <s v="aliossandro"/>
    <s v="johnlsheridan"/>
    <m/>
    <m/>
    <m/>
    <m/>
    <m/>
    <m/>
    <m/>
    <m/>
    <s v="No"/>
    <n v="129"/>
    <m/>
    <m/>
    <s v="MentionsInRetweet"/>
    <x v="66"/>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698092851230597120/It5x34IP_normal.jpg"/>
    <d v="2020-06-22T19:35:04.000"/>
    <d v="2020-06-22T00:00:00.000"/>
    <s v="19:35:04"/>
    <s v="https://twitter.com/aliossandro/status/1275150332117516288"/>
    <m/>
    <m/>
    <s v="1275150332117516288"/>
    <m/>
    <b v="0"/>
    <n v="0"/>
    <s v=""/>
    <b v="0"/>
    <s v="en"/>
    <m/>
    <s v=""/>
    <b v="0"/>
    <n v="37"/>
    <s v="1275023175747805186"/>
    <s v="Twitter for iPhone"/>
    <b v="0"/>
    <s v="1275023175747805186"/>
    <s v="Tweet"/>
    <n v="0"/>
    <n v="0"/>
    <m/>
    <m/>
    <m/>
    <m/>
    <m/>
    <m/>
    <m/>
    <m/>
    <n v="1"/>
    <s v="2"/>
    <s v="2"/>
    <m/>
    <m/>
    <m/>
    <m/>
    <m/>
    <m/>
    <m/>
    <m/>
    <m/>
  </r>
  <r>
    <s v="jaggeree"/>
    <s v="johnlsheridan"/>
    <m/>
    <m/>
    <m/>
    <m/>
    <m/>
    <m/>
    <m/>
    <m/>
    <s v="No"/>
    <n v="131"/>
    <m/>
    <m/>
    <s v="MentionsInRetweet"/>
    <x v="67"/>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781970179362328576/5L4gfy0p_normal.jpg"/>
    <d v="2020-06-22T19:41:16.000"/>
    <d v="2020-06-22T00:00:00.000"/>
    <s v="19:41:16"/>
    <s v="https://twitter.com/jaggeree/status/1275151891232669696"/>
    <m/>
    <m/>
    <s v="1275151891232669696"/>
    <m/>
    <b v="0"/>
    <n v="0"/>
    <s v=""/>
    <b v="0"/>
    <s v="en"/>
    <m/>
    <s v=""/>
    <b v="0"/>
    <n v="37"/>
    <s v="1275023175747805186"/>
    <s v="Twitter for iPhone"/>
    <b v="0"/>
    <s v="1275023175747805186"/>
    <s v="Tweet"/>
    <n v="0"/>
    <n v="0"/>
    <m/>
    <m/>
    <m/>
    <m/>
    <m/>
    <m/>
    <m/>
    <m/>
    <n v="1"/>
    <s v="2"/>
    <s v="2"/>
    <m/>
    <m/>
    <m/>
    <m/>
    <m/>
    <m/>
    <m/>
    <m/>
    <m/>
  </r>
  <r>
    <s v="helloyorick"/>
    <s v="johnlsheridan"/>
    <m/>
    <m/>
    <m/>
    <m/>
    <m/>
    <m/>
    <m/>
    <m/>
    <s v="No"/>
    <n v="133"/>
    <m/>
    <m/>
    <s v="MentionsInRetweet"/>
    <x v="68"/>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51278438738153478/-t0YaKbz_normal.jpg"/>
    <d v="2020-06-22T19:42:31.000"/>
    <d v="2020-06-22T00:00:00.000"/>
    <s v="19:42:31"/>
    <s v="https://twitter.com/helloyorick/status/1275152206270955522"/>
    <m/>
    <m/>
    <s v="1275152206270955522"/>
    <m/>
    <b v="0"/>
    <n v="0"/>
    <s v=""/>
    <b v="0"/>
    <s v="en"/>
    <m/>
    <s v=""/>
    <b v="0"/>
    <n v="37"/>
    <s v="1275023175747805186"/>
    <s v="Twitter Web App"/>
    <b v="0"/>
    <s v="1275023175747805186"/>
    <s v="Tweet"/>
    <n v="0"/>
    <n v="0"/>
    <m/>
    <m/>
    <m/>
    <m/>
    <m/>
    <m/>
    <m/>
    <m/>
    <n v="1"/>
    <s v="2"/>
    <s v="2"/>
    <m/>
    <m/>
    <m/>
    <m/>
    <m/>
    <m/>
    <m/>
    <m/>
    <m/>
  </r>
  <r>
    <s v="emmamarkiewicz"/>
    <s v="johnlsheridan"/>
    <m/>
    <m/>
    <m/>
    <m/>
    <m/>
    <m/>
    <m/>
    <m/>
    <s v="No"/>
    <n v="135"/>
    <m/>
    <m/>
    <s v="MentionsInRetweet"/>
    <x v="69"/>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34049276851970048/XhutsjwL_normal.jpg"/>
    <d v="2020-06-22T19:43:40.000"/>
    <d v="2020-06-22T00:00:00.000"/>
    <s v="19:43:40"/>
    <s v="https://twitter.com/emmamarkiewicz/status/1275152493585014784"/>
    <m/>
    <m/>
    <s v="1275152493585014784"/>
    <m/>
    <b v="0"/>
    <n v="0"/>
    <s v=""/>
    <b v="0"/>
    <s v="en"/>
    <m/>
    <s v=""/>
    <b v="0"/>
    <n v="37"/>
    <s v="1275023175747805186"/>
    <s v="Tweetlogix"/>
    <b v="0"/>
    <s v="1275023175747805186"/>
    <s v="Tweet"/>
    <n v="0"/>
    <n v="0"/>
    <m/>
    <m/>
    <m/>
    <m/>
    <m/>
    <m/>
    <m/>
    <m/>
    <n v="1"/>
    <s v="2"/>
    <s v="2"/>
    <m/>
    <m/>
    <m/>
    <m/>
    <m/>
    <m/>
    <m/>
    <m/>
    <m/>
  </r>
  <r>
    <s v="maggotlaw"/>
    <s v="johnlsheridan"/>
    <m/>
    <m/>
    <m/>
    <m/>
    <m/>
    <m/>
    <m/>
    <m/>
    <s v="No"/>
    <n v="137"/>
    <m/>
    <m/>
    <s v="MentionsInRetweet"/>
    <x v="70"/>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16879724217163776/40wFa6-9_normal.jpg"/>
    <d v="2020-06-22T19:46:30.000"/>
    <d v="2020-06-22T00:00:00.000"/>
    <s v="19:46:30"/>
    <s v="https://twitter.com/maggotlaw/status/1275153207510122497"/>
    <m/>
    <m/>
    <s v="1275153207510122497"/>
    <m/>
    <b v="0"/>
    <n v="0"/>
    <s v=""/>
    <b v="0"/>
    <s v="en"/>
    <m/>
    <s v=""/>
    <b v="0"/>
    <n v="37"/>
    <s v="1275023175747805186"/>
    <s v="Twitter for iPhone"/>
    <b v="0"/>
    <s v="1275023175747805186"/>
    <s v="Tweet"/>
    <n v="0"/>
    <n v="0"/>
    <m/>
    <m/>
    <m/>
    <m/>
    <m/>
    <m/>
    <m/>
    <m/>
    <n v="1"/>
    <s v="2"/>
    <s v="2"/>
    <m/>
    <m/>
    <m/>
    <m/>
    <m/>
    <m/>
    <m/>
    <m/>
    <m/>
  </r>
  <r>
    <s v="aliceolilly"/>
    <s v="johnlsheridan"/>
    <m/>
    <m/>
    <m/>
    <m/>
    <m/>
    <m/>
    <m/>
    <m/>
    <s v="No"/>
    <n v="139"/>
    <m/>
    <m/>
    <s v="MentionsInRetweet"/>
    <x v="71"/>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28296472640880642/4uFC-Crr_normal.png"/>
    <d v="2020-06-22T19:48:55.000"/>
    <d v="2020-06-22T00:00:00.000"/>
    <s v="19:48:55"/>
    <s v="https://twitter.com/aliceolilly/status/1275153816049127424"/>
    <m/>
    <m/>
    <s v="1275153816049127424"/>
    <m/>
    <b v="0"/>
    <n v="0"/>
    <s v=""/>
    <b v="0"/>
    <s v="en"/>
    <m/>
    <s v=""/>
    <b v="0"/>
    <n v="37"/>
    <s v="1275023175747805186"/>
    <s v="Twitter Web App"/>
    <b v="0"/>
    <s v="1275023175747805186"/>
    <s v="Tweet"/>
    <n v="0"/>
    <n v="0"/>
    <m/>
    <m/>
    <m/>
    <m/>
    <m/>
    <m/>
    <m/>
    <m/>
    <n v="1"/>
    <s v="2"/>
    <s v="2"/>
    <m/>
    <m/>
    <m/>
    <m/>
    <m/>
    <m/>
    <m/>
    <m/>
    <m/>
  </r>
  <r>
    <s v="ryansagare"/>
    <s v="datassist"/>
    <m/>
    <m/>
    <m/>
    <m/>
    <m/>
    <m/>
    <m/>
    <m/>
    <s v="No"/>
    <n v="141"/>
    <m/>
    <m/>
    <s v="MentionsInRetweet"/>
    <x v="72"/>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270044490762465280/wFVYXJz-_normal.jpg"/>
    <d v="2020-06-22T19:59:15.000"/>
    <d v="2020-06-22T00:00:00.000"/>
    <s v="19:59:15"/>
    <s v="https://twitter.com/ryansagare/status/1275156416748281857"/>
    <m/>
    <m/>
    <s v="1275156416748281857"/>
    <m/>
    <b v="0"/>
    <n v="0"/>
    <s v=""/>
    <b v="0"/>
    <s v="en"/>
    <m/>
    <s v=""/>
    <b v="0"/>
    <n v="23"/>
    <s v="1273978856664371200"/>
    <s v="Twitter Web App"/>
    <b v="0"/>
    <s v="1273978856664371200"/>
    <s v="Tweet"/>
    <n v="0"/>
    <n v="0"/>
    <m/>
    <m/>
    <m/>
    <m/>
    <m/>
    <m/>
    <m/>
    <m/>
    <n v="1"/>
    <s v="4"/>
    <s v="4"/>
    <m/>
    <m/>
    <m/>
    <m/>
    <m/>
    <m/>
    <m/>
    <m/>
    <m/>
  </r>
  <r>
    <s v="agilchristpike"/>
    <s v="johnlsheridan"/>
    <m/>
    <m/>
    <m/>
    <m/>
    <m/>
    <m/>
    <m/>
    <m/>
    <s v="No"/>
    <n v="143"/>
    <m/>
    <m/>
    <s v="MentionsInRetweet"/>
    <x v="73"/>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28314766223069184/4ZlSbaZL_normal.jpg"/>
    <d v="2020-06-22T20:01:36.000"/>
    <d v="2020-06-22T00:00:00.000"/>
    <s v="20:01:36"/>
    <s v="https://twitter.com/agilchristpike/status/1275157005573992449"/>
    <m/>
    <m/>
    <s v="1275157005573992449"/>
    <m/>
    <b v="0"/>
    <n v="0"/>
    <s v=""/>
    <b v="0"/>
    <s v="en"/>
    <m/>
    <s v=""/>
    <b v="0"/>
    <n v="37"/>
    <s v="1275023175747805186"/>
    <s v="Twitter Web App"/>
    <b v="0"/>
    <s v="1275023175747805186"/>
    <s v="Tweet"/>
    <n v="0"/>
    <n v="0"/>
    <m/>
    <m/>
    <m/>
    <m/>
    <m/>
    <m/>
    <m/>
    <m/>
    <n v="1"/>
    <s v="2"/>
    <s v="2"/>
    <m/>
    <m/>
    <m/>
    <m/>
    <m/>
    <m/>
    <m/>
    <m/>
    <m/>
  </r>
  <r>
    <s v="mrvisgeography"/>
    <s v="ajenglish"/>
    <m/>
    <m/>
    <m/>
    <m/>
    <m/>
    <m/>
    <m/>
    <m/>
    <s v="No"/>
    <n v="145"/>
    <m/>
    <m/>
    <s v="MentionsInRetweet"/>
    <x v="74"/>
    <s v="Water security:_x000a_Saving the Nile. Analysing the impact large dams have on the world's most famous river #dataviz #ddj @AJLabs @AJEnglish https://t.co/QwEAxmnTwx"/>
    <m/>
    <m/>
    <s v="dataviz ddj"/>
    <m/>
    <s v="http://pbs.twimg.com/profile_images/1247792742849056769/ngW359z8_normal.jpg"/>
    <d v="2020-06-22T20:02:13.000"/>
    <d v="2020-06-22T00:00:00.000"/>
    <s v="20:02:13"/>
    <s v="https://twitter.com/mrvisgeography/status/1275157164286451716"/>
    <m/>
    <m/>
    <s v="1275157164286451716"/>
    <m/>
    <b v="0"/>
    <n v="0"/>
    <s v=""/>
    <b v="0"/>
    <s v="en"/>
    <m/>
    <s v=""/>
    <b v="0"/>
    <n v="16"/>
    <s v="1275155524036804609"/>
    <s v="Twitter for Android"/>
    <b v="0"/>
    <s v="1275155524036804609"/>
    <s v="Tweet"/>
    <n v="0"/>
    <n v="0"/>
    <m/>
    <m/>
    <m/>
    <m/>
    <m/>
    <m/>
    <m/>
    <m/>
    <n v="1"/>
    <s v="3"/>
    <s v="3"/>
    <m/>
    <m/>
    <m/>
    <m/>
    <m/>
    <m/>
    <m/>
    <m/>
    <m/>
  </r>
  <r>
    <s v="eoinmcfadden"/>
    <s v="johnlsheridan"/>
    <m/>
    <m/>
    <m/>
    <m/>
    <m/>
    <m/>
    <m/>
    <m/>
    <s v="No"/>
    <n v="148"/>
    <m/>
    <m/>
    <s v="MentionsInRetweet"/>
    <x v="75"/>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50333779573166080/5Gh56cGN_normal.jpg"/>
    <d v="2020-06-22T20:06:21.000"/>
    <d v="2020-06-22T00:00:00.000"/>
    <s v="20:06:21"/>
    <s v="https://twitter.com/eoinmcfadden/status/1275158202611568641"/>
    <m/>
    <m/>
    <s v="1275158202611568641"/>
    <m/>
    <b v="0"/>
    <n v="0"/>
    <s v=""/>
    <b v="0"/>
    <s v="en"/>
    <m/>
    <s v=""/>
    <b v="0"/>
    <n v="37"/>
    <s v="1275023175747805186"/>
    <s v="Twitter Web App"/>
    <b v="0"/>
    <s v="1275023175747805186"/>
    <s v="Tweet"/>
    <n v="0"/>
    <n v="0"/>
    <m/>
    <m/>
    <m/>
    <m/>
    <m/>
    <m/>
    <m/>
    <m/>
    <n v="1"/>
    <s v="2"/>
    <s v="2"/>
    <m/>
    <m/>
    <m/>
    <m/>
    <m/>
    <m/>
    <m/>
    <m/>
    <m/>
  </r>
  <r>
    <s v="jasonbelldata"/>
    <s v="johnlsheridan"/>
    <m/>
    <m/>
    <m/>
    <m/>
    <m/>
    <m/>
    <m/>
    <m/>
    <s v="No"/>
    <n v="150"/>
    <m/>
    <m/>
    <s v="MentionsInRetweet"/>
    <x v="76"/>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70622425563217921/tU7vG6JV_normal.jpg"/>
    <d v="2020-06-22T20:07:45.000"/>
    <d v="2020-06-22T00:00:00.000"/>
    <s v="20:07:45"/>
    <s v="https://twitter.com/jasonbelldata/status/1275158554014597122"/>
    <m/>
    <m/>
    <s v="1275158554014597122"/>
    <m/>
    <b v="0"/>
    <n v="0"/>
    <s v=""/>
    <b v="0"/>
    <s v="en"/>
    <m/>
    <s v=""/>
    <b v="0"/>
    <n v="37"/>
    <s v="1275023175747805186"/>
    <s v="Twitter for Android"/>
    <b v="0"/>
    <s v="1275023175747805186"/>
    <s v="Tweet"/>
    <n v="0"/>
    <n v="0"/>
    <m/>
    <m/>
    <m/>
    <m/>
    <m/>
    <m/>
    <m/>
    <m/>
    <n v="1"/>
    <s v="2"/>
    <s v="2"/>
    <m/>
    <m/>
    <m/>
    <m/>
    <m/>
    <m/>
    <m/>
    <m/>
    <m/>
  </r>
  <r>
    <s v="mortlin"/>
    <s v="puntofisso"/>
    <m/>
    <m/>
    <m/>
    <m/>
    <m/>
    <m/>
    <m/>
    <m/>
    <s v="No"/>
    <n v="152"/>
    <m/>
    <m/>
    <s v="Retweet"/>
    <x v="77"/>
    <s v="Another Monday, another issue of my #data newsletter is ready to reach your inboxes tomorrow at lunchtime._x000a__x000a_Subscribe at https://t.co/1DSNfMTKQA_x000a__x000a_#ddj #opendata #dataviz https://t.co/cCpwnPSCM4"/>
    <m/>
    <m/>
    <s v="data"/>
    <m/>
    <s v="http://pbs.twimg.com/profile_images/2695904339/942121048881be1d5f306d6df33688be_normal.jpeg"/>
    <d v="2020-06-22T20:11:34.000"/>
    <d v="2020-06-22T00:00:00.000"/>
    <s v="20:11:34"/>
    <s v="https://twitter.com/mortlin/status/1275159513595875331"/>
    <m/>
    <m/>
    <s v="1275159513595875331"/>
    <m/>
    <b v="0"/>
    <n v="0"/>
    <s v=""/>
    <b v="0"/>
    <s v="en"/>
    <m/>
    <s v=""/>
    <b v="0"/>
    <n v="3"/>
    <s v="1275159085848109056"/>
    <s v="Twitter for Android"/>
    <b v="0"/>
    <s v="1275159085848109056"/>
    <s v="Tweet"/>
    <n v="0"/>
    <n v="0"/>
    <m/>
    <m/>
    <m/>
    <m/>
    <m/>
    <m/>
    <m/>
    <m/>
    <n v="1"/>
    <s v="2"/>
    <s v="2"/>
    <n v="1"/>
    <n v="4.545454545454546"/>
    <n v="1"/>
    <n v="4.545454545454546"/>
    <n v="0"/>
    <n v="0"/>
    <n v="20"/>
    <n v="90.9090909090909"/>
    <n v="22"/>
  </r>
  <r>
    <s v="cariannewhit"/>
    <s v="johnlsheridan"/>
    <m/>
    <m/>
    <m/>
    <m/>
    <m/>
    <m/>
    <m/>
    <m/>
    <s v="No"/>
    <n v="153"/>
    <m/>
    <m/>
    <s v="MentionsInRetweet"/>
    <x v="78"/>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72140587803451394/qMUerOdK_normal.jpg"/>
    <d v="2020-06-22T20:15:17.000"/>
    <d v="2020-06-22T00:00:00.000"/>
    <s v="20:15:17"/>
    <s v="https://twitter.com/cariannewhit/status/1275160450980892677"/>
    <m/>
    <m/>
    <s v="1275160450980892677"/>
    <m/>
    <b v="0"/>
    <n v="0"/>
    <s v=""/>
    <b v="0"/>
    <s v="en"/>
    <m/>
    <s v=""/>
    <b v="0"/>
    <n v="37"/>
    <s v="1275023175747805186"/>
    <s v="Twitter for Android"/>
    <b v="0"/>
    <s v="1275023175747805186"/>
    <s v="Tweet"/>
    <n v="0"/>
    <n v="0"/>
    <m/>
    <m/>
    <m/>
    <m/>
    <m/>
    <m/>
    <m/>
    <m/>
    <n v="1"/>
    <s v="2"/>
    <s v="2"/>
    <m/>
    <m/>
    <m/>
    <m/>
    <m/>
    <m/>
    <m/>
    <m/>
    <m/>
  </r>
  <r>
    <s v="meandvan"/>
    <s v="johnlsheridan"/>
    <m/>
    <m/>
    <m/>
    <m/>
    <m/>
    <m/>
    <m/>
    <m/>
    <s v="No"/>
    <n v="155"/>
    <m/>
    <m/>
    <s v="MentionsInRetweet"/>
    <x v="79"/>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63206771461632000/gINCRVso_normal.jpg"/>
    <d v="2020-06-22T20:15:36.000"/>
    <d v="2020-06-22T00:00:00.000"/>
    <s v="20:15:36"/>
    <s v="https://twitter.com/meandvan/status/1275160531834474497"/>
    <m/>
    <m/>
    <s v="1275160531834474497"/>
    <m/>
    <b v="0"/>
    <n v="0"/>
    <s v=""/>
    <b v="0"/>
    <s v="en"/>
    <m/>
    <s v=""/>
    <b v="0"/>
    <n v="37"/>
    <s v="1275023175747805186"/>
    <s v="Twitter for Android"/>
    <b v="0"/>
    <s v="1275023175747805186"/>
    <s v="Tweet"/>
    <n v="0"/>
    <n v="0"/>
    <m/>
    <m/>
    <m/>
    <m/>
    <m/>
    <m/>
    <m/>
    <m/>
    <n v="1"/>
    <s v="2"/>
    <s v="2"/>
    <m/>
    <m/>
    <m/>
    <m/>
    <m/>
    <m/>
    <m/>
    <m/>
    <m/>
  </r>
  <r>
    <s v="timbrooks100"/>
    <s v="johnlsheridan"/>
    <m/>
    <m/>
    <m/>
    <m/>
    <m/>
    <m/>
    <m/>
    <m/>
    <s v="No"/>
    <n v="157"/>
    <m/>
    <m/>
    <s v="MentionsInRetweet"/>
    <x v="80"/>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70012838229893120/5m-z9bsb_normal.jpg"/>
    <d v="2020-06-22T20:17:18.000"/>
    <d v="2020-06-22T00:00:00.000"/>
    <s v="20:17:18"/>
    <s v="https://twitter.com/timbrooks100/status/1275160957862453255"/>
    <m/>
    <m/>
    <s v="1275160957862453255"/>
    <m/>
    <b v="0"/>
    <n v="0"/>
    <s v=""/>
    <b v="0"/>
    <s v="en"/>
    <m/>
    <s v=""/>
    <b v="0"/>
    <n v="37"/>
    <s v="1275023175747805186"/>
    <s v="Twitter for iPhone"/>
    <b v="0"/>
    <s v="1275023175747805186"/>
    <s v="Tweet"/>
    <n v="0"/>
    <n v="0"/>
    <m/>
    <m/>
    <m/>
    <m/>
    <m/>
    <m/>
    <m/>
    <m/>
    <n v="1"/>
    <s v="2"/>
    <s v="2"/>
    <m/>
    <m/>
    <m/>
    <m/>
    <m/>
    <m/>
    <m/>
    <m/>
    <m/>
  </r>
  <r>
    <s v="frankhannigan5"/>
    <s v="ajenglish"/>
    <m/>
    <m/>
    <m/>
    <m/>
    <m/>
    <m/>
    <m/>
    <m/>
    <s v="No"/>
    <n v="159"/>
    <m/>
    <m/>
    <s v="MentionsInRetweet"/>
    <x v="81"/>
    <s v="Water security:_x000a_Saving the Nile. Analysing the impact large dams have on the world's most famous river #dataviz #ddj @AJLabs @AJEnglish https://t.co/QwEAxmnTwx"/>
    <m/>
    <m/>
    <s v="dataviz ddj"/>
    <m/>
    <s v="http://pbs.twimg.com/profile_images/1032898545890852864/E1wkA-VS_normal.jpg"/>
    <d v="2020-06-22T20:20:33.000"/>
    <d v="2020-06-22T00:00:00.000"/>
    <s v="20:20:33"/>
    <s v="https://twitter.com/frankhannigan5/status/1275161775361658881"/>
    <m/>
    <m/>
    <s v="1275161775361658881"/>
    <m/>
    <b v="0"/>
    <n v="0"/>
    <s v=""/>
    <b v="0"/>
    <s v="en"/>
    <m/>
    <s v=""/>
    <b v="0"/>
    <n v="16"/>
    <s v="1275155524036804609"/>
    <s v="Twitter for iPhone"/>
    <b v="0"/>
    <s v="1275155524036804609"/>
    <s v="Tweet"/>
    <n v="0"/>
    <n v="0"/>
    <m/>
    <m/>
    <m/>
    <m/>
    <m/>
    <m/>
    <m/>
    <m/>
    <n v="1"/>
    <s v="3"/>
    <s v="3"/>
    <m/>
    <m/>
    <m/>
    <m/>
    <m/>
    <m/>
    <m/>
    <m/>
    <m/>
  </r>
  <r>
    <s v="watty62"/>
    <s v="puntofisso"/>
    <m/>
    <m/>
    <m/>
    <m/>
    <m/>
    <m/>
    <m/>
    <m/>
    <s v="No"/>
    <n v="162"/>
    <m/>
    <m/>
    <s v="Retweet"/>
    <x v="82"/>
    <s v="Another Monday, another issue of my #data newsletter is ready to reach your inboxes tomorrow at lunchtime._x000a__x000a_Subscribe at https://t.co/1DSNfMTKQA_x000a__x000a_#ddj #opendata #dataviz https://t.co/cCpwnPSCM4"/>
    <m/>
    <m/>
    <s v="data"/>
    <m/>
    <s v="http://pbs.twimg.com/profile_images/1236600745299972096/YMyoFFkS_normal.jpg"/>
    <d v="2020-06-22T20:20:58.000"/>
    <d v="2020-06-22T00:00:00.000"/>
    <s v="20:20:58"/>
    <s v="https://twitter.com/watty62/status/1275161883042091014"/>
    <m/>
    <m/>
    <s v="1275161883042091014"/>
    <m/>
    <b v="0"/>
    <n v="0"/>
    <s v=""/>
    <b v="0"/>
    <s v="en"/>
    <m/>
    <s v=""/>
    <b v="0"/>
    <n v="3"/>
    <s v="1275159085848109056"/>
    <s v="Twitter for Android"/>
    <b v="0"/>
    <s v="1275159085848109056"/>
    <s v="Tweet"/>
    <n v="0"/>
    <n v="0"/>
    <m/>
    <m/>
    <m/>
    <m/>
    <m/>
    <m/>
    <m/>
    <m/>
    <n v="1"/>
    <s v="2"/>
    <s v="2"/>
    <n v="1"/>
    <n v="4.545454545454546"/>
    <n v="1"/>
    <n v="4.545454545454546"/>
    <n v="0"/>
    <n v="0"/>
    <n v="20"/>
    <n v="90.9090909090909"/>
    <n v="22"/>
  </r>
  <r>
    <s v="lms_geography"/>
    <s v="ajenglish"/>
    <m/>
    <m/>
    <m/>
    <m/>
    <m/>
    <m/>
    <m/>
    <m/>
    <s v="No"/>
    <n v="163"/>
    <m/>
    <m/>
    <s v="MentionsInRetweet"/>
    <x v="83"/>
    <s v="Water security:_x000a_Saving the Nile. Analysing the impact large dams have on the world's most famous river #dataviz #ddj @AJLabs @AJEnglish https://t.co/QwEAxmnTwx"/>
    <m/>
    <m/>
    <s v="dataviz ddj"/>
    <m/>
    <s v="http://pbs.twimg.com/profile_images/677443783978557440/q3pe4llc_normal.jpg"/>
    <d v="2020-06-22T20:22:18.000"/>
    <d v="2020-06-22T00:00:00.000"/>
    <s v="20:22:18"/>
    <s v="https://twitter.com/lms_geography/status/1275162218225643529"/>
    <m/>
    <m/>
    <s v="1275162218225643529"/>
    <m/>
    <b v="0"/>
    <n v="0"/>
    <s v=""/>
    <b v="0"/>
    <s v="en"/>
    <m/>
    <s v=""/>
    <b v="0"/>
    <n v="16"/>
    <s v="1275155524036804609"/>
    <s v="Twitter Web App"/>
    <b v="0"/>
    <s v="1275155524036804609"/>
    <s v="Tweet"/>
    <n v="0"/>
    <n v="0"/>
    <m/>
    <m/>
    <m/>
    <m/>
    <m/>
    <m/>
    <m/>
    <m/>
    <n v="1"/>
    <s v="3"/>
    <s v="3"/>
    <m/>
    <m/>
    <m/>
    <m/>
    <m/>
    <m/>
    <m/>
    <m/>
    <m/>
  </r>
  <r>
    <s v="chsiceland18"/>
    <s v="ajenglish"/>
    <m/>
    <m/>
    <m/>
    <m/>
    <m/>
    <m/>
    <m/>
    <m/>
    <s v="No"/>
    <n v="166"/>
    <m/>
    <m/>
    <s v="MentionsInRetweet"/>
    <x v="84"/>
    <s v="Water security:_x000a_Saving the Nile. Analysing the impact large dams have on the world's most famous river #dataviz #ddj @AJLabs @AJEnglish https://t.co/QwEAxmnTwx"/>
    <m/>
    <m/>
    <s v="dataviz ddj"/>
    <m/>
    <s v="http://pbs.twimg.com/profile_images/965169509869989888/RNPmn_cM_normal.jpg"/>
    <d v="2020-06-22T21:12:16.000"/>
    <d v="2020-06-22T00:00:00.000"/>
    <s v="21:12:16"/>
    <s v="https://twitter.com/chsiceland18/status/1275174792124080131"/>
    <m/>
    <m/>
    <s v="1275174792124080131"/>
    <m/>
    <b v="0"/>
    <n v="0"/>
    <s v=""/>
    <b v="0"/>
    <s v="en"/>
    <m/>
    <s v=""/>
    <b v="0"/>
    <n v="16"/>
    <s v="1275155524036804609"/>
    <s v="Twitter for iPhone"/>
    <b v="0"/>
    <s v="1275155524036804609"/>
    <s v="Tweet"/>
    <n v="0"/>
    <n v="0"/>
    <m/>
    <m/>
    <m/>
    <m/>
    <m/>
    <m/>
    <m/>
    <m/>
    <n v="1"/>
    <s v="3"/>
    <s v="3"/>
    <m/>
    <m/>
    <m/>
    <m/>
    <m/>
    <m/>
    <m/>
    <m/>
    <m/>
  </r>
  <r>
    <s v="barbalhofernand"/>
    <s v="marilia_gehrke"/>
    <m/>
    <m/>
    <m/>
    <m/>
    <m/>
    <m/>
    <m/>
    <m/>
    <s v="No"/>
    <n v="169"/>
    <m/>
    <m/>
    <s v="Retweet"/>
    <x v="85"/>
    <s v="É amanhã, gente! 💛 #ddj #opendata https://t.co/d42kcWaXz4"/>
    <s v="https://twitter.com/_fiquemsabendo/status/1275156603893878784"/>
    <s v="twitter.com"/>
    <s v="ddj opendata"/>
    <m/>
    <s v="http://pbs.twimg.com/profile_images/1267701669862805504/47N4-Xma_normal.jpg"/>
    <d v="2020-06-22T21:13:33.000"/>
    <d v="2020-06-22T00:00:00.000"/>
    <s v="21:13:33"/>
    <s v="https://twitter.com/barbalhofernand/status/1275175115727294467"/>
    <m/>
    <m/>
    <s v="1275175115727294467"/>
    <m/>
    <b v="0"/>
    <n v="0"/>
    <s v=""/>
    <b v="1"/>
    <s v="pt"/>
    <m/>
    <s v="1275156603893878784"/>
    <b v="0"/>
    <n v="2"/>
    <s v="1275163788178796544"/>
    <s v="Twitter Web App"/>
    <b v="0"/>
    <s v="1275163788178796544"/>
    <s v="Tweet"/>
    <n v="0"/>
    <n v="0"/>
    <m/>
    <m/>
    <m/>
    <m/>
    <m/>
    <m/>
    <m/>
    <m/>
    <n v="1"/>
    <s v="1"/>
    <s v="1"/>
    <n v="0"/>
    <n v="0"/>
    <n v="0"/>
    <n v="0"/>
    <n v="0"/>
    <n v="0"/>
    <n v="5"/>
    <n v="100"/>
    <n v="5"/>
  </r>
  <r>
    <s v="holgerhke"/>
    <s v="johnlsheridan"/>
    <m/>
    <m/>
    <m/>
    <m/>
    <m/>
    <m/>
    <m/>
    <m/>
    <s v="No"/>
    <n v="170"/>
    <m/>
    <m/>
    <s v="MentionsInRetweet"/>
    <x v="86"/>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063924442508783616/cWwIObmK_normal.jpg"/>
    <d v="2020-06-22T21:24:57.000"/>
    <d v="2020-06-22T00:00:00.000"/>
    <s v="21:24:57"/>
    <s v="https://twitter.com/holgerhke/status/1275177984954118145"/>
    <m/>
    <m/>
    <s v="1275177984954118145"/>
    <m/>
    <b v="0"/>
    <n v="0"/>
    <s v=""/>
    <b v="0"/>
    <s v="en"/>
    <m/>
    <s v=""/>
    <b v="0"/>
    <n v="37"/>
    <s v="1275023175747805186"/>
    <s v="Twitter for iPhone"/>
    <b v="0"/>
    <s v="1275023175747805186"/>
    <s v="Tweet"/>
    <n v="0"/>
    <n v="0"/>
    <m/>
    <m/>
    <m/>
    <m/>
    <m/>
    <m/>
    <m/>
    <m/>
    <n v="1"/>
    <s v="2"/>
    <s v="2"/>
    <m/>
    <m/>
    <m/>
    <m/>
    <m/>
    <m/>
    <m/>
    <m/>
    <m/>
  </r>
  <r>
    <s v="garyshort"/>
    <s v="johnlsheridan"/>
    <m/>
    <m/>
    <m/>
    <m/>
    <m/>
    <m/>
    <m/>
    <m/>
    <s v="No"/>
    <n v="172"/>
    <m/>
    <m/>
    <s v="MentionsInRetweet"/>
    <x v="87"/>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23573858814431234/C_wpiNHG_normal.jpg"/>
    <d v="2020-06-22T21:25:01.000"/>
    <d v="2020-06-22T00:00:00.000"/>
    <s v="21:25:01"/>
    <s v="https://twitter.com/garyshort/status/1275177999084793856"/>
    <m/>
    <m/>
    <s v="1275177999084793856"/>
    <m/>
    <b v="0"/>
    <n v="0"/>
    <s v=""/>
    <b v="0"/>
    <s v="en"/>
    <m/>
    <s v=""/>
    <b v="0"/>
    <n v="37"/>
    <s v="1275023175747805186"/>
    <s v="Twitter for iPhone"/>
    <b v="0"/>
    <s v="1275023175747805186"/>
    <s v="Tweet"/>
    <n v="0"/>
    <n v="0"/>
    <m/>
    <m/>
    <m/>
    <m/>
    <m/>
    <m/>
    <m/>
    <m/>
    <n v="1"/>
    <s v="2"/>
    <s v="2"/>
    <m/>
    <m/>
    <m/>
    <m/>
    <m/>
    <m/>
    <m/>
    <m/>
    <m/>
  </r>
  <r>
    <s v="khalidpress7"/>
    <s v="j_la28"/>
    <m/>
    <m/>
    <m/>
    <m/>
    <m/>
    <m/>
    <m/>
    <m/>
    <s v="No"/>
    <n v="174"/>
    <m/>
    <m/>
    <s v="MentionsInRetweet"/>
    <x v="88"/>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m/>
    <m/>
    <s v="data"/>
    <m/>
    <s v="http://pbs.twimg.com/profile_images/1180922167309017088/wZyFeG_Z_normal.png"/>
    <d v="2020-06-22T21:25:16.000"/>
    <d v="2020-06-22T00:00:00.000"/>
    <s v="21:25:16"/>
    <s v="https://twitter.com/khalidpress7/status/1275178060959174656"/>
    <m/>
    <m/>
    <s v="1275178060959174656"/>
    <m/>
    <b v="0"/>
    <n v="0"/>
    <s v=""/>
    <b v="0"/>
    <s v="en"/>
    <m/>
    <s v=""/>
    <b v="0"/>
    <n v="6"/>
    <s v="1275037865118965761"/>
    <s v="Twitter for Android"/>
    <b v="0"/>
    <s v="1275037865118965761"/>
    <s v="Tweet"/>
    <n v="0"/>
    <n v="0"/>
    <m/>
    <m/>
    <m/>
    <m/>
    <m/>
    <m/>
    <m/>
    <m/>
    <n v="1"/>
    <s v="5"/>
    <s v="5"/>
    <m/>
    <m/>
    <m/>
    <m/>
    <m/>
    <m/>
    <m/>
    <m/>
    <m/>
  </r>
  <r>
    <s v="bareftdoctor"/>
    <s v="ajenglish"/>
    <m/>
    <m/>
    <m/>
    <m/>
    <m/>
    <m/>
    <m/>
    <m/>
    <s v="No"/>
    <n v="177"/>
    <m/>
    <m/>
    <s v="MentionsInRetweet"/>
    <x v="89"/>
    <s v="Water security:_x000a_Saving the Nile. Analysing the impact large dams have on the world's most famous river #dataviz #ddj @AJLabs @AJEnglish https://t.co/QwEAxmnTwx"/>
    <m/>
    <m/>
    <s v="dataviz ddj"/>
    <m/>
    <s v="http://pbs.twimg.com/profile_images/929400926045130752/umAVJ3g__normal.jpg"/>
    <d v="2020-06-22T21:53:20.000"/>
    <d v="2020-06-22T00:00:00.000"/>
    <s v="21:53:20"/>
    <s v="https://twitter.com/bareftdoctor/status/1275185127698640896"/>
    <m/>
    <m/>
    <s v="1275185127698640896"/>
    <m/>
    <b v="0"/>
    <n v="0"/>
    <s v=""/>
    <b v="0"/>
    <s v="en"/>
    <m/>
    <s v=""/>
    <b v="0"/>
    <n v="16"/>
    <s v="1275155524036804609"/>
    <s v="Twitter for iPhone"/>
    <b v="0"/>
    <s v="1275155524036804609"/>
    <s v="Tweet"/>
    <n v="0"/>
    <n v="0"/>
    <m/>
    <m/>
    <m/>
    <m/>
    <m/>
    <m/>
    <m/>
    <m/>
    <n v="1"/>
    <s v="3"/>
    <s v="3"/>
    <m/>
    <m/>
    <m/>
    <m/>
    <m/>
    <m/>
    <m/>
    <m/>
    <m/>
  </r>
  <r>
    <s v="geo_sjfdewsbury"/>
    <s v="ajenglish"/>
    <m/>
    <m/>
    <m/>
    <m/>
    <m/>
    <m/>
    <m/>
    <m/>
    <s v="No"/>
    <n v="180"/>
    <m/>
    <m/>
    <s v="MentionsInRetweet"/>
    <x v="90"/>
    <s v="Water security:_x000a_Saving the Nile. Analysing the impact large dams have on the world's most famous river #dataviz #ddj @AJLabs @AJEnglish https://t.co/QwEAxmnTwx"/>
    <m/>
    <m/>
    <s v="dataviz ddj"/>
    <m/>
    <s v="http://pbs.twimg.com/profile_images/663722079817216000/zrrrfqNE_normal.png"/>
    <d v="2020-06-22T22:11:41.000"/>
    <d v="2020-06-22T00:00:00.000"/>
    <s v="22:11:41"/>
    <s v="https://twitter.com/geo_sjfdewsbury/status/1275189745887387651"/>
    <m/>
    <m/>
    <s v="1275189745887387651"/>
    <m/>
    <b v="0"/>
    <n v="0"/>
    <s v=""/>
    <b v="0"/>
    <s v="en"/>
    <m/>
    <s v=""/>
    <b v="0"/>
    <n v="16"/>
    <s v="1275155524036804609"/>
    <s v="Twitter for iPhone"/>
    <b v="0"/>
    <s v="1275155524036804609"/>
    <s v="Tweet"/>
    <n v="0"/>
    <n v="0"/>
    <m/>
    <m/>
    <m/>
    <m/>
    <m/>
    <m/>
    <m/>
    <m/>
    <n v="1"/>
    <s v="3"/>
    <s v="3"/>
    <m/>
    <m/>
    <m/>
    <m/>
    <m/>
    <m/>
    <m/>
    <m/>
    <m/>
  </r>
  <r>
    <s v="ekoner"/>
    <s v="johnlsheridan"/>
    <m/>
    <m/>
    <m/>
    <m/>
    <m/>
    <m/>
    <m/>
    <m/>
    <s v="No"/>
    <n v="183"/>
    <m/>
    <m/>
    <s v="MentionsInRetweet"/>
    <x v="91"/>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62043384325320706/l9AAXzAz_normal.jpg"/>
    <d v="2020-06-22T22:32:26.000"/>
    <d v="2020-06-22T00:00:00.000"/>
    <s v="22:32:26"/>
    <s v="https://twitter.com/ekoner/status/1275194967728754689"/>
    <m/>
    <m/>
    <s v="1275194967728754689"/>
    <m/>
    <b v="0"/>
    <n v="0"/>
    <s v=""/>
    <b v="0"/>
    <s v="en"/>
    <m/>
    <s v=""/>
    <b v="0"/>
    <n v="37"/>
    <s v="1275023175747805186"/>
    <s v="Twitter for iPhone"/>
    <b v="0"/>
    <s v="1275023175747805186"/>
    <s v="Tweet"/>
    <n v="0"/>
    <n v="0"/>
    <m/>
    <m/>
    <m/>
    <m/>
    <m/>
    <m/>
    <m/>
    <m/>
    <n v="1"/>
    <s v="2"/>
    <s v="2"/>
    <m/>
    <m/>
    <m/>
    <m/>
    <m/>
    <m/>
    <m/>
    <m/>
    <m/>
  </r>
  <r>
    <s v="djschoolhouten"/>
    <s v="djschoolhouten"/>
    <m/>
    <m/>
    <m/>
    <m/>
    <m/>
    <m/>
    <m/>
    <m/>
    <s v="No"/>
    <n v="185"/>
    <m/>
    <m/>
    <s v="Tweet"/>
    <x v="92"/>
    <s v="Leren draaien op een #pioneerdj #nexus2 #djset ? Kom alle ins en outs ontdekken bij @djschoolmiddennederland 🎧_x000a_#cdj2000nxs2 #cdj2000nexus #xdj1000 #djm900nxs2 #mobiledj #djlife #mobiledjlife #ddj #dj #tracks #music  #djschool #djschoolmiddennederland… https://t.co/DD0JRur3VA https://t.co/kIeoCpPRKI"/>
    <s v="https://www.instagram.com/p/CBwMEuqFhG4/"/>
    <s v="instagram.com"/>
    <s v="pioneerdj nexus2 djset cdj2000nxs2 cdj2000nexus xdj1000 djm900nxs2 mobiledj djlife mobiledjlife ddj dj tracks music djschool djschoolmiddennederland"/>
    <s v="https://pbs.twimg.com/media/EbJoqD2XgAEIlka.jpg"/>
    <s v="https://pbs.twimg.com/media/EbJoqD2XgAEIlka.jpg"/>
    <d v="2020-06-22T22:39:24.000"/>
    <d v="2020-06-22T00:00:00.000"/>
    <s v="22:39:24"/>
    <s v="https://twitter.com/djschoolhouten/status/1275196717621817350"/>
    <m/>
    <m/>
    <s v="1275196717621817350"/>
    <m/>
    <b v="0"/>
    <n v="0"/>
    <s v=""/>
    <b v="0"/>
    <s v="nl"/>
    <m/>
    <s v=""/>
    <b v="0"/>
    <n v="0"/>
    <s v=""/>
    <s v="IFTTT"/>
    <b v="0"/>
    <s v="1275196717621817350"/>
    <s v="Tweet"/>
    <n v="0"/>
    <n v="0"/>
    <m/>
    <m/>
    <m/>
    <m/>
    <m/>
    <m/>
    <m/>
    <m/>
    <n v="1"/>
    <s v="8"/>
    <s v="8"/>
    <n v="0"/>
    <n v="0"/>
    <n v="0"/>
    <n v="0"/>
    <n v="0"/>
    <n v="0"/>
    <n v="28"/>
    <n v="100"/>
    <n v="28"/>
  </r>
  <r>
    <s v="djment0rs"/>
    <s v="djment0rs"/>
    <m/>
    <m/>
    <m/>
    <m/>
    <m/>
    <m/>
    <m/>
    <m/>
    <s v="No"/>
    <n v="186"/>
    <m/>
    <m/>
    <s v="Tweet"/>
    <x v="93"/>
    <s v="Will #pioneerdj Always Be the Industry Standard?_x000a_._x000a_#marketleader #dj #djm #cdj #xdj #beautifultechnology #ddj #cdj1000 https://t.co/YS0d5GQhUq"/>
    <s v="https://www.instagram.com/p/CBwTzp0BUki/?igshid=9gpbtba4lceq"/>
    <s v="instagram.com"/>
    <s v="pioneerdj marketleader dj djm cdj xdj beautifultechnology ddj cdj1000"/>
    <m/>
    <s v="http://pbs.twimg.com/profile_images/1050192400969129984/yQj50PWU_normal.jpg"/>
    <d v="2020-06-22T22:53:31.000"/>
    <d v="2020-06-22T00:00:00.000"/>
    <s v="22:53:31"/>
    <s v="https://twitter.com/djment0rs/status/1275200273477251073"/>
    <m/>
    <m/>
    <s v="1275200273477251073"/>
    <m/>
    <b v="0"/>
    <n v="0"/>
    <s v=""/>
    <b v="0"/>
    <s v="en"/>
    <m/>
    <s v=""/>
    <b v="0"/>
    <n v="0"/>
    <s v=""/>
    <s v="Instagram"/>
    <b v="0"/>
    <s v="1275200273477251073"/>
    <s v="Tweet"/>
    <n v="0"/>
    <n v="0"/>
    <m/>
    <m/>
    <m/>
    <m/>
    <m/>
    <m/>
    <m/>
    <m/>
    <n v="1"/>
    <s v="8"/>
    <s v="8"/>
    <n v="0"/>
    <n v="0"/>
    <n v="0"/>
    <n v="0"/>
    <n v="0"/>
    <n v="0"/>
    <n v="15"/>
    <n v="100"/>
    <n v="15"/>
  </r>
  <r>
    <s v="d_jyldyz"/>
    <s v="johnlsheridan"/>
    <m/>
    <m/>
    <m/>
    <m/>
    <m/>
    <m/>
    <m/>
    <m/>
    <s v="No"/>
    <n v="187"/>
    <m/>
    <m/>
    <s v="MentionsInRetweet"/>
    <x v="94"/>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489884735179472896/qoSnlb3r_normal.jpeg"/>
    <d v="2020-06-22T23:03:21.000"/>
    <d v="2020-06-22T00:00:00.000"/>
    <s v="23:03:21"/>
    <s v="https://twitter.com/d_jyldyz/status/1275202745830604800"/>
    <m/>
    <m/>
    <s v="1275202745830604800"/>
    <m/>
    <b v="0"/>
    <n v="0"/>
    <s v=""/>
    <b v="0"/>
    <s v="en"/>
    <m/>
    <s v=""/>
    <b v="0"/>
    <n v="37"/>
    <s v="1275023175747805186"/>
    <s v="Twitter for Android"/>
    <b v="0"/>
    <s v="1275023175747805186"/>
    <s v="Tweet"/>
    <n v="0"/>
    <n v="0"/>
    <m/>
    <m/>
    <m/>
    <m/>
    <m/>
    <m/>
    <m/>
    <m/>
    <n v="1"/>
    <s v="2"/>
    <s v="2"/>
    <m/>
    <m/>
    <m/>
    <m/>
    <m/>
    <m/>
    <m/>
    <m/>
    <m/>
  </r>
  <r>
    <s v="lauranavarrosol"/>
    <s v="lauranavarrosol"/>
    <m/>
    <m/>
    <m/>
    <m/>
    <m/>
    <m/>
    <m/>
    <m/>
    <s v="No"/>
    <n v="189"/>
    <m/>
    <m/>
    <s v="Tweet"/>
    <x v="95"/>
    <s v="Data to bring to light black american achievements, to pay _x000a_ tribute to #BlackLivesMatter and to keep with #TidyTuesday. _x000a_Code: https://t.co/lQjtmcU5md_x000a__x000a_#rstats #ggplot2 #ddj #dataviz https://t.co/P31C2XV2ld"/>
    <s v="https://github.com/lau-cloud/TidyTuesdaycode"/>
    <s v="github.com"/>
    <s v="blacklivesmatter tidytuesday rstats ggplot2 ddj dataviz"/>
    <s v="https://pbs.twimg.com/media/EaSyznLXsAA-WOL.jpg"/>
    <s v="https://pbs.twimg.com/media/EaSyznLXsAA-WOL.jpg"/>
    <d v="2020-06-12T07:04:44.000"/>
    <d v="2020-06-12T00:00:00.000"/>
    <s v="07:04:44"/>
    <s v="https://twitter.com/lauranavarrosol/status/1271337622779179009"/>
    <m/>
    <m/>
    <s v="1271337622779179009"/>
    <m/>
    <b v="0"/>
    <n v="16"/>
    <s v=""/>
    <b v="0"/>
    <s v="en"/>
    <m/>
    <s v=""/>
    <b v="0"/>
    <n v="5"/>
    <s v=""/>
    <s v="Twitter Web App"/>
    <b v="0"/>
    <s v="1271337622779179009"/>
    <s v="Retweet"/>
    <n v="0"/>
    <n v="0"/>
    <m/>
    <m/>
    <m/>
    <m/>
    <m/>
    <m/>
    <m/>
    <m/>
    <n v="1"/>
    <s v="19"/>
    <s v="19"/>
    <n v="1"/>
    <n v="4.3478260869565215"/>
    <n v="0"/>
    <n v="0"/>
    <n v="0"/>
    <n v="0"/>
    <n v="22"/>
    <n v="95.65217391304348"/>
    <n v="23"/>
  </r>
  <r>
    <s v="adircinho"/>
    <s v="lauranavarrosol"/>
    <m/>
    <m/>
    <m/>
    <m/>
    <m/>
    <m/>
    <m/>
    <m/>
    <s v="No"/>
    <n v="190"/>
    <m/>
    <m/>
    <s v="Retweet"/>
    <x v="96"/>
    <s v="Data to bring to light black american achievements, to pay _x000a_ tribute to #BlackLivesMatter and to keep with #TidyTuesday. _x000a_Code: https://t.co/lQjtmcU5md_x000a__x000a_#rstats #ggplot2 #ddj #dataviz https://t.co/P31C2XV2ld"/>
    <m/>
    <m/>
    <s v="blacklivesmatter"/>
    <m/>
    <s v="http://pbs.twimg.com/profile_images/820901715163680768/FxQ1vsaZ_normal.jpg"/>
    <d v="2020-06-22T23:15:45.000"/>
    <d v="2020-06-22T00:00:00.000"/>
    <s v="23:15:45"/>
    <s v="https://twitter.com/adircinho/status/1275205867311415297"/>
    <m/>
    <m/>
    <s v="1275205867311415297"/>
    <m/>
    <b v="0"/>
    <n v="0"/>
    <s v=""/>
    <b v="0"/>
    <s v="en"/>
    <m/>
    <s v=""/>
    <b v="0"/>
    <n v="5"/>
    <s v="1271337622779179009"/>
    <s v="Twitter Web App"/>
    <b v="0"/>
    <s v="1271337622779179009"/>
    <s v="Tweet"/>
    <n v="0"/>
    <n v="0"/>
    <m/>
    <m/>
    <m/>
    <m/>
    <m/>
    <m/>
    <m/>
    <m/>
    <n v="1"/>
    <s v="19"/>
    <s v="19"/>
    <n v="1"/>
    <n v="4.3478260869565215"/>
    <n v="0"/>
    <n v="0"/>
    <n v="0"/>
    <n v="0"/>
    <n v="22"/>
    <n v="95.65217391304348"/>
    <n v="23"/>
  </r>
  <r>
    <s v="aprilarchivist"/>
    <s v="johnlsheridan"/>
    <m/>
    <m/>
    <m/>
    <m/>
    <m/>
    <m/>
    <m/>
    <m/>
    <s v="No"/>
    <n v="191"/>
    <m/>
    <m/>
    <s v="MentionsInRetweet"/>
    <x v="97"/>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176652939718533120/bbRNW-Yv_normal.jpg"/>
    <d v="2020-06-22T23:46:31.000"/>
    <d v="2020-06-22T00:00:00.000"/>
    <s v="23:46:31"/>
    <s v="https://twitter.com/aprilarchivist/status/1275213609883389953"/>
    <m/>
    <m/>
    <s v="1275213609883389953"/>
    <m/>
    <b v="0"/>
    <n v="0"/>
    <s v=""/>
    <b v="0"/>
    <s v="en"/>
    <m/>
    <s v=""/>
    <b v="0"/>
    <n v="37"/>
    <s v="1275023175747805186"/>
    <s v="Twitter Web App"/>
    <b v="0"/>
    <s v="1275023175747805186"/>
    <s v="Tweet"/>
    <n v="0"/>
    <n v="0"/>
    <m/>
    <m/>
    <m/>
    <m/>
    <m/>
    <m/>
    <m/>
    <m/>
    <n v="1"/>
    <s v="2"/>
    <s v="2"/>
    <m/>
    <m/>
    <m/>
    <m/>
    <m/>
    <m/>
    <m/>
    <m/>
    <m/>
  </r>
  <r>
    <s v="timgollins"/>
    <s v="johnlsheridan"/>
    <m/>
    <m/>
    <m/>
    <m/>
    <m/>
    <m/>
    <m/>
    <m/>
    <s v="No"/>
    <n v="193"/>
    <m/>
    <m/>
    <s v="MentionsInRetweet"/>
    <x v="98"/>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1226458980370833410/ayk1WDlp_normal.jpg"/>
    <d v="2020-06-23T00:14:14.000"/>
    <d v="2020-06-23T00:00:00.000"/>
    <s v="00:14:14"/>
    <s v="https://twitter.com/timgollins/status/1275220585002524676"/>
    <m/>
    <m/>
    <s v="1275220585002524676"/>
    <m/>
    <b v="0"/>
    <n v="0"/>
    <s v=""/>
    <b v="0"/>
    <s v="en"/>
    <m/>
    <s v=""/>
    <b v="0"/>
    <n v="37"/>
    <s v="1275023175747805186"/>
    <s v="TweetDeck"/>
    <b v="0"/>
    <s v="1275023175747805186"/>
    <s v="Tweet"/>
    <n v="0"/>
    <n v="0"/>
    <m/>
    <m/>
    <m/>
    <m/>
    <m/>
    <m/>
    <m/>
    <m/>
    <n v="1"/>
    <s v="2"/>
    <s v="2"/>
    <m/>
    <m/>
    <m/>
    <m/>
    <m/>
    <m/>
    <m/>
    <m/>
    <m/>
  </r>
  <r>
    <s v="dtiiqii"/>
    <s v="ajenglish"/>
    <m/>
    <m/>
    <m/>
    <m/>
    <m/>
    <m/>
    <m/>
    <m/>
    <s v="No"/>
    <n v="195"/>
    <m/>
    <m/>
    <s v="Mentions"/>
    <x v="99"/>
    <s v="Saving the Nile. Analysing the impact large dams have on the world's most famous river #dataviz #ddj @AJLabs @AJEnglish https://t.co/6KonZ5CaRc"/>
    <s v="https://interactive.aljazeera.com/aje/2020/saving-the-nile/index.html"/>
    <s v="aljazeera.com"/>
    <s v="dataviz ddj"/>
    <m/>
    <s v="http://pbs.twimg.com/profile_images/463705400756285440/xN6bn9Fv_normal.png"/>
    <d v="2020-06-23T00:50:50.000"/>
    <d v="2020-06-23T00:00:00.000"/>
    <s v="00:50:50"/>
    <s v="https://twitter.com/dtiiqii/status/1275229794146410496"/>
    <m/>
    <m/>
    <s v="1275229794146410496"/>
    <m/>
    <b v="0"/>
    <n v="0"/>
    <s v=""/>
    <b v="0"/>
    <s v="en"/>
    <m/>
    <s v=""/>
    <b v="0"/>
    <n v="0"/>
    <s v=""/>
    <s v="Twitter Web App"/>
    <b v="0"/>
    <s v="1275229794146410496"/>
    <s v="Tweet"/>
    <n v="0"/>
    <n v="0"/>
    <m/>
    <m/>
    <m/>
    <m/>
    <m/>
    <m/>
    <m/>
    <m/>
    <n v="1"/>
    <s v="3"/>
    <s v="3"/>
    <m/>
    <m/>
    <m/>
    <m/>
    <m/>
    <m/>
    <m/>
    <m/>
    <m/>
  </r>
  <r>
    <s v="ashiquebiniqbal"/>
    <s v="datassist"/>
    <m/>
    <m/>
    <m/>
    <m/>
    <m/>
    <m/>
    <m/>
    <m/>
    <s v="No"/>
    <n v="197"/>
    <m/>
    <m/>
    <s v="MentionsInRetweet"/>
    <x v="100"/>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242441234385231873/GLkHNr-B_normal.jpg"/>
    <d v="2020-06-23T01:02:34.000"/>
    <d v="2020-06-23T00:00:00.000"/>
    <s v="01:02:34"/>
    <s v="https://twitter.com/ashiquebiniqbal/status/1275232749385707520"/>
    <m/>
    <m/>
    <s v="1275232749385707520"/>
    <m/>
    <b v="0"/>
    <n v="0"/>
    <s v=""/>
    <b v="0"/>
    <s v="en"/>
    <m/>
    <s v=""/>
    <b v="0"/>
    <n v="23"/>
    <s v="1273978856664371200"/>
    <s v="Twitter Web App"/>
    <b v="0"/>
    <s v="1273978856664371200"/>
    <s v="Tweet"/>
    <n v="0"/>
    <n v="0"/>
    <m/>
    <m/>
    <m/>
    <m/>
    <m/>
    <m/>
    <m/>
    <m/>
    <n v="1"/>
    <s v="4"/>
    <s v="4"/>
    <m/>
    <m/>
    <m/>
    <m/>
    <m/>
    <m/>
    <m/>
    <m/>
    <m/>
  </r>
  <r>
    <s v="ellenychang"/>
    <s v="datassist"/>
    <m/>
    <m/>
    <m/>
    <m/>
    <m/>
    <m/>
    <m/>
    <m/>
    <s v="No"/>
    <n v="199"/>
    <m/>
    <m/>
    <s v="MentionsInRetweet"/>
    <x v="101"/>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171559246456135680/S2sSzsQl_normal.jpg"/>
    <d v="2020-06-23T01:05:36.000"/>
    <d v="2020-06-23T00:00:00.000"/>
    <s v="01:05:36"/>
    <s v="https://twitter.com/ellenychang/status/1275233509913878528"/>
    <m/>
    <m/>
    <s v="1275233509913878528"/>
    <m/>
    <b v="0"/>
    <n v="0"/>
    <s v=""/>
    <b v="0"/>
    <s v="en"/>
    <m/>
    <s v=""/>
    <b v="0"/>
    <n v="23"/>
    <s v="1273978856664371200"/>
    <s v="Twitter Web App"/>
    <b v="0"/>
    <s v="1273978856664371200"/>
    <s v="Tweet"/>
    <n v="0"/>
    <n v="0"/>
    <m/>
    <m/>
    <m/>
    <m/>
    <m/>
    <m/>
    <m/>
    <m/>
    <n v="1"/>
    <s v="4"/>
    <s v="4"/>
    <m/>
    <m/>
    <m/>
    <m/>
    <m/>
    <m/>
    <m/>
    <m/>
    <m/>
  </r>
  <r>
    <s v="daudpasaney"/>
    <s v="datassist"/>
    <m/>
    <m/>
    <m/>
    <m/>
    <m/>
    <m/>
    <m/>
    <m/>
    <s v="No"/>
    <n v="201"/>
    <m/>
    <m/>
    <s v="MentionsInRetweet"/>
    <x v="102"/>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944139796628344832/Kky-ZV3__normal.jpg"/>
    <d v="2020-06-23T01:12:54.000"/>
    <d v="2020-06-23T00:00:00.000"/>
    <s v="01:12:54"/>
    <s v="https://twitter.com/daudpasaney/status/1275235346956115969"/>
    <m/>
    <m/>
    <s v="1275235346956115969"/>
    <m/>
    <b v="0"/>
    <n v="0"/>
    <s v=""/>
    <b v="0"/>
    <s v="en"/>
    <m/>
    <s v=""/>
    <b v="0"/>
    <n v="23"/>
    <s v="1273978856664371200"/>
    <s v="Twitter for Android"/>
    <b v="0"/>
    <s v="1273978856664371200"/>
    <s v="Tweet"/>
    <n v="0"/>
    <n v="0"/>
    <m/>
    <m/>
    <m/>
    <m/>
    <m/>
    <m/>
    <m/>
    <m/>
    <n v="1"/>
    <s v="4"/>
    <s v="4"/>
    <m/>
    <m/>
    <m/>
    <m/>
    <m/>
    <m/>
    <m/>
    <m/>
    <m/>
  </r>
  <r>
    <s v="juanainesjjj"/>
    <s v="datassist"/>
    <m/>
    <m/>
    <m/>
    <m/>
    <m/>
    <m/>
    <m/>
    <m/>
    <s v="No"/>
    <n v="203"/>
    <m/>
    <m/>
    <s v="MentionsInRetweet"/>
    <x v="103"/>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274357533273026562/EXMxtsu0_normal.jpg"/>
    <d v="2020-06-23T01:26:11.000"/>
    <d v="2020-06-23T00:00:00.000"/>
    <s v="01:26:11"/>
    <s v="https://twitter.com/juanainesjjj/status/1275238693029113856"/>
    <m/>
    <m/>
    <s v="1275238693029113856"/>
    <m/>
    <b v="0"/>
    <n v="0"/>
    <s v=""/>
    <b v="0"/>
    <s v="en"/>
    <m/>
    <s v=""/>
    <b v="0"/>
    <n v="23"/>
    <s v="1273978856664371200"/>
    <s v="Twitter Web App"/>
    <b v="0"/>
    <s v="1273978856664371200"/>
    <s v="Tweet"/>
    <n v="0"/>
    <n v="0"/>
    <m/>
    <m/>
    <m/>
    <m/>
    <m/>
    <m/>
    <m/>
    <m/>
    <n v="1"/>
    <s v="4"/>
    <s v="4"/>
    <m/>
    <m/>
    <m/>
    <m/>
    <m/>
    <m/>
    <m/>
    <m/>
    <m/>
  </r>
  <r>
    <s v="nellylaoni"/>
    <s v="datassist"/>
    <m/>
    <m/>
    <m/>
    <m/>
    <m/>
    <m/>
    <m/>
    <m/>
    <s v="No"/>
    <n v="205"/>
    <m/>
    <m/>
    <s v="MentionsInRetweet"/>
    <x v="104"/>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717636173364076544/bWAXypCk_normal.jpg"/>
    <d v="2020-06-23T01:49:27.000"/>
    <d v="2020-06-23T00:00:00.000"/>
    <s v="01:49:27"/>
    <s v="https://twitter.com/nellylaoni/status/1275244544867667969"/>
    <m/>
    <m/>
    <s v="1275244544867667969"/>
    <m/>
    <b v="0"/>
    <n v="0"/>
    <s v=""/>
    <b v="0"/>
    <s v="en"/>
    <m/>
    <s v=""/>
    <b v="0"/>
    <n v="23"/>
    <s v="1273978856664371200"/>
    <s v="Twitter for Android"/>
    <b v="0"/>
    <s v="1273978856664371200"/>
    <s v="Tweet"/>
    <n v="0"/>
    <n v="0"/>
    <m/>
    <m/>
    <m/>
    <m/>
    <m/>
    <m/>
    <m/>
    <m/>
    <n v="1"/>
    <s v="4"/>
    <s v="4"/>
    <m/>
    <m/>
    <m/>
    <m/>
    <m/>
    <m/>
    <m/>
    <m/>
    <m/>
  </r>
  <r>
    <s v="datosundav"/>
    <s v="lacajadatera"/>
    <m/>
    <m/>
    <m/>
    <m/>
    <m/>
    <m/>
    <m/>
    <m/>
    <s v="Yes"/>
    <n v="207"/>
    <m/>
    <m/>
    <s v="Mentions"/>
    <x v="105"/>
    <s v="&quot;El periodismo de datos ofrece posibilidades infinitas&quot;: https://t.co/rMnp1iCAAt_x000a__x000a_Entrevista de Gonzalo Spano a @joseluishuacles, de @lacajadatera _x000a__x000a_#ddj"/>
    <s v="https://ejerciciosdedatos.blogspot.com/2020/06/entrevista-jose-luis-huacles-unocc.html"/>
    <s v="blogspot.com"/>
    <s v="ddj"/>
    <m/>
    <s v="http://pbs.twimg.com/profile_images/619271478039715840/3o29n4NO_normal.jpg"/>
    <d v="2020-06-18T16:34:19.000"/>
    <d v="2020-06-18T00:00:00.000"/>
    <s v="16:34:19"/>
    <s v="https://twitter.com/datosundav/status/1273655291457011712"/>
    <m/>
    <m/>
    <s v="1273655291457011712"/>
    <m/>
    <b v="0"/>
    <n v="0"/>
    <s v=""/>
    <b v="0"/>
    <s v="es"/>
    <m/>
    <s v=""/>
    <b v="0"/>
    <n v="2"/>
    <s v=""/>
    <s v="Twitter Web App"/>
    <b v="0"/>
    <s v="1273655291457011712"/>
    <s v="Retweet"/>
    <n v="0"/>
    <n v="0"/>
    <m/>
    <m/>
    <m/>
    <m/>
    <m/>
    <m/>
    <m/>
    <m/>
    <n v="1"/>
    <s v="13"/>
    <s v="13"/>
    <m/>
    <m/>
    <m/>
    <m/>
    <m/>
    <m/>
    <m/>
    <m/>
    <m/>
  </r>
  <r>
    <s v="lacajadatera"/>
    <s v="joseluishuacles"/>
    <m/>
    <m/>
    <m/>
    <m/>
    <m/>
    <m/>
    <m/>
    <m/>
    <s v="No"/>
    <n v="208"/>
    <m/>
    <m/>
    <s v="MentionsInRetweet"/>
    <x v="106"/>
    <s v="&quot;El periodismo de datos ofrece posibilidades infinitas&quot;: https://t.co/rMnp1iCAAt_x000a__x000a_Entrevista de Gonzalo Spano a @joseluishuacles, de @lacajadatera _x000a__x000a_#ddj"/>
    <s v="https://ejerciciosdedatos.blogspot.com/2020/06/entrevista-jose-luis-huacles-unocc.html"/>
    <s v="blogspot.com"/>
    <m/>
    <m/>
    <s v="http://pbs.twimg.com/profile_images/1224913695987453952/ZBfvgpih_normal.jpg"/>
    <d v="2020-06-23T02:08:48.000"/>
    <d v="2020-06-23T00:00:00.000"/>
    <s v="02:08:48"/>
    <s v="https://twitter.com/lacajadatera/status/1275249417868754945"/>
    <m/>
    <m/>
    <s v="1275249417868754945"/>
    <m/>
    <b v="0"/>
    <n v="0"/>
    <s v=""/>
    <b v="0"/>
    <s v="es"/>
    <m/>
    <s v=""/>
    <b v="0"/>
    <n v="2"/>
    <s v="1273655291457011712"/>
    <s v="Twitter for Android"/>
    <b v="0"/>
    <s v="1273655291457011712"/>
    <s v="Tweet"/>
    <n v="0"/>
    <n v="0"/>
    <m/>
    <m/>
    <m/>
    <m/>
    <m/>
    <m/>
    <m/>
    <m/>
    <n v="1"/>
    <s v="13"/>
    <s v="13"/>
    <n v="0"/>
    <n v="0"/>
    <n v="0"/>
    <n v="0"/>
    <n v="0"/>
    <n v="0"/>
    <n v="16"/>
    <n v="100"/>
    <n v="16"/>
  </r>
  <r>
    <s v="rocioromerox"/>
    <s v="lacajadatera"/>
    <m/>
    <m/>
    <m/>
    <m/>
    <m/>
    <m/>
    <m/>
    <m/>
    <s v="No"/>
    <n v="210"/>
    <m/>
    <m/>
    <s v="MentionsInRetweet"/>
    <x v="107"/>
    <s v="&quot;El periodismo de datos ofrece posibilidades infinitas&quot;: https://t.co/rMnp1iCAAt_x000a__x000a_Entrevista de Gonzalo Spano a @joseluishuacles, de @lacajadatera _x000a__x000a_#ddj"/>
    <s v="https://ejerciciosdedatos.blogspot.com/2020/06/entrevista-jose-luis-huacles-unocc.html"/>
    <s v="blogspot.com"/>
    <m/>
    <m/>
    <s v="http://pbs.twimg.com/profile_images/1147920122218237953/PY_DNS93_normal.jpg"/>
    <d v="2020-06-23T02:09:28.000"/>
    <d v="2020-06-23T00:00:00.000"/>
    <s v="02:09:28"/>
    <s v="https://twitter.com/rocioromerox/status/1275249584265146372"/>
    <m/>
    <m/>
    <s v="1275249584265146372"/>
    <m/>
    <b v="0"/>
    <n v="0"/>
    <s v=""/>
    <b v="0"/>
    <s v="es"/>
    <m/>
    <s v=""/>
    <b v="0"/>
    <n v="2"/>
    <s v="1273655291457011712"/>
    <s v="Twitter for Android"/>
    <b v="0"/>
    <s v="1273655291457011712"/>
    <s v="Tweet"/>
    <n v="0"/>
    <n v="0"/>
    <m/>
    <m/>
    <m/>
    <m/>
    <m/>
    <m/>
    <m/>
    <m/>
    <n v="1"/>
    <s v="13"/>
    <s v="13"/>
    <m/>
    <m/>
    <m/>
    <m/>
    <m/>
    <m/>
    <m/>
    <m/>
    <m/>
  </r>
  <r>
    <s v="jaishri21"/>
    <s v="datassist"/>
    <m/>
    <m/>
    <m/>
    <m/>
    <m/>
    <m/>
    <m/>
    <m/>
    <s v="No"/>
    <n v="214"/>
    <m/>
    <m/>
    <s v="MentionsInRetweet"/>
    <x v="108"/>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159027680727068674/kSTrz2sC_normal.jpg"/>
    <d v="2020-06-23T02:27:46.000"/>
    <d v="2020-06-23T00:00:00.000"/>
    <s v="02:27:46"/>
    <s v="https://twitter.com/jaishri21/status/1275254189644550144"/>
    <m/>
    <m/>
    <s v="1275254189644550144"/>
    <m/>
    <b v="0"/>
    <n v="0"/>
    <s v=""/>
    <b v="0"/>
    <s v="en"/>
    <m/>
    <s v=""/>
    <b v="0"/>
    <n v="23"/>
    <s v="1273978856664371200"/>
    <s v="Twitter for Android"/>
    <b v="0"/>
    <s v="1273978856664371200"/>
    <s v="Tweet"/>
    <n v="0"/>
    <n v="0"/>
    <m/>
    <m/>
    <m/>
    <m/>
    <m/>
    <m/>
    <m/>
    <m/>
    <n v="1"/>
    <s v="4"/>
    <s v="4"/>
    <m/>
    <m/>
    <m/>
    <m/>
    <m/>
    <m/>
    <m/>
    <m/>
    <m/>
  </r>
  <r>
    <s v="grasiel_grasel"/>
    <s v="datassist"/>
    <m/>
    <m/>
    <m/>
    <m/>
    <m/>
    <m/>
    <m/>
    <m/>
    <s v="No"/>
    <n v="216"/>
    <m/>
    <m/>
    <s v="MentionsInRetweet"/>
    <x v="109"/>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148347541903355904/S-njLugd_normal.png"/>
    <d v="2020-06-23T02:38:06.000"/>
    <d v="2020-06-23T00:00:00.000"/>
    <s v="02:38:06"/>
    <s v="https://twitter.com/grasiel_grasel/status/1275256788049367040"/>
    <m/>
    <m/>
    <s v="1275256788049367040"/>
    <m/>
    <b v="0"/>
    <n v="0"/>
    <s v=""/>
    <b v="0"/>
    <s v="en"/>
    <m/>
    <s v=""/>
    <b v="0"/>
    <n v="23"/>
    <s v="1273978856664371200"/>
    <s v="Twitter Web App"/>
    <b v="0"/>
    <s v="1273978856664371200"/>
    <s v="Tweet"/>
    <n v="0"/>
    <n v="0"/>
    <m/>
    <m/>
    <m/>
    <m/>
    <m/>
    <m/>
    <m/>
    <m/>
    <n v="1"/>
    <s v="4"/>
    <s v="4"/>
    <m/>
    <m/>
    <m/>
    <m/>
    <m/>
    <m/>
    <m/>
    <m/>
    <m/>
  </r>
  <r>
    <s v="jornalismodados"/>
    <s v="folha"/>
    <m/>
    <m/>
    <m/>
    <m/>
    <m/>
    <m/>
    <m/>
    <m/>
    <s v="No"/>
    <n v="218"/>
    <m/>
    <m/>
    <s v="Mentions"/>
    <x v="110"/>
    <s v="Dou RT em #ddj RT @jornalismoDados: Dou RT em #ddj RT @jornalismoDados: Dou RT em #ddj RT @ChowRaivoso: @eupilo @folha Análises equivocadas de dados! E… https://t.co/yvgaaFLzVe"/>
    <s v="https://twitter.com/i/web/status/1274865131990790146"/>
    <s v="twitter.com"/>
    <s v="ddj ddj ddj"/>
    <m/>
    <s v="http://pbs.twimg.com/profile_images/953436802110623744/NK6Q5dVg_normal.jpg"/>
    <d v="2020-06-22T01:41:36.000"/>
    <d v="2020-06-22T00:00:00.000"/>
    <s v="01:41:36"/>
    <s v="https://twitter.com/jornalismodados/status/1274880183955308545"/>
    <m/>
    <m/>
    <s v="1274880183955308545"/>
    <m/>
    <b v="0"/>
    <n v="0"/>
    <s v=""/>
    <b v="0"/>
    <s v="pt"/>
    <m/>
    <s v=""/>
    <b v="0"/>
    <n v="0"/>
    <s v=""/>
    <s v="rt_app2018"/>
    <b v="0"/>
    <s v="1274880183955308545"/>
    <s v="Tweet"/>
    <n v="0"/>
    <n v="0"/>
    <m/>
    <m/>
    <m/>
    <m/>
    <m/>
    <m/>
    <m/>
    <m/>
    <n v="1"/>
    <s v="1"/>
    <s v="1"/>
    <m/>
    <m/>
    <m/>
    <m/>
    <m/>
    <m/>
    <m/>
    <m/>
    <m/>
  </r>
  <r>
    <s v="jornalismodados"/>
    <s v="nunonunes_"/>
    <m/>
    <m/>
    <m/>
    <m/>
    <m/>
    <m/>
    <m/>
    <m/>
    <s v="No"/>
    <n v="221"/>
    <m/>
    <m/>
    <s v="Mentions"/>
    <x v="111"/>
    <s v="Dou RT em #ddj RT @NunoNunes_: Jornalismo de dados com música é uma coisa que me deixa feliz https://t.co/PzGB5VreLv"/>
    <s v="https://twitter.com/_danielmariani/status/1274701756069556225"/>
    <s v="twitter.com"/>
    <s v="ddj"/>
    <m/>
    <s v="http://pbs.twimg.com/profile_images/953436802110623744/NK6Q5dVg_normal.jpg"/>
    <d v="2020-06-22T02:41:33.000"/>
    <d v="2020-06-22T00:00:00.000"/>
    <s v="02:41:33"/>
    <s v="https://twitter.com/jornalismodados/status/1274895269319118848"/>
    <m/>
    <m/>
    <s v="1274895269319118848"/>
    <m/>
    <b v="0"/>
    <n v="0"/>
    <s v=""/>
    <b v="1"/>
    <s v="pt"/>
    <m/>
    <s v="1274701756069556225"/>
    <b v="0"/>
    <n v="0"/>
    <s v=""/>
    <s v="rt_app2018"/>
    <b v="0"/>
    <s v="1274895269319118848"/>
    <s v="Tweet"/>
    <n v="0"/>
    <n v="0"/>
    <m/>
    <m/>
    <m/>
    <m/>
    <m/>
    <m/>
    <m/>
    <m/>
    <n v="4"/>
    <s v="1"/>
    <s v="1"/>
    <n v="0"/>
    <n v="0"/>
    <n v="0"/>
    <n v="0"/>
    <n v="0"/>
    <n v="0"/>
    <n v="18"/>
    <n v="100"/>
    <n v="18"/>
  </r>
  <r>
    <s v="jornalismodados"/>
    <s v="nunonunes_"/>
    <m/>
    <m/>
    <m/>
    <m/>
    <m/>
    <m/>
    <m/>
    <m/>
    <s v="No"/>
    <n v="222"/>
    <m/>
    <m/>
    <s v="Mentions"/>
    <x v="112"/>
    <s v="Dou RT em #ddj RT @jornalismoDados: Dou RT em #ddj RT @NunoNunes_: Jornalismo de dados com música é uma coisa que me deixa feliz https://t.co/PzGB5VreLv"/>
    <s v="https://twitter.com/_danielmariani/status/1274701756069556225"/>
    <s v="twitter.com"/>
    <s v="ddj ddj"/>
    <m/>
    <s v="http://pbs.twimg.com/profile_images/953436802110623744/NK6Q5dVg_normal.jpg"/>
    <d v="2020-06-22T03:41:33.000"/>
    <d v="2020-06-22T00:00:00.000"/>
    <s v="03:41:33"/>
    <s v="https://twitter.com/jornalismodados/status/1274910369551724547"/>
    <m/>
    <m/>
    <s v="1274910369551724547"/>
    <m/>
    <b v="0"/>
    <n v="0"/>
    <s v=""/>
    <b v="1"/>
    <s v="pt"/>
    <m/>
    <s v="1274701756069556225"/>
    <b v="0"/>
    <n v="0"/>
    <s v=""/>
    <s v="rt_app2018"/>
    <b v="0"/>
    <s v="1274910369551724547"/>
    <s v="Tweet"/>
    <n v="0"/>
    <n v="0"/>
    <m/>
    <m/>
    <m/>
    <m/>
    <m/>
    <m/>
    <m/>
    <m/>
    <n v="4"/>
    <s v="1"/>
    <s v="1"/>
    <n v="0"/>
    <n v="0"/>
    <n v="0"/>
    <n v="0"/>
    <n v="0"/>
    <n v="0"/>
    <n v="24"/>
    <n v="100"/>
    <n v="24"/>
  </r>
  <r>
    <s v="jornalismodados"/>
    <s v="nunonunes_"/>
    <m/>
    <m/>
    <m/>
    <m/>
    <m/>
    <m/>
    <m/>
    <m/>
    <s v="No"/>
    <n v="223"/>
    <m/>
    <m/>
    <s v="Mentions"/>
    <x v="113"/>
    <s v="Dou RT em #ddj RT @jornalismoDados: Dou RT em #ddj RT @jornalismoDados: Dou RT em #ddj RT @NunoNunes_: Jornalismo de dados com música é uma coisa que m… https://t.co/eJzgvZmOtU"/>
    <s v="https://twitter.com/i/web/status/1274910369551724547"/>
    <s v="twitter.com"/>
    <s v="ddj ddj ddj"/>
    <m/>
    <s v="http://pbs.twimg.com/profile_images/953436802110623744/NK6Q5dVg_normal.jpg"/>
    <d v="2020-06-22T04:41:50.000"/>
    <d v="2020-06-22T00:00:00.000"/>
    <s v="04:41:50"/>
    <s v="https://twitter.com/jornalismodados/status/1274925539954958337"/>
    <m/>
    <m/>
    <s v="1274925539954958337"/>
    <m/>
    <b v="0"/>
    <n v="0"/>
    <s v=""/>
    <b v="0"/>
    <s v="pt"/>
    <m/>
    <s v=""/>
    <b v="0"/>
    <n v="0"/>
    <s v=""/>
    <s v="rt_app2018"/>
    <b v="0"/>
    <s v="1274925539954958337"/>
    <s v="Tweet"/>
    <n v="0"/>
    <n v="0"/>
    <m/>
    <m/>
    <m/>
    <m/>
    <m/>
    <m/>
    <m/>
    <m/>
    <n v="4"/>
    <s v="1"/>
    <s v="1"/>
    <n v="0"/>
    <n v="0"/>
    <n v="0"/>
    <n v="0"/>
    <n v="0"/>
    <n v="0"/>
    <n v="28"/>
    <n v="100"/>
    <n v="28"/>
  </r>
  <r>
    <s v="jornalismodados"/>
    <s v="nunonunes_"/>
    <m/>
    <m/>
    <m/>
    <m/>
    <m/>
    <m/>
    <m/>
    <m/>
    <s v="No"/>
    <n v="224"/>
    <m/>
    <m/>
    <s v="Mentions"/>
    <x v="114"/>
    <s v="Dou RT em #ddj RT @jornalismoDados: Dou RT em #ddj RT @jornalismoDados: Dou RT em #ddj RT @jornalismoDados: Dou RT em #ddj RT @NunoNunes_: Jornalismo d… https://t.co/a7Uf9jPfYp"/>
    <s v="https://twitter.com/i/web/status/1274925539954958337"/>
    <s v="twitter.com"/>
    <s v="ddj ddj ddj ddj"/>
    <m/>
    <s v="http://pbs.twimg.com/profile_images/953436802110623744/NK6Q5dVg_normal.jpg"/>
    <d v="2020-06-22T05:41:33.000"/>
    <d v="2020-06-22T00:00:00.000"/>
    <s v="05:41:33"/>
    <s v="https://twitter.com/jornalismodados/status/1274940568360095744"/>
    <m/>
    <m/>
    <s v="1274940568360095744"/>
    <m/>
    <b v="0"/>
    <n v="0"/>
    <s v=""/>
    <b v="0"/>
    <s v="pt"/>
    <m/>
    <s v=""/>
    <b v="0"/>
    <n v="0"/>
    <s v=""/>
    <s v="rt_app2018"/>
    <b v="0"/>
    <s v="1274940568360095744"/>
    <s v="Tweet"/>
    <n v="0"/>
    <n v="0"/>
    <m/>
    <m/>
    <m/>
    <m/>
    <m/>
    <m/>
    <m/>
    <m/>
    <n v="4"/>
    <s v="1"/>
    <s v="1"/>
    <n v="0"/>
    <n v="0"/>
    <n v="0"/>
    <n v="0"/>
    <n v="0"/>
    <n v="0"/>
    <n v="26"/>
    <n v="100"/>
    <n v="26"/>
  </r>
  <r>
    <s v="jornalismodados"/>
    <s v="rubenlmartins"/>
    <m/>
    <m/>
    <m/>
    <m/>
    <m/>
    <m/>
    <m/>
    <m/>
    <s v="No"/>
    <n v="225"/>
    <m/>
    <m/>
    <s v="Mentions"/>
    <x v="115"/>
    <s v="Dou RT em #ddj RT @DMConstantino: @FranciscoPires9 @rubenlmartins Isso não chega! É preciso acabar com as causas do problema, é preciso promover a li… https://t.co/XdKyTMJH7Z"/>
    <s v="https://twitter.com/i/web/status/1275027326720450560"/>
    <s v="twitter.com"/>
    <s v="ddj"/>
    <m/>
    <s v="http://pbs.twimg.com/profile_images/953436802110623744/NK6Q5dVg_normal.jpg"/>
    <d v="2020-06-22T11:41:33.000"/>
    <d v="2020-06-22T00:00:00.000"/>
    <s v="11:41:33"/>
    <s v="https://twitter.com/jornalismodados/status/1275031165020274690"/>
    <m/>
    <m/>
    <s v="1275031165020274690"/>
    <m/>
    <b v="0"/>
    <n v="1"/>
    <s v=""/>
    <b v="0"/>
    <s v="pt"/>
    <m/>
    <s v=""/>
    <b v="0"/>
    <n v="0"/>
    <s v=""/>
    <s v="rt_app2018"/>
    <b v="0"/>
    <s v="1275031165020274690"/>
    <s v="Tweet"/>
    <n v="0"/>
    <n v="0"/>
    <m/>
    <m/>
    <m/>
    <m/>
    <m/>
    <m/>
    <m/>
    <m/>
    <n v="1"/>
    <s v="1"/>
    <s v="1"/>
    <m/>
    <m/>
    <m/>
    <m/>
    <m/>
    <m/>
    <m/>
    <m/>
    <m/>
  </r>
  <r>
    <s v="jornalismodados"/>
    <s v="tcuoficial"/>
    <m/>
    <m/>
    <m/>
    <m/>
    <m/>
    <m/>
    <m/>
    <m/>
    <s v="No"/>
    <n v="228"/>
    <m/>
    <m/>
    <s v="Mentions"/>
    <x v="116"/>
    <s v="Dou RT em #ddj RT @BRRight3: @veramagalhaes @TCUoficial A casa do “jornalismo tradicional” está caindo e estão desesperados. Informação virou co… https://t.co/wqNryJymag"/>
    <s v="https://twitter.com/i/web/status/1275054330006196226"/>
    <s v="twitter.com"/>
    <s v="ddj"/>
    <m/>
    <s v="http://pbs.twimg.com/profile_images/953436802110623744/NK6Q5dVg_normal.jpg"/>
    <d v="2020-06-22T13:41:34.000"/>
    <d v="2020-06-22T00:00:00.000"/>
    <s v="13:41:34"/>
    <s v="https://twitter.com/jornalismodados/status/1275061368203259904"/>
    <m/>
    <m/>
    <s v="1275061368203259904"/>
    <m/>
    <b v="0"/>
    <n v="0"/>
    <s v=""/>
    <b v="0"/>
    <s v="pt"/>
    <m/>
    <s v=""/>
    <b v="0"/>
    <n v="0"/>
    <s v=""/>
    <s v="rt_app2018"/>
    <b v="0"/>
    <s v="1275061368203259904"/>
    <s v="Tweet"/>
    <n v="0"/>
    <n v="0"/>
    <m/>
    <m/>
    <m/>
    <m/>
    <m/>
    <m/>
    <m/>
    <m/>
    <n v="1"/>
    <s v="1"/>
    <s v="1"/>
    <m/>
    <m/>
    <m/>
    <m/>
    <m/>
    <m/>
    <m/>
    <m/>
    <m/>
  </r>
  <r>
    <s v="jornalismodados"/>
    <s v="tassojereissati"/>
    <m/>
    <m/>
    <m/>
    <m/>
    <m/>
    <m/>
    <m/>
    <m/>
    <s v="No"/>
    <n v="231"/>
    <m/>
    <m/>
    <s v="Mentions"/>
    <x v="117"/>
    <s v="Dou RT em #ddj RT @guikudo: @tassojereissati Tadinha das empresas públicas ineficientes q vão ter q concorrer com trabalho de verdade..jornalis… https://t.co/4Y1aXRlcVz"/>
    <s v="https://twitter.com/i/web/status/1275050043129692160"/>
    <s v="twitter.com"/>
    <s v="ddj"/>
    <m/>
    <s v="http://pbs.twimg.com/profile_images/953436802110623744/NK6Q5dVg_normal.jpg"/>
    <d v="2020-06-22T13:41:43.000"/>
    <d v="2020-06-22T00:00:00.000"/>
    <s v="13:41:43"/>
    <s v="https://twitter.com/jornalismodados/status/1275061407709573122"/>
    <m/>
    <m/>
    <s v="1275061407709573122"/>
    <m/>
    <b v="0"/>
    <n v="0"/>
    <s v=""/>
    <b v="0"/>
    <s v="pt"/>
    <m/>
    <s v=""/>
    <b v="0"/>
    <n v="0"/>
    <s v=""/>
    <s v="rt_app2018"/>
    <b v="0"/>
    <s v="1275061407709573122"/>
    <s v="Tweet"/>
    <n v="0"/>
    <n v="0"/>
    <m/>
    <m/>
    <m/>
    <m/>
    <m/>
    <m/>
    <m/>
    <m/>
    <n v="1"/>
    <s v="1"/>
    <s v="1"/>
    <m/>
    <m/>
    <m/>
    <m/>
    <m/>
    <m/>
    <m/>
    <m/>
    <m/>
  </r>
  <r>
    <s v="jornalismodados"/>
    <s v="rodrigomenegat"/>
    <m/>
    <m/>
    <m/>
    <m/>
    <m/>
    <m/>
    <m/>
    <m/>
    <s v="No"/>
    <n v="233"/>
    <m/>
    <m/>
    <s v="Mentions"/>
    <x v="118"/>
    <s v="Dou RT em #ddj RT @camillatavares: HOJE TEM SIMCOM AO VIVO! A partir das 14h, @LucasReino recebe o jornalista de dados @RodrigoMenegat e o prof. Marco… https://t.co/PRt2KHqQIb"/>
    <s v="https://twitter.com/i/web/status/1275067751967502336"/>
    <s v="twitter.com"/>
    <s v="ddj"/>
    <m/>
    <s v="http://pbs.twimg.com/profile_images/953436802110623744/NK6Q5dVg_normal.jpg"/>
    <d v="2020-06-22T14:41:33.000"/>
    <d v="2020-06-22T00:00:00.000"/>
    <s v="14:41:33"/>
    <s v="https://twitter.com/jornalismodados/status/1275076463805386753"/>
    <m/>
    <m/>
    <s v="1275076463805386753"/>
    <m/>
    <b v="0"/>
    <n v="0"/>
    <s v=""/>
    <b v="0"/>
    <s v="pt"/>
    <m/>
    <s v=""/>
    <b v="0"/>
    <n v="0"/>
    <s v=""/>
    <s v="rt_app2018"/>
    <b v="0"/>
    <s v="1275076463805386753"/>
    <s v="Tweet"/>
    <n v="0"/>
    <n v="0"/>
    <m/>
    <m/>
    <m/>
    <m/>
    <m/>
    <m/>
    <m/>
    <m/>
    <n v="2"/>
    <s v="1"/>
    <s v="1"/>
    <m/>
    <m/>
    <m/>
    <m/>
    <m/>
    <m/>
    <m/>
    <m/>
    <m/>
  </r>
  <r>
    <s v="jornalismodados"/>
    <s v="rodrigomenegat"/>
    <m/>
    <m/>
    <m/>
    <m/>
    <m/>
    <m/>
    <m/>
    <m/>
    <s v="No"/>
    <n v="234"/>
    <m/>
    <m/>
    <s v="Mentions"/>
    <x v="119"/>
    <s v="Dou RT em #ddj RT @LucasReino: RT @camillatavares: HOJE TEM SIMCOM AO VIVO! A partir das 14h, @LucasReino recebe o jornalista de dados @RodrigoMenegat e o prof. Marco Ant…"/>
    <m/>
    <m/>
    <s v="ddj"/>
    <m/>
    <s v="http://pbs.twimg.com/profile_images/953436802110623744/NK6Q5dVg_normal.jpg"/>
    <d v="2020-06-22T15:41:33.000"/>
    <d v="2020-06-22T00:00:00.000"/>
    <s v="15:41:33"/>
    <s v="https://twitter.com/jornalismodados/status/1275091562947633153"/>
    <m/>
    <m/>
    <s v="1275091562947633153"/>
    <m/>
    <b v="0"/>
    <n v="0"/>
    <s v=""/>
    <b v="0"/>
    <s v="pt"/>
    <m/>
    <s v=""/>
    <b v="0"/>
    <n v="0"/>
    <s v=""/>
    <s v="rt_app2018"/>
    <b v="0"/>
    <s v="1275091562947633153"/>
    <s v="Tweet"/>
    <n v="0"/>
    <n v="0"/>
    <m/>
    <m/>
    <m/>
    <m/>
    <m/>
    <m/>
    <m/>
    <m/>
    <n v="2"/>
    <s v="1"/>
    <s v="1"/>
    <m/>
    <m/>
    <m/>
    <m/>
    <m/>
    <m/>
    <m/>
    <m/>
    <m/>
  </r>
  <r>
    <s v="jornalismodados"/>
    <s v="anieleam"/>
    <m/>
    <m/>
    <m/>
    <m/>
    <m/>
    <m/>
    <m/>
    <m/>
    <s v="No"/>
    <n v="239"/>
    <m/>
    <m/>
    <s v="Mentions"/>
    <x v="120"/>
    <s v="Dou RT em #ddj RT @AnieleAM: Acho que um dos maiores desafios do jornalismo nesse momento de pandemia é conseguir fazer a devida divulgação cien… https://t.co/w7R5Kbrj5r"/>
    <s v="https://twitter.com/i/web/status/1275081774133940224"/>
    <s v="twitter.com"/>
    <s v="ddj"/>
    <m/>
    <s v="http://pbs.twimg.com/profile_images/953436802110623744/NK6Q5dVg_normal.jpg"/>
    <d v="2020-06-22T15:41:37.000"/>
    <d v="2020-06-22T00:00:00.000"/>
    <s v="15:41:37"/>
    <s v="https://twitter.com/jornalismodados/status/1275091581159321600"/>
    <m/>
    <m/>
    <s v="1275091581159321600"/>
    <m/>
    <b v="0"/>
    <n v="0"/>
    <s v=""/>
    <b v="0"/>
    <s v="pt"/>
    <m/>
    <s v=""/>
    <b v="0"/>
    <n v="0"/>
    <s v=""/>
    <s v="rt_app2018"/>
    <b v="0"/>
    <s v="1275091581159321600"/>
    <s v="Tweet"/>
    <n v="0"/>
    <n v="0"/>
    <m/>
    <m/>
    <m/>
    <m/>
    <m/>
    <m/>
    <m/>
    <m/>
    <n v="1"/>
    <s v="1"/>
    <s v="1"/>
    <n v="0"/>
    <n v="0"/>
    <n v="0"/>
    <n v="0"/>
    <n v="0"/>
    <n v="0"/>
    <n v="25"/>
    <n v="100"/>
    <n v="25"/>
  </r>
  <r>
    <s v="jornalismodados"/>
    <s v="biarcosstaa"/>
    <m/>
    <m/>
    <m/>
    <m/>
    <m/>
    <m/>
    <m/>
    <m/>
    <s v="No"/>
    <n v="240"/>
    <m/>
    <m/>
    <s v="Mentions"/>
    <x v="121"/>
    <s v="Dou RT em #ddj RT @biarcosstaa: RT @isabellaguasti_: Num país onde dados são omitidos no meio de uma crise de saúde, é crucial pensar o papel do jornalismo profissional. N…"/>
    <m/>
    <m/>
    <s v="ddj"/>
    <m/>
    <s v="http://pbs.twimg.com/profile_images/953436802110623744/NK6Q5dVg_normal.jpg"/>
    <d v="2020-06-22T16:41:33.000"/>
    <d v="2020-06-22T00:00:00.000"/>
    <s v="16:41:33"/>
    <s v="https://twitter.com/jornalismodados/status/1275106662630731776"/>
    <m/>
    <m/>
    <s v="1275106662630731776"/>
    <m/>
    <b v="0"/>
    <n v="0"/>
    <s v=""/>
    <b v="0"/>
    <s v="pt"/>
    <m/>
    <s v=""/>
    <b v="0"/>
    <n v="0"/>
    <s v=""/>
    <s v="rt_app2018"/>
    <b v="0"/>
    <s v="1275106662630731776"/>
    <s v="Tweet"/>
    <n v="0"/>
    <n v="0"/>
    <m/>
    <m/>
    <m/>
    <m/>
    <m/>
    <m/>
    <m/>
    <m/>
    <n v="1"/>
    <s v="1"/>
    <s v="1"/>
    <m/>
    <m/>
    <m/>
    <m/>
    <m/>
    <m/>
    <m/>
    <m/>
    <m/>
  </r>
  <r>
    <s v="jornalismodados"/>
    <s v="pzaj_"/>
    <m/>
    <m/>
    <m/>
    <m/>
    <m/>
    <m/>
    <m/>
    <m/>
    <s v="No"/>
    <n v="241"/>
    <m/>
    <m/>
    <s v="Mentions"/>
    <x v="122"/>
    <s v="Dou RT em #ddj RT @pzaj_: RT @isabellaguasti_: Num país onde dados são omitidos no meio de uma crise de saúde, é crucial pensar o papel do jornalismo profissional. N…"/>
    <m/>
    <m/>
    <s v="ddj"/>
    <m/>
    <s v="http://pbs.twimg.com/profile_images/953436802110623744/NK6Q5dVg_normal.jpg"/>
    <d v="2020-06-22T16:41:37.000"/>
    <d v="2020-06-22T00:00:00.000"/>
    <s v="16:41:37"/>
    <s v="https://twitter.com/jornalismodados/status/1275106681060560896"/>
    <m/>
    <m/>
    <s v="1275106681060560896"/>
    <m/>
    <b v="0"/>
    <n v="1"/>
    <s v=""/>
    <b v="0"/>
    <s v="pt"/>
    <m/>
    <s v=""/>
    <b v="0"/>
    <n v="0"/>
    <s v=""/>
    <s v="rt_app2018"/>
    <b v="0"/>
    <s v="1275106681060560896"/>
    <s v="Tweet"/>
    <n v="0"/>
    <n v="0"/>
    <m/>
    <m/>
    <m/>
    <m/>
    <m/>
    <m/>
    <m/>
    <m/>
    <n v="1"/>
    <s v="1"/>
    <s v="1"/>
    <m/>
    <m/>
    <m/>
    <m/>
    <m/>
    <m/>
    <m/>
    <m/>
    <m/>
  </r>
  <r>
    <s v="jornalismodados"/>
    <s v="_sofialeao"/>
    <m/>
    <m/>
    <m/>
    <m/>
    <m/>
    <m/>
    <m/>
    <m/>
    <s v="No"/>
    <n v="242"/>
    <m/>
    <m/>
    <s v="Mentions"/>
    <x v="123"/>
    <s v="Dou RT em #ddj RT @_sofialeao: RT @isabellaguasti_: Num país onde dados são omitidos no meio de uma crise de saúde, é crucial pensar o papel do jornalismo profissional. N…"/>
    <m/>
    <m/>
    <s v="ddj"/>
    <m/>
    <s v="http://pbs.twimg.com/profile_images/953436802110623744/NK6Q5dVg_normal.jpg"/>
    <d v="2020-06-22T16:41:46.000"/>
    <d v="2020-06-22T00:00:00.000"/>
    <s v="16:41:46"/>
    <s v="https://twitter.com/jornalismodados/status/1275106716489789441"/>
    <m/>
    <m/>
    <s v="1275106716489789441"/>
    <m/>
    <b v="0"/>
    <n v="0"/>
    <s v=""/>
    <b v="0"/>
    <s v="pt"/>
    <m/>
    <s v=""/>
    <b v="0"/>
    <n v="0"/>
    <s v=""/>
    <s v="rt_app2018"/>
    <b v="0"/>
    <s v="1275106716489789441"/>
    <s v="Tweet"/>
    <n v="0"/>
    <n v="0"/>
    <m/>
    <m/>
    <m/>
    <m/>
    <m/>
    <m/>
    <m/>
    <m/>
    <n v="2"/>
    <s v="1"/>
    <s v="1"/>
    <m/>
    <m/>
    <m/>
    <m/>
    <m/>
    <m/>
    <m/>
    <m/>
    <m/>
  </r>
  <r>
    <s v="jornalismodados"/>
    <s v="_sofialeao"/>
    <m/>
    <m/>
    <m/>
    <m/>
    <m/>
    <m/>
    <m/>
    <m/>
    <s v="No"/>
    <n v="243"/>
    <m/>
    <m/>
    <s v="Mentions"/>
    <x v="124"/>
    <s v="Dou RT em #ddj RT @jornalismoDados: Dou RT em #ddj RT @_sofialeao: RT @isabellaguasti_: Num país onde dados são omitidos no meio de uma crise de saúde,… https://t.co/Pvz5huLHs4"/>
    <s v="https://twitter.com/i/web/status/1275106716489789441"/>
    <s v="twitter.com"/>
    <s v="ddj ddj"/>
    <m/>
    <s v="http://pbs.twimg.com/profile_images/953436802110623744/NK6Q5dVg_normal.jpg"/>
    <d v="2020-06-22T17:42:03.000"/>
    <d v="2020-06-22T00:00:00.000"/>
    <s v="17:42:03"/>
    <s v="https://twitter.com/jornalismodados/status/1275121889099333634"/>
    <m/>
    <m/>
    <s v="1275121889099333634"/>
    <m/>
    <b v="0"/>
    <n v="0"/>
    <s v=""/>
    <b v="0"/>
    <s v="pt"/>
    <m/>
    <s v=""/>
    <b v="0"/>
    <n v="0"/>
    <s v=""/>
    <s v="rt_app2018"/>
    <b v="0"/>
    <s v="1275121889099333634"/>
    <s v="Tweet"/>
    <n v="0"/>
    <n v="0"/>
    <m/>
    <m/>
    <m/>
    <m/>
    <m/>
    <m/>
    <m/>
    <m/>
    <n v="2"/>
    <s v="1"/>
    <s v="1"/>
    <m/>
    <m/>
    <m/>
    <m/>
    <m/>
    <m/>
    <m/>
    <m/>
    <m/>
  </r>
  <r>
    <s v="jornalismodados"/>
    <s v="venturimdaniel"/>
    <m/>
    <m/>
    <m/>
    <m/>
    <m/>
    <m/>
    <m/>
    <m/>
    <s v="No"/>
    <n v="244"/>
    <m/>
    <m/>
    <s v="Mentions"/>
    <x v="125"/>
    <s v="Dou RT em #ddj RT @VenturimDaniel: RT @isabellaguasti_: Num país onde dados são omitidos no meio de uma crise de saúde, é crucial pensar o papel do jornalismo profissional. N…"/>
    <m/>
    <m/>
    <s v="ddj"/>
    <m/>
    <s v="http://pbs.twimg.com/profile_images/953436802110623744/NK6Q5dVg_normal.jpg"/>
    <d v="2020-06-22T17:41:46.000"/>
    <d v="2020-06-22T00:00:00.000"/>
    <s v="17:41:46"/>
    <s v="https://twitter.com/jornalismodados/status/1275121818836389888"/>
    <m/>
    <m/>
    <s v="1275121818836389888"/>
    <m/>
    <b v="0"/>
    <n v="0"/>
    <s v=""/>
    <b v="0"/>
    <s v="pt"/>
    <m/>
    <s v=""/>
    <b v="0"/>
    <n v="0"/>
    <s v=""/>
    <s v="rt_app2018"/>
    <b v="0"/>
    <s v="1275121818836389888"/>
    <s v="Tweet"/>
    <n v="0"/>
    <n v="0"/>
    <m/>
    <m/>
    <m/>
    <m/>
    <m/>
    <m/>
    <m/>
    <m/>
    <n v="2"/>
    <s v="1"/>
    <s v="1"/>
    <m/>
    <m/>
    <m/>
    <m/>
    <m/>
    <m/>
    <m/>
    <m/>
    <m/>
  </r>
  <r>
    <s v="jornalismodados"/>
    <s v="venturimdaniel"/>
    <m/>
    <m/>
    <m/>
    <m/>
    <m/>
    <m/>
    <m/>
    <m/>
    <s v="No"/>
    <n v="245"/>
    <m/>
    <m/>
    <s v="Mentions"/>
    <x v="126"/>
    <s v="Dou RT em #ddj RT @jornalismoDados: Dou RT em #ddj RT @VenturimDaniel: RT @isabellaguasti_: Num país onde dados são omitidos no meio de uma crise de sa… https://t.co/w70ouYL6ks"/>
    <s v="https://twitter.com/i/web/status/1275121818836389888"/>
    <s v="twitter.com"/>
    <s v="ddj ddj"/>
    <m/>
    <s v="http://pbs.twimg.com/profile_images/953436802110623744/NK6Q5dVg_normal.jpg"/>
    <d v="2020-06-22T18:41:33.000"/>
    <d v="2020-06-22T00:00:00.000"/>
    <s v="18:41:33"/>
    <s v="https://twitter.com/jornalismodados/status/1275136861065949184"/>
    <m/>
    <m/>
    <s v="1275136861065949184"/>
    <m/>
    <b v="0"/>
    <n v="0"/>
    <s v=""/>
    <b v="0"/>
    <s v="pt"/>
    <m/>
    <s v=""/>
    <b v="0"/>
    <n v="0"/>
    <s v=""/>
    <s v="rt_app2018"/>
    <b v="0"/>
    <s v="1275136861065949184"/>
    <s v="Tweet"/>
    <n v="0"/>
    <n v="0"/>
    <m/>
    <m/>
    <m/>
    <m/>
    <m/>
    <m/>
    <m/>
    <m/>
    <n v="2"/>
    <s v="1"/>
    <s v="1"/>
    <m/>
    <m/>
    <m/>
    <m/>
    <m/>
    <m/>
    <m/>
    <m/>
    <m/>
  </r>
  <r>
    <s v="jornalismodados"/>
    <s v="yvesvieiraa"/>
    <m/>
    <m/>
    <m/>
    <m/>
    <m/>
    <m/>
    <m/>
    <m/>
    <s v="No"/>
    <n v="246"/>
    <m/>
    <m/>
    <s v="Mentions"/>
    <x v="127"/>
    <s v="Dou RT em #ddj RT @yvesvieiraa: RT @isabellaguasti_: Num país onde dados são omitidos no meio de uma crise de saúde, é crucial pensar o papel do jornalismo profissional. N…"/>
    <m/>
    <m/>
    <s v="ddj"/>
    <m/>
    <s v="http://pbs.twimg.com/profile_images/953436802110623744/NK6Q5dVg_normal.jpg"/>
    <d v="2020-06-22T17:41:41.000"/>
    <d v="2020-06-22T00:00:00.000"/>
    <s v="17:41:41"/>
    <s v="https://twitter.com/jornalismodados/status/1275121796350709761"/>
    <m/>
    <m/>
    <s v="1275121796350709761"/>
    <m/>
    <b v="0"/>
    <n v="0"/>
    <s v=""/>
    <b v="0"/>
    <s v="pt"/>
    <m/>
    <s v=""/>
    <b v="0"/>
    <n v="0"/>
    <s v=""/>
    <s v="rt_app2018"/>
    <b v="0"/>
    <s v="1275121796350709761"/>
    <s v="Tweet"/>
    <n v="0"/>
    <n v="0"/>
    <m/>
    <m/>
    <m/>
    <m/>
    <m/>
    <m/>
    <m/>
    <m/>
    <n v="2"/>
    <s v="1"/>
    <s v="1"/>
    <m/>
    <m/>
    <m/>
    <m/>
    <m/>
    <m/>
    <m/>
    <m/>
    <m/>
  </r>
  <r>
    <s v="jornalismodados"/>
    <s v="yvesvieiraa"/>
    <m/>
    <m/>
    <m/>
    <m/>
    <m/>
    <m/>
    <m/>
    <m/>
    <s v="No"/>
    <n v="247"/>
    <m/>
    <m/>
    <s v="Mentions"/>
    <x v="128"/>
    <s v="Dou RT em #ddj RT @jornalismoDados: Dou RT em #ddj RT @yvesvieiraa: RT @isabellaguasti_: Num país onde dados são omitidos no meio de uma crise de saúde… https://t.co/aguUiCl481"/>
    <s v="https://twitter.com/i/web/status/1275121796350709761"/>
    <s v="twitter.com"/>
    <s v="ddj ddj"/>
    <m/>
    <s v="http://pbs.twimg.com/profile_images/953436802110623744/NK6Q5dVg_normal.jpg"/>
    <d v="2020-06-22T18:41:40.000"/>
    <d v="2020-06-22T00:00:00.000"/>
    <s v="18:41:40"/>
    <s v="https://twitter.com/jornalismodados/status/1275136891856306176"/>
    <m/>
    <m/>
    <s v="1275136891856306176"/>
    <m/>
    <b v="0"/>
    <n v="0"/>
    <s v=""/>
    <b v="0"/>
    <s v="pt"/>
    <m/>
    <s v=""/>
    <b v="0"/>
    <n v="0"/>
    <s v=""/>
    <s v="rt_app2018"/>
    <b v="0"/>
    <s v="1275136891856306176"/>
    <s v="Tweet"/>
    <n v="0"/>
    <n v="0"/>
    <m/>
    <m/>
    <m/>
    <m/>
    <m/>
    <m/>
    <m/>
    <m/>
    <n v="2"/>
    <s v="1"/>
    <s v="1"/>
    <m/>
    <m/>
    <m/>
    <m/>
    <m/>
    <m/>
    <m/>
    <m/>
    <m/>
  </r>
  <r>
    <s v="jornalismodados"/>
    <s v="piedromarinho"/>
    <m/>
    <m/>
    <m/>
    <m/>
    <m/>
    <m/>
    <m/>
    <m/>
    <s v="No"/>
    <n v="248"/>
    <m/>
    <m/>
    <s v="Mentions"/>
    <x v="129"/>
    <s v="Dou RT em #ddj RT @piedromarinho: RT @isabellaguasti_: Num país onde dados são omitidos no meio de uma crise de saúde, é crucial pensar o papel do jornalismo profissional. N…"/>
    <m/>
    <m/>
    <s v="ddj"/>
    <m/>
    <s v="http://pbs.twimg.com/profile_images/953436802110623744/NK6Q5dVg_normal.jpg"/>
    <d v="2020-06-22T17:41:33.000"/>
    <d v="2020-06-22T00:00:00.000"/>
    <s v="17:41:33"/>
    <s v="https://twitter.com/jornalismodados/status/1275121761441517569"/>
    <m/>
    <m/>
    <s v="1275121761441517569"/>
    <m/>
    <b v="0"/>
    <n v="0"/>
    <s v=""/>
    <b v="0"/>
    <s v="pt"/>
    <m/>
    <s v=""/>
    <b v="0"/>
    <n v="0"/>
    <s v=""/>
    <s v="rt_app2018"/>
    <b v="0"/>
    <s v="1275121761441517569"/>
    <s v="Tweet"/>
    <n v="0"/>
    <n v="0"/>
    <m/>
    <m/>
    <m/>
    <m/>
    <m/>
    <m/>
    <m/>
    <m/>
    <n v="2"/>
    <s v="1"/>
    <s v="1"/>
    <m/>
    <m/>
    <m/>
    <m/>
    <m/>
    <m/>
    <m/>
    <m/>
    <m/>
  </r>
  <r>
    <s v="jornalismodados"/>
    <s v="piedromarinho"/>
    <m/>
    <m/>
    <m/>
    <m/>
    <m/>
    <m/>
    <m/>
    <m/>
    <s v="No"/>
    <n v="249"/>
    <m/>
    <m/>
    <s v="Mentions"/>
    <x v="130"/>
    <s v="Dou RT em #ddj RT @jornalismoDados: Dou RT em #ddj RT @piedromarinho: RT @isabellaguasti_: Num país onde dados são omitidos no meio de uma crise de saú… https://t.co/zMTNEYSA5M"/>
    <s v="https://twitter.com/i/web/status/1275121761441517569"/>
    <s v="twitter.com"/>
    <s v="ddj ddj"/>
    <m/>
    <s v="http://pbs.twimg.com/profile_images/953436802110623744/NK6Q5dVg_normal.jpg"/>
    <d v="2020-06-22T18:41:49.000"/>
    <d v="2020-06-22T00:00:00.000"/>
    <s v="18:41:49"/>
    <s v="https://twitter.com/jornalismodados/status/1275136931349790721"/>
    <m/>
    <m/>
    <s v="1275136931349790721"/>
    <m/>
    <b v="0"/>
    <n v="0"/>
    <s v=""/>
    <b v="0"/>
    <s v="pt"/>
    <m/>
    <s v=""/>
    <b v="0"/>
    <n v="0"/>
    <s v=""/>
    <s v="rt_app2018"/>
    <b v="0"/>
    <s v="1275136931349790721"/>
    <s v="Tweet"/>
    <n v="0"/>
    <n v="0"/>
    <m/>
    <m/>
    <m/>
    <m/>
    <m/>
    <m/>
    <m/>
    <m/>
    <n v="2"/>
    <s v="1"/>
    <s v="1"/>
    <m/>
    <m/>
    <m/>
    <m/>
    <m/>
    <m/>
    <m/>
    <m/>
    <m/>
  </r>
  <r>
    <s v="jornalismodados"/>
    <s v="eumesmacaroline"/>
    <m/>
    <m/>
    <m/>
    <m/>
    <m/>
    <m/>
    <m/>
    <m/>
    <s v="No"/>
    <n v="250"/>
    <m/>
    <m/>
    <s v="Mentions"/>
    <x v="131"/>
    <s v="Dou RT em #ddj RT @darazimermann: @eumesmacaroline mas o que esperar de um povo que rechaça o jornalismo, que tem como principal função falar os fato… https://t.co/kaMcJgQ4fI"/>
    <s v="https://twitter.com/i/web/status/1275146401245204481"/>
    <s v="twitter.com"/>
    <s v="ddj"/>
    <m/>
    <s v="http://pbs.twimg.com/profile_images/953436802110623744/NK6Q5dVg_normal.jpg"/>
    <d v="2020-06-22T19:41:42.000"/>
    <d v="2020-06-22T00:00:00.000"/>
    <s v="19:41:42"/>
    <s v="https://twitter.com/jornalismodados/status/1275152000095789057"/>
    <m/>
    <m/>
    <s v="1275152000095789057"/>
    <m/>
    <b v="0"/>
    <n v="0"/>
    <s v=""/>
    <b v="0"/>
    <s v="pt"/>
    <m/>
    <s v=""/>
    <b v="0"/>
    <n v="0"/>
    <s v=""/>
    <s v="rt_app2018"/>
    <b v="0"/>
    <s v="1275152000095789057"/>
    <s v="Tweet"/>
    <n v="0"/>
    <n v="0"/>
    <m/>
    <m/>
    <m/>
    <m/>
    <m/>
    <m/>
    <m/>
    <m/>
    <n v="1"/>
    <s v="1"/>
    <s v="1"/>
    <m/>
    <m/>
    <m/>
    <m/>
    <m/>
    <m/>
    <m/>
    <m/>
    <m/>
  </r>
  <r>
    <s v="jornalismodados"/>
    <s v="antena1rio"/>
    <m/>
    <m/>
    <m/>
    <m/>
    <m/>
    <m/>
    <m/>
    <m/>
    <s v="No"/>
    <n v="252"/>
    <m/>
    <m/>
    <s v="Mentions"/>
    <x v="132"/>
    <s v="Dou RT em #ddj RT @Antena1Rio: O mercado financeiro projeta queda de 6,50% na economia brasileira em 2020. Os dados são da pesquisa Focus do Banco… https://t.co/WgRGWalmr5"/>
    <s v="https://twitter.com/i/web/status/1275142638782631936"/>
    <s v="twitter.com"/>
    <s v="ddj"/>
    <m/>
    <s v="http://pbs.twimg.com/profile_images/953436802110623744/NK6Q5dVg_normal.jpg"/>
    <d v="2020-06-22T19:41:46.000"/>
    <d v="2020-06-22T00:00:00.000"/>
    <s v="19:41:46"/>
    <s v="https://twitter.com/jornalismodados/status/1275152014285176832"/>
    <m/>
    <m/>
    <s v="1275152014285176832"/>
    <m/>
    <b v="0"/>
    <n v="0"/>
    <s v=""/>
    <b v="0"/>
    <s v="pt"/>
    <m/>
    <s v=""/>
    <b v="0"/>
    <n v="0"/>
    <s v=""/>
    <s v="rt_app2018"/>
    <b v="0"/>
    <s v="1275152014285176832"/>
    <s v="Tweet"/>
    <n v="0"/>
    <n v="0"/>
    <m/>
    <m/>
    <m/>
    <m/>
    <m/>
    <m/>
    <m/>
    <m/>
    <n v="1"/>
    <s v="1"/>
    <s v="1"/>
    <n v="0"/>
    <n v="0"/>
    <n v="0"/>
    <n v="0"/>
    <n v="0"/>
    <n v="0"/>
    <n v="27"/>
    <n v="100"/>
    <n v="27"/>
  </r>
  <r>
    <s v="jornalismodados"/>
    <s v="leofn3"/>
    <m/>
    <m/>
    <m/>
    <m/>
    <m/>
    <m/>
    <m/>
    <m/>
    <s v="No"/>
    <n v="253"/>
    <m/>
    <m/>
    <s v="Mentions"/>
    <x v="133"/>
    <s v="Dou RT em #ddj RT @leofn3: RT @_fiquemsabendo: Amanhã, a @marilia_gehrke, membro da @EscolaDeDados e embaixadora da @okfnbr, vai dar uma aula sobre jornalismo de dado…"/>
    <m/>
    <m/>
    <s v="ddj"/>
    <m/>
    <s v="http://pbs.twimg.com/profile_images/953436802110623744/NK6Q5dVg_normal.jpg"/>
    <d v="2020-06-22T20:41:33.000"/>
    <d v="2020-06-22T00:00:00.000"/>
    <s v="20:41:33"/>
    <s v="https://twitter.com/jornalismodados/status/1275167060952322051"/>
    <m/>
    <m/>
    <s v="1275167060952322051"/>
    <m/>
    <b v="0"/>
    <n v="0"/>
    <s v=""/>
    <b v="0"/>
    <s v="pt"/>
    <m/>
    <s v=""/>
    <b v="0"/>
    <n v="0"/>
    <s v=""/>
    <s v="rt_app2018"/>
    <b v="0"/>
    <s v="1275167060952322051"/>
    <s v="Tweet"/>
    <n v="0"/>
    <n v="0"/>
    <m/>
    <m/>
    <m/>
    <m/>
    <m/>
    <m/>
    <m/>
    <m/>
    <n v="1"/>
    <s v="1"/>
    <s v="1"/>
    <m/>
    <m/>
    <m/>
    <m/>
    <m/>
    <m/>
    <m/>
    <m/>
    <m/>
  </r>
  <r>
    <s v="jornalismodados"/>
    <s v="grqm"/>
    <m/>
    <m/>
    <m/>
    <m/>
    <m/>
    <m/>
    <m/>
    <m/>
    <s v="No"/>
    <n v="254"/>
    <m/>
    <m/>
    <s v="Mentions"/>
    <x v="134"/>
    <s v="Dou RT em #ddj RT @GRQM: RT @_fiquemsabendo: Amanhã, a @marilia_gehrke, membro da @EscolaDeDados e embaixadora da @okfnbr, vai dar uma aula sobre jornalismo de dado…"/>
    <m/>
    <m/>
    <s v="ddj"/>
    <m/>
    <s v="http://pbs.twimg.com/profile_images/953436802110623744/NK6Q5dVg_normal.jpg"/>
    <d v="2020-06-22T20:41:37.000"/>
    <d v="2020-06-22T00:00:00.000"/>
    <s v="20:41:37"/>
    <s v="https://twitter.com/jornalismodados/status/1275167079294013446"/>
    <m/>
    <m/>
    <s v="1275167079294013446"/>
    <m/>
    <b v="0"/>
    <n v="0"/>
    <s v=""/>
    <b v="0"/>
    <s v="pt"/>
    <m/>
    <s v=""/>
    <b v="0"/>
    <n v="0"/>
    <s v=""/>
    <s v="rt_app2018"/>
    <b v="0"/>
    <s v="1275167079294013446"/>
    <s v="Tweet"/>
    <n v="0"/>
    <n v="0"/>
    <m/>
    <m/>
    <m/>
    <m/>
    <m/>
    <m/>
    <m/>
    <m/>
    <n v="1"/>
    <s v="1"/>
    <s v="1"/>
    <m/>
    <m/>
    <m/>
    <m/>
    <m/>
    <m/>
    <m/>
    <m/>
    <m/>
  </r>
  <r>
    <s v="jornalismodados"/>
    <s v="elisarabelo1"/>
    <m/>
    <m/>
    <m/>
    <m/>
    <m/>
    <m/>
    <m/>
    <m/>
    <s v="No"/>
    <n v="255"/>
    <m/>
    <m/>
    <s v="Mentions"/>
    <x v="135"/>
    <s v="Dou RT em #ddj RT @elisarabelo1: RT @isabellaguasti_: Num país onde dados são omitidos no meio de uma crise de saúde, é crucial pensar o papel do jornalismo profissional. N…"/>
    <m/>
    <m/>
    <s v="ddj"/>
    <m/>
    <s v="http://pbs.twimg.com/profile_images/953436802110623744/NK6Q5dVg_normal.jpg"/>
    <d v="2020-06-22T19:41:52.000"/>
    <d v="2020-06-22T00:00:00.000"/>
    <s v="19:41:52"/>
    <s v="https://twitter.com/jornalismodados/status/1275152041283932160"/>
    <m/>
    <m/>
    <s v="1275152041283932160"/>
    <m/>
    <b v="0"/>
    <n v="0"/>
    <s v=""/>
    <b v="0"/>
    <s v="pt"/>
    <m/>
    <s v=""/>
    <b v="0"/>
    <n v="0"/>
    <s v=""/>
    <s v="rt_app2018"/>
    <b v="0"/>
    <s v="1275152041283932160"/>
    <s v="Tweet"/>
    <n v="0"/>
    <n v="0"/>
    <m/>
    <m/>
    <m/>
    <m/>
    <m/>
    <m/>
    <m/>
    <m/>
    <n v="2"/>
    <s v="1"/>
    <s v="1"/>
    <m/>
    <m/>
    <m/>
    <m/>
    <m/>
    <m/>
    <m/>
    <m/>
    <m/>
  </r>
  <r>
    <s v="jornalismodados"/>
    <s v="elisarabelo1"/>
    <m/>
    <m/>
    <m/>
    <m/>
    <m/>
    <m/>
    <m/>
    <m/>
    <s v="No"/>
    <n v="256"/>
    <m/>
    <m/>
    <s v="Mentions"/>
    <x v="136"/>
    <s v="Dou RT em #ddj RT @jornalismoDados: Dou RT em #ddj RT @elisarabelo1: RT @isabellaguasti_: Num país onde dados são omitidos no meio de uma crise de saúd… https://t.co/HYtJ31EBXX"/>
    <s v="https://twitter.com/i/web/status/1275152041283932160"/>
    <s v="twitter.com"/>
    <s v="ddj ddj"/>
    <m/>
    <s v="http://pbs.twimg.com/profile_images/953436802110623744/NK6Q5dVg_normal.jpg"/>
    <d v="2020-06-22T20:41:52.000"/>
    <d v="2020-06-22T00:00:00.000"/>
    <s v="20:41:52"/>
    <s v="https://twitter.com/jornalismodados/status/1275167141835259905"/>
    <m/>
    <m/>
    <s v="1275167141835259905"/>
    <m/>
    <b v="0"/>
    <n v="0"/>
    <s v=""/>
    <b v="0"/>
    <s v="pt"/>
    <m/>
    <s v=""/>
    <b v="0"/>
    <n v="0"/>
    <s v=""/>
    <s v="rt_app2018"/>
    <b v="0"/>
    <s v="1275167141835259905"/>
    <s v="Tweet"/>
    <n v="0"/>
    <n v="0"/>
    <m/>
    <m/>
    <m/>
    <m/>
    <m/>
    <m/>
    <m/>
    <m/>
    <n v="2"/>
    <s v="1"/>
    <s v="1"/>
    <m/>
    <m/>
    <m/>
    <m/>
    <m/>
    <m/>
    <m/>
    <m/>
    <m/>
  </r>
  <r>
    <s v="jornalismodados"/>
    <s v="isabellaguasti_"/>
    <m/>
    <m/>
    <m/>
    <m/>
    <m/>
    <m/>
    <m/>
    <m/>
    <s v="No"/>
    <n v="260"/>
    <m/>
    <m/>
    <s v="Mentions"/>
    <x v="137"/>
    <s v="Dou RT em #ddj RT @isabellaguasti_: Num país onde dados são omitidos no meio de uma crise de saúde, é crucial pensar o papel do jornalismo profissional… https://t.co/mVGWz0GF7s"/>
    <s v="https://twitter.com/i/web/status/1275093202144497665"/>
    <s v="twitter.com"/>
    <s v="ddj"/>
    <m/>
    <s v="http://pbs.twimg.com/profile_images/953436802110623744/NK6Q5dVg_normal.jpg"/>
    <d v="2020-06-22T16:41:56.000"/>
    <d v="2020-06-22T00:00:00.000"/>
    <s v="16:41:56"/>
    <s v="https://twitter.com/jornalismodados/status/1275106760110608384"/>
    <m/>
    <m/>
    <s v="1275106760110608384"/>
    <m/>
    <b v="0"/>
    <n v="0"/>
    <s v=""/>
    <b v="0"/>
    <s v="pt"/>
    <m/>
    <s v=""/>
    <b v="0"/>
    <n v="0"/>
    <s v=""/>
    <s v="rt_app2018"/>
    <b v="0"/>
    <s v="1275106760110608384"/>
    <s v="Tweet"/>
    <n v="0"/>
    <n v="0"/>
    <m/>
    <m/>
    <m/>
    <m/>
    <m/>
    <m/>
    <m/>
    <m/>
    <n v="16"/>
    <s v="1"/>
    <s v="1"/>
    <n v="0"/>
    <n v="0"/>
    <n v="0"/>
    <n v="0"/>
    <n v="0"/>
    <n v="0"/>
    <n v="27"/>
    <n v="100"/>
    <n v="27"/>
  </r>
  <r>
    <s v="jornalismodados"/>
    <s v="isabellaguasti_"/>
    <m/>
    <m/>
    <m/>
    <m/>
    <m/>
    <m/>
    <m/>
    <m/>
    <s v="No"/>
    <n v="264"/>
    <m/>
    <m/>
    <s v="Mentions"/>
    <x v="138"/>
    <s v="Dou RT em #ddj RT @jornalismoDados: Dou RT em #ddj RT @isabellaguasti_: Num país onde dados são omitidos no meio de uma crise de saúde, é crucial pensa… https://t.co/KoMDsiyEP7"/>
    <s v="https://twitter.com/i/web/status/1275106760110608384"/>
    <s v="twitter.com"/>
    <s v="ddj ddj"/>
    <m/>
    <s v="http://pbs.twimg.com/profile_images/953436802110623744/NK6Q5dVg_normal.jpg"/>
    <d v="2020-06-22T17:41:57.000"/>
    <d v="2020-06-22T00:00:00.000"/>
    <s v="17:41:57"/>
    <s v="https://twitter.com/jornalismodados/status/1275121862394236929"/>
    <m/>
    <m/>
    <s v="1275121862394236929"/>
    <m/>
    <b v="0"/>
    <n v="0"/>
    <s v=""/>
    <b v="0"/>
    <s v="pt"/>
    <m/>
    <s v=""/>
    <b v="0"/>
    <n v="0"/>
    <s v=""/>
    <s v="rt_app2018"/>
    <b v="0"/>
    <s v="1275121862394236929"/>
    <s v="Tweet"/>
    <n v="0"/>
    <n v="0"/>
    <m/>
    <m/>
    <m/>
    <m/>
    <m/>
    <m/>
    <m/>
    <m/>
    <n v="16"/>
    <s v="1"/>
    <s v="1"/>
    <n v="0"/>
    <n v="0"/>
    <n v="0"/>
    <n v="0"/>
    <n v="0"/>
    <n v="0"/>
    <n v="28"/>
    <n v="100"/>
    <n v="28"/>
  </r>
  <r>
    <s v="jornalismodados"/>
    <s v="isabellaguasti_"/>
    <m/>
    <m/>
    <m/>
    <m/>
    <m/>
    <m/>
    <m/>
    <m/>
    <s v="No"/>
    <n v="269"/>
    <m/>
    <m/>
    <s v="Mentions"/>
    <x v="139"/>
    <s v="Dou RT em #ddj RT @meyreromanha: RT @isabellaguasti_: Num país onde dados são omitidos no meio de uma crise de saúde, é crucial pensar o papel do jornalismo profissional. N…"/>
    <m/>
    <m/>
    <s v="ddj"/>
    <m/>
    <s v="http://pbs.twimg.com/profile_images/953436802110623744/NK6Q5dVg_normal.jpg"/>
    <d v="2020-06-22T19:41:33.000"/>
    <d v="2020-06-22T00:00:00.000"/>
    <s v="19:41:33"/>
    <s v="https://twitter.com/jornalismodados/status/1275151960887439361"/>
    <m/>
    <m/>
    <s v="1275151960887439361"/>
    <m/>
    <b v="0"/>
    <n v="0"/>
    <s v=""/>
    <b v="0"/>
    <s v="pt"/>
    <m/>
    <s v=""/>
    <b v="0"/>
    <n v="0"/>
    <s v=""/>
    <s v="rt_app2018"/>
    <b v="0"/>
    <s v="1275151960887439361"/>
    <s v="Tweet"/>
    <n v="0"/>
    <n v="0"/>
    <m/>
    <m/>
    <m/>
    <m/>
    <m/>
    <m/>
    <m/>
    <m/>
    <n v="16"/>
    <s v="1"/>
    <s v="1"/>
    <m/>
    <m/>
    <m/>
    <m/>
    <m/>
    <m/>
    <m/>
    <m/>
    <m/>
  </r>
  <r>
    <s v="jornalismodados"/>
    <s v="isabellaguasti_"/>
    <m/>
    <m/>
    <m/>
    <m/>
    <m/>
    <m/>
    <m/>
    <m/>
    <s v="No"/>
    <n v="272"/>
    <m/>
    <m/>
    <s v="Mentions"/>
    <x v="140"/>
    <s v="Dou RT em #ddj RT @jornalismoDados: Dou RT em #ddj RT @meyreromanha: RT @isabellaguasti_: Num país onde dados são omitidos no meio de uma crise de saúd… https://t.co/FuEJHDZJDX"/>
    <s v="https://twitter.com/i/web/status/1275151960887439361"/>
    <s v="twitter.com"/>
    <s v="ddj ddj"/>
    <m/>
    <s v="http://pbs.twimg.com/profile_images/953436802110623744/NK6Q5dVg_normal.jpg"/>
    <d v="2020-06-22T20:41:57.000"/>
    <d v="2020-06-22T00:00:00.000"/>
    <s v="20:41:57"/>
    <s v="https://twitter.com/jornalismodados/status/1275167160067817472"/>
    <m/>
    <m/>
    <s v="1275167160067817472"/>
    <m/>
    <b v="0"/>
    <n v="0"/>
    <s v=""/>
    <b v="0"/>
    <s v="pt"/>
    <m/>
    <s v=""/>
    <b v="0"/>
    <n v="0"/>
    <s v=""/>
    <s v="rt_app2018"/>
    <b v="0"/>
    <s v="1275167160067817472"/>
    <s v="Tweet"/>
    <n v="0"/>
    <n v="0"/>
    <m/>
    <m/>
    <m/>
    <m/>
    <m/>
    <m/>
    <m/>
    <m/>
    <n v="16"/>
    <s v="1"/>
    <s v="1"/>
    <m/>
    <m/>
    <m/>
    <m/>
    <m/>
    <m/>
    <m/>
    <m/>
    <m/>
  </r>
  <r>
    <s v="jornalismodados"/>
    <s v="camillemoura"/>
    <m/>
    <m/>
    <m/>
    <m/>
    <m/>
    <m/>
    <m/>
    <m/>
    <s v="No"/>
    <n v="275"/>
    <m/>
    <m/>
    <s v="Mentions"/>
    <x v="141"/>
    <s v="Dou RT em #ddj RT @camillemoura: RT @okfnbr: 📣No semanário da OKBR, Edição #68: _x000a__x000a_💡Depois de apagão, desafio é aumentar a qualidade dos dados da covid-19_x000a__x000a_🗒️Aula de Jornali…"/>
    <m/>
    <m/>
    <s v="ddj"/>
    <m/>
    <s v="http://pbs.twimg.com/profile_images/953436802110623744/NK6Q5dVg_normal.jpg"/>
    <d v="2020-06-22T21:41:33.000"/>
    <d v="2020-06-22T00:00:00.000"/>
    <s v="21:41:33"/>
    <s v="https://twitter.com/jornalismodados/status/1275182160119566342"/>
    <m/>
    <m/>
    <s v="1275182160119566342"/>
    <m/>
    <b v="0"/>
    <n v="0"/>
    <s v=""/>
    <b v="0"/>
    <s v="pt"/>
    <m/>
    <s v=""/>
    <b v="0"/>
    <n v="0"/>
    <s v=""/>
    <s v="rt_app2018"/>
    <b v="0"/>
    <s v="1275182160119566342"/>
    <s v="Tweet"/>
    <n v="0"/>
    <n v="0"/>
    <m/>
    <m/>
    <m/>
    <m/>
    <m/>
    <m/>
    <m/>
    <m/>
    <n v="1"/>
    <s v="1"/>
    <s v="1"/>
    <m/>
    <m/>
    <m/>
    <m/>
    <m/>
    <m/>
    <m/>
    <m/>
    <m/>
  </r>
  <r>
    <s v="morenocris"/>
    <s v="okfnbr"/>
    <m/>
    <m/>
    <m/>
    <m/>
    <m/>
    <m/>
    <m/>
    <m/>
    <s v="No"/>
    <n v="276"/>
    <m/>
    <m/>
    <s v="MentionsInRetweet"/>
    <x v="142"/>
    <s v="Dou RT em #ddj RT @morenocris: RT @_fiquemsabendo: Amanhã, a @marilia_gehrke, membro da @EscolaDeDados e embaixadora da @okfnbr, vai dar uma aula sobre jornalismo de dado…"/>
    <m/>
    <m/>
    <s v="ddj"/>
    <m/>
    <s v="http://pbs.twimg.com/profile_images/1238901026108968963/cIsz5rxp_normal.jpg"/>
    <d v="2020-06-22T21:41:57.000"/>
    <d v="2020-06-22T00:00:00.000"/>
    <s v="21:41:57"/>
    <s v="https://twitter.com/morenocris/status/1275182262791921664"/>
    <m/>
    <m/>
    <s v="1275182262791921664"/>
    <m/>
    <b v="0"/>
    <n v="0"/>
    <s v=""/>
    <b v="0"/>
    <s v="pt"/>
    <m/>
    <s v=""/>
    <b v="0"/>
    <n v="1"/>
    <s v="1275182174011097088"/>
    <s v="Twitter for Android"/>
    <b v="0"/>
    <s v="1275182174011097088"/>
    <s v="Tweet"/>
    <n v="0"/>
    <n v="0"/>
    <m/>
    <m/>
    <m/>
    <m/>
    <m/>
    <m/>
    <m/>
    <m/>
    <n v="1"/>
    <s v="1"/>
    <s v="1"/>
    <m/>
    <m/>
    <m/>
    <m/>
    <m/>
    <m/>
    <m/>
    <m/>
    <m/>
  </r>
  <r>
    <s v="morenocris"/>
    <s v="marilia_gehrke"/>
    <m/>
    <m/>
    <m/>
    <m/>
    <m/>
    <m/>
    <m/>
    <m/>
    <s v="No"/>
    <n v="281"/>
    <m/>
    <m/>
    <s v="Retweet"/>
    <x v="143"/>
    <s v="É amanhã, gente! 💛 #ddj #opendata https://t.co/d42kcWaXz4"/>
    <m/>
    <m/>
    <s v="ddj opendata"/>
    <m/>
    <s v="http://pbs.twimg.com/profile_images/1238901026108968963/cIsz5rxp_normal.jpg"/>
    <d v="2020-06-22T22:28:00.000"/>
    <d v="2020-06-22T00:00:00.000"/>
    <s v="22:28:00"/>
    <s v="https://twitter.com/morenocris/status/1275193851897135106"/>
    <m/>
    <m/>
    <s v="1275193851897135106"/>
    <m/>
    <b v="0"/>
    <n v="0"/>
    <s v=""/>
    <b v="1"/>
    <s v="pt"/>
    <m/>
    <s v="1275156603893878784"/>
    <b v="0"/>
    <n v="2"/>
    <s v="1275163788178796544"/>
    <s v="Twitter for Android"/>
    <b v="0"/>
    <s v="1275163788178796544"/>
    <s v="Tweet"/>
    <n v="0"/>
    <n v="0"/>
    <m/>
    <m/>
    <m/>
    <m/>
    <m/>
    <m/>
    <m/>
    <m/>
    <n v="2"/>
    <s v="1"/>
    <s v="1"/>
    <n v="0"/>
    <n v="0"/>
    <n v="0"/>
    <n v="0"/>
    <n v="0"/>
    <n v="0"/>
    <n v="5"/>
    <n v="100"/>
    <n v="5"/>
  </r>
  <r>
    <s v="jornalismodados"/>
    <s v="morenocris"/>
    <m/>
    <m/>
    <m/>
    <m/>
    <m/>
    <m/>
    <m/>
    <m/>
    <s v="Yes"/>
    <n v="282"/>
    <m/>
    <m/>
    <s v="Mentions"/>
    <x v="144"/>
    <s v="Dou RT em #ddj RT @morenocris: RT @_fiquemsabendo: Amanhã, a @marilia_gehrke, membro da @EscolaDeDados e embaixadora da @okfnbr, vai dar uma aula sobre jornalismo de dado…"/>
    <m/>
    <m/>
    <s v="ddj"/>
    <m/>
    <s v="http://pbs.twimg.com/profile_images/953436802110623744/NK6Q5dVg_normal.jpg"/>
    <d v="2020-06-22T21:41:36.000"/>
    <d v="2020-06-22T00:00:00.000"/>
    <s v="21:41:36"/>
    <s v="https://twitter.com/jornalismodados/status/1275182174011097088"/>
    <m/>
    <m/>
    <s v="1275182174011097088"/>
    <m/>
    <b v="0"/>
    <n v="0"/>
    <s v=""/>
    <b v="0"/>
    <s v="pt"/>
    <m/>
    <s v=""/>
    <b v="0"/>
    <n v="1"/>
    <s v=""/>
    <s v="rt_app2018"/>
    <b v="0"/>
    <s v="1275182174011097088"/>
    <s v="Tweet"/>
    <n v="0"/>
    <n v="0"/>
    <m/>
    <m/>
    <m/>
    <m/>
    <m/>
    <m/>
    <m/>
    <m/>
    <n v="1"/>
    <s v="1"/>
    <s v="1"/>
    <m/>
    <m/>
    <m/>
    <m/>
    <m/>
    <m/>
    <m/>
    <m/>
    <m/>
  </r>
  <r>
    <s v="jornalismodados"/>
    <s v="pedaladas"/>
    <m/>
    <m/>
    <m/>
    <m/>
    <m/>
    <m/>
    <m/>
    <m/>
    <s v="No"/>
    <n v="283"/>
    <m/>
    <m/>
    <s v="Mentions"/>
    <x v="145"/>
    <s v="Dou RT em #ddj RT @pedaladas: RT @okfnbr: 📣No semanário da OKBR, Edição #68: _x000a__x000a_💡Depois de apagão, desafio é aumentar a qualidade dos dados da covid-19_x000a__x000a_🗒️Aula de Jornali…"/>
    <m/>
    <m/>
    <s v="ddj"/>
    <m/>
    <s v="http://pbs.twimg.com/profile_images/953436802110623744/NK6Q5dVg_normal.jpg"/>
    <d v="2020-06-22T21:41:46.000"/>
    <d v="2020-06-22T00:00:00.000"/>
    <s v="21:41:46"/>
    <s v="https://twitter.com/jornalismodados/status/1275182214003724290"/>
    <m/>
    <m/>
    <s v="1275182214003724290"/>
    <m/>
    <b v="0"/>
    <n v="0"/>
    <s v=""/>
    <b v="0"/>
    <s v="pt"/>
    <m/>
    <s v=""/>
    <b v="0"/>
    <n v="0"/>
    <s v=""/>
    <s v="rt_app2018"/>
    <b v="0"/>
    <s v="1275182214003724290"/>
    <s v="Tweet"/>
    <n v="0"/>
    <n v="0"/>
    <m/>
    <m/>
    <m/>
    <m/>
    <m/>
    <m/>
    <m/>
    <m/>
    <n v="1"/>
    <s v="1"/>
    <s v="1"/>
    <n v="0"/>
    <n v="0"/>
    <n v="0"/>
    <n v="0"/>
    <n v="0"/>
    <n v="0"/>
    <n v="30"/>
    <n v="100"/>
    <n v="30"/>
  </r>
  <r>
    <s v="jornalismodados"/>
    <s v="vinimiguel3"/>
    <m/>
    <m/>
    <m/>
    <m/>
    <m/>
    <m/>
    <m/>
    <m/>
    <s v="No"/>
    <n v="284"/>
    <m/>
    <m/>
    <s v="Mentions"/>
    <x v="146"/>
    <s v="Dou RT em #ddj RT @ViniMiguel3: RT @_fiquemsabendo: Amanhã, a @marilia_gehrke, membro da @EscolaDeDados e embaixadora da @okfnbr, vai dar uma aula sobre jornalismo de dado…"/>
    <m/>
    <m/>
    <s v="ddj"/>
    <m/>
    <s v="http://pbs.twimg.com/profile_images/953436802110623744/NK6Q5dVg_normal.jpg"/>
    <d v="2020-06-22T22:41:33.000"/>
    <d v="2020-06-22T00:00:00.000"/>
    <s v="22:41:33"/>
    <s v="https://twitter.com/jornalismodados/status/1275197258993225728"/>
    <m/>
    <m/>
    <s v="1275197258993225728"/>
    <m/>
    <b v="0"/>
    <n v="0"/>
    <s v=""/>
    <b v="0"/>
    <s v="pt"/>
    <m/>
    <s v=""/>
    <b v="0"/>
    <n v="0"/>
    <s v=""/>
    <s v="rt_app2018"/>
    <b v="0"/>
    <s v="1275197258993225728"/>
    <s v="Tweet"/>
    <n v="0"/>
    <n v="0"/>
    <m/>
    <m/>
    <m/>
    <m/>
    <m/>
    <m/>
    <m/>
    <m/>
    <n v="1"/>
    <s v="1"/>
    <s v="1"/>
    <n v="0"/>
    <n v="0"/>
    <n v="0"/>
    <n v="0"/>
    <n v="0"/>
    <n v="0"/>
    <n v="26"/>
    <n v="100"/>
    <n v="26"/>
  </r>
  <r>
    <s v="jornalismodados"/>
    <s v="patocorporation"/>
    <m/>
    <m/>
    <m/>
    <m/>
    <m/>
    <m/>
    <m/>
    <m/>
    <s v="No"/>
    <n v="285"/>
    <m/>
    <m/>
    <s v="Mentions"/>
    <x v="147"/>
    <s v="Dou RT em #ddj RT @Pandolpho2: RT @PatoCorporation: A filha do Serra teve acesso aos dados fiscais de milhões de brasileiros por meio d suas empresas, sem o mínimo contro…"/>
    <m/>
    <m/>
    <s v="ddj"/>
    <m/>
    <s v="http://pbs.twimg.com/profile_images/953436802110623744/NK6Q5dVg_normal.jpg"/>
    <d v="2020-06-22T22:41:43.000"/>
    <d v="2020-06-22T00:00:00.000"/>
    <s v="22:41:43"/>
    <s v="https://twitter.com/jornalismodados/status/1275197302324551681"/>
    <m/>
    <m/>
    <s v="1275197302324551681"/>
    <m/>
    <b v="0"/>
    <n v="0"/>
    <s v=""/>
    <b v="0"/>
    <s v="pt"/>
    <m/>
    <s v=""/>
    <b v="0"/>
    <n v="0"/>
    <s v=""/>
    <s v="rt_app2018"/>
    <b v="0"/>
    <s v="1275197302324551681"/>
    <s v="Tweet"/>
    <n v="0"/>
    <n v="0"/>
    <m/>
    <m/>
    <m/>
    <m/>
    <m/>
    <m/>
    <m/>
    <m/>
    <n v="1"/>
    <s v="1"/>
    <s v="1"/>
    <m/>
    <m/>
    <m/>
    <m/>
    <m/>
    <m/>
    <m/>
    <m/>
    <m/>
  </r>
  <r>
    <s v="jornalismodados"/>
    <s v="spotniks"/>
    <m/>
    <m/>
    <m/>
    <m/>
    <m/>
    <m/>
    <m/>
    <m/>
    <s v="No"/>
    <n v="287"/>
    <m/>
    <m/>
    <s v="Mentions"/>
    <x v="148"/>
    <s v="Dou RT em #ddj RT @lucas_dourado96: Pro jovem que ainda gosta de brincar de ser comunista, recomendo o documentário do @spotniks sobre a China. Jornali… https://t.co/r2xN6zfRIY"/>
    <s v="https://twitter.com/i/web/status/1275200758170992640"/>
    <s v="twitter.com"/>
    <s v="ddj"/>
    <m/>
    <s v="http://pbs.twimg.com/profile_images/953436802110623744/NK6Q5dVg_normal.jpg"/>
    <d v="2020-06-22T23:41:33.000"/>
    <d v="2020-06-22T00:00:00.000"/>
    <s v="23:41:33"/>
    <s v="https://twitter.com/jornalismodados/status/1275212359267737600"/>
    <m/>
    <m/>
    <s v="1275212359267737600"/>
    <m/>
    <b v="0"/>
    <n v="0"/>
    <s v=""/>
    <b v="0"/>
    <s v="pt"/>
    <m/>
    <s v=""/>
    <b v="0"/>
    <n v="0"/>
    <s v=""/>
    <s v="rt_app2018"/>
    <b v="0"/>
    <s v="1275212359267737600"/>
    <s v="Tweet"/>
    <n v="0"/>
    <n v="0"/>
    <m/>
    <m/>
    <m/>
    <m/>
    <m/>
    <m/>
    <m/>
    <m/>
    <n v="1"/>
    <s v="1"/>
    <s v="1"/>
    <m/>
    <m/>
    <m/>
    <m/>
    <m/>
    <m/>
    <m/>
    <m/>
    <m/>
  </r>
  <r>
    <s v="jornalismodados"/>
    <s v="rodolfoezsilva"/>
    <m/>
    <m/>
    <m/>
    <m/>
    <m/>
    <m/>
    <m/>
    <m/>
    <s v="No"/>
    <n v="289"/>
    <m/>
    <m/>
    <s v="Mentions"/>
    <x v="149"/>
    <s v="Dou RT em #ddj RT @rodolfoezsilva: Que coisa maravilhosa esse levantamento do CIES -observatório do futebol._x000a_Dados sobre treinadores mais longíquos, p… https://t.co/Fu2ERDepsH"/>
    <s v="https://twitter.com/i/web/status/1275220479629017088"/>
    <s v="twitter.com"/>
    <s v="ddj"/>
    <m/>
    <s v="http://pbs.twimg.com/profile_images/953436802110623744/NK6Q5dVg_normal.jpg"/>
    <d v="2020-06-23T00:41:33.000"/>
    <d v="2020-06-23T00:00:00.000"/>
    <s v="00:41:33"/>
    <s v="https://twitter.com/jornalismodados/status/1275227458732732416"/>
    <m/>
    <m/>
    <s v="1275227458732732416"/>
    <m/>
    <b v="0"/>
    <n v="0"/>
    <s v=""/>
    <b v="0"/>
    <s v="pt"/>
    <m/>
    <s v=""/>
    <b v="0"/>
    <n v="0"/>
    <s v=""/>
    <s v="rt_app2018"/>
    <b v="0"/>
    <s v="1275227458732732416"/>
    <s v="Tweet"/>
    <n v="0"/>
    <n v="0"/>
    <m/>
    <m/>
    <m/>
    <m/>
    <m/>
    <m/>
    <m/>
    <m/>
    <n v="1"/>
    <s v="1"/>
    <s v="1"/>
    <n v="0"/>
    <n v="0"/>
    <n v="0"/>
    <n v="0"/>
    <n v="0"/>
    <n v="0"/>
    <n v="22"/>
    <n v="100"/>
    <n v="22"/>
  </r>
  <r>
    <s v="jornalismodados"/>
    <s v="xxxtela"/>
    <m/>
    <m/>
    <m/>
    <m/>
    <m/>
    <m/>
    <m/>
    <m/>
    <s v="No"/>
    <n v="290"/>
    <m/>
    <m/>
    <s v="Mentions"/>
    <x v="150"/>
    <s v="Dou RT em #ddj RT @xxxtela: &quot;se viu a reportagem no facebook&quot; &quot;procura na internet q vc vê&quot; &quot;Tá na internet&quot;_x000a__x000a_ENFIA NO CU ESSES SEUS DADOS SEM… https://t.co/hU4VGwpgm2"/>
    <s v="https://twitter.com/i/web/status/1275240330112221186"/>
    <s v="twitter.com"/>
    <s v="ddj"/>
    <m/>
    <s v="http://pbs.twimg.com/profile_images/953436802110623744/NK6Q5dVg_normal.jpg"/>
    <d v="2020-06-23T01:41:33.000"/>
    <d v="2020-06-23T00:00:00.000"/>
    <s v="01:41:33"/>
    <s v="https://twitter.com/jornalismodados/status/1275242558290112513"/>
    <m/>
    <m/>
    <s v="1275242558290112513"/>
    <m/>
    <b v="0"/>
    <n v="0"/>
    <s v=""/>
    <b v="0"/>
    <s v="pt"/>
    <m/>
    <s v=""/>
    <b v="0"/>
    <n v="0"/>
    <s v=""/>
    <s v="rt_app2018"/>
    <b v="0"/>
    <s v="1275242558290112513"/>
    <s v="Tweet"/>
    <n v="0"/>
    <n v="0"/>
    <m/>
    <m/>
    <m/>
    <m/>
    <m/>
    <m/>
    <m/>
    <m/>
    <n v="1"/>
    <s v="1"/>
    <s v="1"/>
    <n v="0"/>
    <n v="0"/>
    <n v="0"/>
    <n v="0"/>
    <n v="0"/>
    <n v="0"/>
    <n v="28"/>
    <n v="100"/>
    <n v="28"/>
  </r>
  <r>
    <s v="jornalismodados"/>
    <s v="flaviorocha1"/>
    <m/>
    <m/>
    <m/>
    <m/>
    <m/>
    <m/>
    <m/>
    <m/>
    <s v="No"/>
    <n v="291"/>
    <m/>
    <m/>
    <s v="Mentions"/>
    <x v="151"/>
    <s v="Dou RT em #ddj RT @FlavioRocha1: RT @_fiquemsabendo: Amanhã, a @marilia_gehrke, membro da @EscolaDeDados e embaixadora da @okfnbr, vai dar uma aula sobre jornalismo de dado…"/>
    <m/>
    <m/>
    <s v="ddj"/>
    <m/>
    <s v="http://pbs.twimg.com/profile_images/953436802110623744/NK6Q5dVg_normal.jpg"/>
    <d v="2020-06-23T01:41:43.000"/>
    <d v="2020-06-23T00:00:00.000"/>
    <s v="01:41:43"/>
    <s v="https://twitter.com/jornalismodados/status/1275242601734684674"/>
    <m/>
    <m/>
    <s v="1275242601734684674"/>
    <m/>
    <b v="0"/>
    <n v="0"/>
    <s v=""/>
    <b v="0"/>
    <s v="pt"/>
    <m/>
    <s v=""/>
    <b v="0"/>
    <n v="0"/>
    <s v=""/>
    <s v="rt_app2018"/>
    <b v="0"/>
    <s v="1275242601734684674"/>
    <s v="Tweet"/>
    <n v="0"/>
    <n v="0"/>
    <m/>
    <m/>
    <m/>
    <m/>
    <m/>
    <m/>
    <m/>
    <m/>
    <n v="1"/>
    <s v="1"/>
    <s v="1"/>
    <n v="0"/>
    <n v="0"/>
    <n v="0"/>
    <n v="0"/>
    <n v="0"/>
    <n v="0"/>
    <n v="26"/>
    <n v="100"/>
    <n v="26"/>
  </r>
  <r>
    <s v="jornalismodados"/>
    <s v="okfnbr"/>
    <m/>
    <m/>
    <m/>
    <m/>
    <m/>
    <m/>
    <m/>
    <m/>
    <s v="No"/>
    <n v="294"/>
    <m/>
    <m/>
    <s v="Mentions"/>
    <x v="152"/>
    <s v="Dou RT em #ddj RT @_fiquemsabendo: Amanhã, a @marilia_gehrke, membro da @EscolaDeDados e embaixadora da @okfnbr, vai dar uma aula sobre jornalismo de… https://t.co/CWm3bcMnqg"/>
    <s v="https://twitter.com/i/web/status/1275156603893878784"/>
    <s v="twitter.com"/>
    <s v="ddj"/>
    <m/>
    <s v="http://pbs.twimg.com/profile_images/953436802110623744/NK6Q5dVg_normal.jpg"/>
    <d v="2020-06-22T20:41:44.000"/>
    <d v="2020-06-22T00:00:00.000"/>
    <s v="20:41:44"/>
    <s v="https://twitter.com/jornalismodados/status/1275167106691203073"/>
    <m/>
    <m/>
    <s v="1275167106691203073"/>
    <m/>
    <b v="0"/>
    <n v="0"/>
    <s v=""/>
    <b v="0"/>
    <s v="pt"/>
    <m/>
    <s v=""/>
    <b v="0"/>
    <n v="0"/>
    <s v=""/>
    <s v="rt_app2018"/>
    <b v="0"/>
    <s v="1275167106691203073"/>
    <s v="Tweet"/>
    <n v="0"/>
    <n v="0"/>
    <m/>
    <m/>
    <m/>
    <m/>
    <m/>
    <m/>
    <m/>
    <m/>
    <n v="10"/>
    <s v="1"/>
    <s v="1"/>
    <m/>
    <m/>
    <m/>
    <m/>
    <m/>
    <m/>
    <m/>
    <m/>
    <m/>
  </r>
  <r>
    <s v="jornalismodados"/>
    <s v="okfnbr"/>
    <m/>
    <m/>
    <m/>
    <m/>
    <m/>
    <m/>
    <m/>
    <m/>
    <s v="No"/>
    <n v="298"/>
    <m/>
    <m/>
    <s v="Mentions"/>
    <x v="153"/>
    <s v="Dou RT em #ddj RT @okfnbr: 📣No semanário da OKBR, Edição #68: _x000a__x000a_💡Depois de apagão, desafio é aumentar a qualidade dos dados da covid-19_x000a__x000a_🗒️Aul… https://t.co/E3uWCYS8dm"/>
    <s v="https://twitter.com/i/web/status/1275171088985661441"/>
    <s v="twitter.com"/>
    <s v="ddj"/>
    <m/>
    <s v="http://pbs.twimg.com/profile_images/953436802110623744/NK6Q5dVg_normal.jpg"/>
    <d v="2020-06-22T21:41:51.000"/>
    <d v="2020-06-22T00:00:00.000"/>
    <s v="21:41:51"/>
    <s v="https://twitter.com/jornalismodados/status/1275182236204175363"/>
    <m/>
    <m/>
    <s v="1275182236204175363"/>
    <m/>
    <b v="0"/>
    <n v="0"/>
    <s v=""/>
    <b v="0"/>
    <s v="pt"/>
    <m/>
    <s v=""/>
    <b v="0"/>
    <n v="0"/>
    <s v=""/>
    <s v="rt_app2018"/>
    <b v="0"/>
    <s v="1275182236204175363"/>
    <s v="Tweet"/>
    <n v="0"/>
    <n v="0"/>
    <m/>
    <m/>
    <m/>
    <m/>
    <m/>
    <m/>
    <m/>
    <m/>
    <n v="10"/>
    <s v="1"/>
    <s v="1"/>
    <n v="0"/>
    <n v="0"/>
    <n v="0"/>
    <n v="0"/>
    <n v="0"/>
    <n v="0"/>
    <n v="26"/>
    <n v="100"/>
    <n v="26"/>
  </r>
  <r>
    <s v="jornalismodados"/>
    <s v="okfnbr"/>
    <m/>
    <m/>
    <m/>
    <m/>
    <m/>
    <m/>
    <m/>
    <m/>
    <s v="No"/>
    <n v="301"/>
    <m/>
    <m/>
    <s v="Mentions"/>
    <x v="154"/>
    <s v="Dou RT em #ddj RT @EscolaDeDados: RT @_fiquemsabendo: Amanhã, a @marilia_gehrke, membro da @EscolaDeDados e embaixadora da @okfnbr, vai dar uma aula sobre jornalismo de dado…"/>
    <m/>
    <m/>
    <s v="ddj"/>
    <m/>
    <s v="http://pbs.twimg.com/profile_images/953436802110623744/NK6Q5dVg_normal.jpg"/>
    <d v="2020-06-23T02:41:33.000"/>
    <d v="2020-06-23T00:00:00.000"/>
    <s v="02:41:33"/>
    <s v="https://twitter.com/jornalismodados/status/1275257656954011650"/>
    <m/>
    <m/>
    <s v="1275257656954011650"/>
    <m/>
    <b v="0"/>
    <n v="0"/>
    <s v=""/>
    <b v="0"/>
    <s v="pt"/>
    <m/>
    <s v=""/>
    <b v="0"/>
    <n v="0"/>
    <s v=""/>
    <s v="rt_app2018"/>
    <b v="0"/>
    <s v="1275257656954011650"/>
    <s v="Tweet"/>
    <n v="0"/>
    <n v="0"/>
    <m/>
    <m/>
    <m/>
    <m/>
    <m/>
    <m/>
    <m/>
    <m/>
    <n v="10"/>
    <s v="1"/>
    <s v="1"/>
    <m/>
    <m/>
    <m/>
    <m/>
    <m/>
    <m/>
    <m/>
    <m/>
    <m/>
  </r>
  <r>
    <s v="marilia_gehrke"/>
    <s v="marilia_gehrke"/>
    <m/>
    <m/>
    <m/>
    <m/>
    <m/>
    <m/>
    <m/>
    <m/>
    <s v="No"/>
    <n v="302"/>
    <m/>
    <m/>
    <s v="Tweet"/>
    <x v="155"/>
    <s v="É amanhã, gente! 💛 #ddj #opendata https://t.co/d42kcWaXz4"/>
    <s v="https://twitter.com/_fiquemsabendo/status/1275156603893878784"/>
    <s v="twitter.com"/>
    <s v="ddj opendata"/>
    <m/>
    <s v="http://pbs.twimg.com/profile_images/1097946134570512389/5lPBEHxc_normal.jpg"/>
    <d v="2020-06-22T20:28:33.000"/>
    <d v="2020-06-22T00:00:00.000"/>
    <s v="20:28:33"/>
    <s v="https://twitter.com/marilia_gehrke/status/1275163788178796544"/>
    <m/>
    <m/>
    <s v="1275163788178796544"/>
    <m/>
    <b v="0"/>
    <n v="17"/>
    <s v=""/>
    <b v="1"/>
    <s v="pt"/>
    <m/>
    <s v="1275156603893878784"/>
    <b v="0"/>
    <n v="2"/>
    <s v=""/>
    <s v="Twitter for iPhone"/>
    <b v="0"/>
    <s v="1275163788178796544"/>
    <s v="Tweet"/>
    <n v="0"/>
    <n v="0"/>
    <m/>
    <m/>
    <m/>
    <m/>
    <m/>
    <m/>
    <m/>
    <m/>
    <n v="1"/>
    <s v="1"/>
    <s v="1"/>
    <n v="0"/>
    <n v="0"/>
    <n v="0"/>
    <n v="0"/>
    <n v="0"/>
    <n v="0"/>
    <n v="5"/>
    <n v="100"/>
    <n v="5"/>
  </r>
  <r>
    <s v="jornalismodados"/>
    <s v="_fiquemsabendo"/>
    <m/>
    <m/>
    <m/>
    <m/>
    <m/>
    <m/>
    <m/>
    <m/>
    <s v="No"/>
    <n v="324"/>
    <m/>
    <m/>
    <s v="Mentions"/>
    <x v="156"/>
    <s v="Dou RT em #ddj RT @sobrejornalismo: olha que oportunidade ... #jornalismodedados #jornalismo via @_fiquemsabendo  Aula sobre Cobertura do Covid 19 atra… https://t.co/hO3l1DdCc0"/>
    <s v="https://twitter.com/i/web/status/1275260122881802240"/>
    <s v="twitter.com"/>
    <s v="ddj jornalismodedados jornalismo"/>
    <m/>
    <s v="http://pbs.twimg.com/profile_images/953436802110623744/NK6Q5dVg_normal.jpg"/>
    <d v="2020-06-23T03:41:32.000"/>
    <d v="2020-06-23T00:00:00.000"/>
    <s v="03:41:32"/>
    <s v="https://twitter.com/jornalismodados/status/1275272755219443713"/>
    <m/>
    <m/>
    <s v="1275272755219443713"/>
    <m/>
    <b v="0"/>
    <n v="0"/>
    <s v=""/>
    <b v="0"/>
    <s v="pt"/>
    <m/>
    <s v=""/>
    <b v="0"/>
    <n v="0"/>
    <s v=""/>
    <s v="rt_app2018"/>
    <b v="0"/>
    <s v="1275272755219443713"/>
    <s v="Tweet"/>
    <n v="0"/>
    <n v="0"/>
    <m/>
    <m/>
    <m/>
    <m/>
    <m/>
    <m/>
    <m/>
    <m/>
    <n v="8"/>
    <s v="1"/>
    <s v="1"/>
    <m/>
    <m/>
    <m/>
    <m/>
    <m/>
    <m/>
    <m/>
    <m/>
    <m/>
  </r>
  <r>
    <s v="paulmenam"/>
    <s v="datassist"/>
    <m/>
    <m/>
    <m/>
    <m/>
    <m/>
    <m/>
    <m/>
    <m/>
    <s v="No"/>
    <n v="326"/>
    <m/>
    <m/>
    <s v="MentionsInRetweet"/>
    <x v="157"/>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870835366672171009/tQ1b0Q8Q_normal.jpg"/>
    <d v="2020-06-23T03:47:53.000"/>
    <d v="2020-06-23T00:00:00.000"/>
    <s v="03:47:53"/>
    <s v="https://twitter.com/paulmenam/status/1275274350422351872"/>
    <m/>
    <m/>
    <s v="1275274350422351872"/>
    <m/>
    <b v="0"/>
    <n v="0"/>
    <s v=""/>
    <b v="0"/>
    <s v="en"/>
    <m/>
    <s v=""/>
    <b v="0"/>
    <n v="23"/>
    <s v="1273978856664371200"/>
    <s v="Twitter Web App"/>
    <b v="0"/>
    <s v="1273978856664371200"/>
    <s v="Tweet"/>
    <n v="0"/>
    <n v="0"/>
    <m/>
    <m/>
    <m/>
    <m/>
    <m/>
    <m/>
    <m/>
    <m/>
    <n v="1"/>
    <s v="4"/>
    <s v="4"/>
    <m/>
    <m/>
    <m/>
    <m/>
    <m/>
    <m/>
    <m/>
    <m/>
    <m/>
  </r>
  <r>
    <s v="jishnuen"/>
    <s v="datassist"/>
    <m/>
    <m/>
    <m/>
    <m/>
    <m/>
    <m/>
    <m/>
    <m/>
    <s v="No"/>
    <n v="328"/>
    <m/>
    <m/>
    <s v="MentionsInRetweet"/>
    <x v="158"/>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253014874658967554/34xpMWEE_normal.jpg"/>
    <d v="2020-06-23T04:31:44.000"/>
    <d v="2020-06-23T00:00:00.000"/>
    <s v="04:31:44"/>
    <s v="https://twitter.com/jishnuen/status/1275285384876843010"/>
    <m/>
    <m/>
    <s v="1275285384876843010"/>
    <m/>
    <b v="0"/>
    <n v="0"/>
    <s v=""/>
    <b v="0"/>
    <s v="en"/>
    <m/>
    <s v=""/>
    <b v="0"/>
    <n v="23"/>
    <s v="1273978856664371200"/>
    <s v="Twitter for iPhone"/>
    <b v="0"/>
    <s v="1273978856664371200"/>
    <s v="Tweet"/>
    <n v="0"/>
    <n v="0"/>
    <m/>
    <m/>
    <m/>
    <m/>
    <m/>
    <m/>
    <m/>
    <m/>
    <n v="1"/>
    <s v="4"/>
    <s v="4"/>
    <m/>
    <m/>
    <m/>
    <m/>
    <m/>
    <m/>
    <m/>
    <m/>
    <m/>
  </r>
  <r>
    <s v="lilliefears"/>
    <s v="datassist"/>
    <m/>
    <m/>
    <m/>
    <m/>
    <m/>
    <m/>
    <m/>
    <m/>
    <s v="No"/>
    <n v="330"/>
    <m/>
    <m/>
    <s v="MentionsInRetweet"/>
    <x v="159"/>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118940255237885955/MqZIDexM_normal.jpg"/>
    <d v="2020-06-23T04:32:04.000"/>
    <d v="2020-06-23T00:00:00.000"/>
    <s v="04:32:04"/>
    <s v="https://twitter.com/lilliefears/status/1275285470461771776"/>
    <m/>
    <m/>
    <s v="1275285470461771776"/>
    <m/>
    <b v="0"/>
    <n v="0"/>
    <s v=""/>
    <b v="0"/>
    <s v="en"/>
    <m/>
    <s v=""/>
    <b v="0"/>
    <n v="23"/>
    <s v="1273978856664371200"/>
    <s v="Twitter Web App"/>
    <b v="0"/>
    <s v="1273978856664371200"/>
    <s v="Tweet"/>
    <n v="0"/>
    <n v="0"/>
    <m/>
    <m/>
    <m/>
    <m/>
    <m/>
    <m/>
    <m/>
    <m/>
    <n v="1"/>
    <s v="4"/>
    <s v="4"/>
    <m/>
    <m/>
    <m/>
    <m/>
    <m/>
    <m/>
    <m/>
    <m/>
    <m/>
  </r>
  <r>
    <s v="fabtresor"/>
    <s v="datassist"/>
    <m/>
    <m/>
    <m/>
    <m/>
    <m/>
    <m/>
    <m/>
    <m/>
    <s v="No"/>
    <n v="332"/>
    <m/>
    <m/>
    <s v="MentionsInRetweet"/>
    <x v="160"/>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032592659595055104/ohokXuz4_normal.jpg"/>
    <d v="2020-06-23T05:23:46.000"/>
    <d v="2020-06-23T00:00:00.000"/>
    <s v="05:23:46"/>
    <s v="https://twitter.com/fabtresor/status/1275298481851293696"/>
    <m/>
    <m/>
    <s v="1275298481851293696"/>
    <m/>
    <b v="0"/>
    <n v="0"/>
    <s v=""/>
    <b v="0"/>
    <s v="en"/>
    <m/>
    <s v=""/>
    <b v="0"/>
    <n v="23"/>
    <s v="1273978856664371200"/>
    <s v="Twitter Web App"/>
    <b v="0"/>
    <s v="1273978856664371200"/>
    <s v="Tweet"/>
    <n v="0"/>
    <n v="0"/>
    <m/>
    <m/>
    <m/>
    <m/>
    <m/>
    <m/>
    <m/>
    <m/>
    <n v="1"/>
    <s v="4"/>
    <s v="4"/>
    <m/>
    <m/>
    <m/>
    <m/>
    <m/>
    <m/>
    <m/>
    <m/>
    <m/>
  </r>
  <r>
    <s v="downlandsgeog"/>
    <s v="ajenglish"/>
    <m/>
    <m/>
    <m/>
    <m/>
    <m/>
    <m/>
    <m/>
    <m/>
    <s v="No"/>
    <n v="334"/>
    <m/>
    <m/>
    <s v="Mentions"/>
    <x v="161"/>
    <s v="Saving the Nile. Analysing the impact large dams have on the world's most famous river #dataviz #ddj @AJLabs @AJEnglish https://t.co/SBhWbhiSOz"/>
    <s v="https://interactive.aljazeera.com/aje/2020/saving-the-nile/index.html"/>
    <s v="aljazeera.com"/>
    <s v="dataviz ddj"/>
    <m/>
    <s v="http://pbs.twimg.com/profile_images/378800000673897055/01c579ff50df639e0c423f03534ec74d_normal.jpeg"/>
    <d v="2020-06-23T05:56:00.000"/>
    <d v="2020-06-23T00:00:00.000"/>
    <s v="05:56:00"/>
    <s v="https://twitter.com/downlandsgeog/status/1275306591160541184"/>
    <m/>
    <m/>
    <s v="1275306591160541184"/>
    <m/>
    <b v="0"/>
    <n v="0"/>
    <s v=""/>
    <b v="0"/>
    <s v="en"/>
    <m/>
    <s v=""/>
    <b v="0"/>
    <n v="0"/>
    <s v=""/>
    <s v="Twitter Web App"/>
    <b v="0"/>
    <s v="1275306591160541184"/>
    <s v="Tweet"/>
    <n v="0"/>
    <n v="0"/>
    <m/>
    <m/>
    <m/>
    <m/>
    <m/>
    <m/>
    <m/>
    <m/>
    <n v="1"/>
    <s v="3"/>
    <s v="3"/>
    <m/>
    <m/>
    <m/>
    <m/>
    <m/>
    <m/>
    <m/>
    <m/>
    <m/>
  </r>
  <r>
    <s v="colinnwalker"/>
    <s v="ajenglish"/>
    <m/>
    <m/>
    <m/>
    <m/>
    <m/>
    <m/>
    <m/>
    <m/>
    <s v="No"/>
    <n v="336"/>
    <m/>
    <m/>
    <s v="MentionsInRetweet"/>
    <x v="162"/>
    <s v="Water security:_x000a_Saving the Nile. Analysing the impact large dams have on the world's most famous river #dataviz #ddj @AJLabs @AJEnglish https://t.co/QwEAxmnTwx"/>
    <m/>
    <m/>
    <s v="dataviz ddj"/>
    <m/>
    <s v="http://pbs.twimg.com/profile_images/1251234603244883968/aNyiY-o4_normal.jpg"/>
    <d v="2020-06-23T05:58:41.000"/>
    <d v="2020-06-23T00:00:00.000"/>
    <s v="05:58:41"/>
    <s v="https://twitter.com/colinnwalker/status/1275307269476036615"/>
    <m/>
    <m/>
    <s v="1275307269476036615"/>
    <m/>
    <b v="0"/>
    <n v="0"/>
    <s v=""/>
    <b v="0"/>
    <s v="en"/>
    <m/>
    <s v=""/>
    <b v="0"/>
    <n v="16"/>
    <s v="1275155524036804609"/>
    <s v="Twitter for iPhone"/>
    <b v="0"/>
    <s v="1275155524036804609"/>
    <s v="Tweet"/>
    <n v="0"/>
    <n v="0"/>
    <m/>
    <m/>
    <m/>
    <m/>
    <m/>
    <m/>
    <m/>
    <m/>
    <n v="1"/>
    <s v="3"/>
    <s v="3"/>
    <m/>
    <m/>
    <m/>
    <m/>
    <m/>
    <m/>
    <m/>
    <m/>
    <m/>
  </r>
  <r>
    <s v="datajournalism"/>
    <s v="sigmaawards"/>
    <m/>
    <m/>
    <m/>
    <m/>
    <m/>
    <m/>
    <m/>
    <m/>
    <s v="No"/>
    <n v="339"/>
    <m/>
    <m/>
    <s v="Mentions"/>
    <x v="163"/>
    <s v="Inspiring #data stories: One of the lessons anyone can learn from this project by @pointer_kroncrv is to never take anything for granted: a good investigative story can hide anywhere, even within ordinary spam email! https://t.co/YgrDMEqs80 #datajournalism @sigmaawards  #ddj https://t.co/A9krmmT00V"/>
    <s v="https://pointer.kro-ncrv.nl/artikelen/het-verhaal-achter-een-identiteitsroof#lang=en"/>
    <s v="kro-ncrv.nl"/>
    <s v="data datajournalism ddj"/>
    <s v="https://pbs.twimg.com/media/EaxhYoyWoAExUOI.jpg"/>
    <s v="https://pbs.twimg.com/media/EaxhYoyWoAExUOI.jpg"/>
    <d v="2020-06-18T06:19:58.000"/>
    <d v="2020-06-18T00:00:00.000"/>
    <s v="06:19:58"/>
    <s v="https://twitter.com/datajournalism/status/1273500685208883200"/>
    <m/>
    <m/>
    <s v="1273500685208883200"/>
    <m/>
    <b v="0"/>
    <n v="19"/>
    <s v=""/>
    <b v="0"/>
    <s v="en"/>
    <m/>
    <s v=""/>
    <b v="0"/>
    <n v="8"/>
    <s v=""/>
    <s v="Twitter Web App"/>
    <b v="0"/>
    <s v="1273500685208883200"/>
    <s v="Retweet"/>
    <n v="0"/>
    <n v="0"/>
    <m/>
    <m/>
    <m/>
    <m/>
    <m/>
    <m/>
    <m/>
    <m/>
    <n v="1"/>
    <s v="5"/>
    <s v="5"/>
    <m/>
    <m/>
    <m/>
    <m/>
    <m/>
    <m/>
    <m/>
    <m/>
    <m/>
  </r>
  <r>
    <s v="able2extract"/>
    <s v="easel_ly"/>
    <m/>
    <m/>
    <m/>
    <m/>
    <m/>
    <m/>
    <m/>
    <m/>
    <s v="Yes"/>
    <n v="341"/>
    <m/>
    <m/>
    <s v="MentionsInRetweet"/>
    <x v="164"/>
    <s v="Yes, there're so many #ddj tools out there. That's why we've created a special selection for you. Register on our website to get access to #free or heavily discounted #datajournalism tools. @1Password @mailbrew @easel_ly @able2extract are just some of them!https://t.co/AD3ciF3Wkk https://t.co/xj5Z0GXi3a"/>
    <m/>
    <m/>
    <s v="ddj"/>
    <m/>
    <s v="http://pbs.twimg.com/profile_images/807327786100752384/Rz3_8mdP_normal.jpg"/>
    <d v="2020-06-22T11:12:22.000"/>
    <d v="2020-06-22T00:00:00.000"/>
    <s v="11:12:22"/>
    <s v="https://twitter.com/able2extract/status/1275023822215958528"/>
    <m/>
    <m/>
    <s v="1275023822215958528"/>
    <m/>
    <b v="0"/>
    <n v="0"/>
    <s v=""/>
    <b v="0"/>
    <s v="en"/>
    <m/>
    <s v=""/>
    <b v="0"/>
    <n v="2"/>
    <s v="1274304961749319680"/>
    <s v="TweetDeck"/>
    <b v="0"/>
    <s v="1274304961749319680"/>
    <s v="Tweet"/>
    <n v="0"/>
    <n v="0"/>
    <m/>
    <m/>
    <m/>
    <m/>
    <m/>
    <m/>
    <m/>
    <m/>
    <n v="1"/>
    <s v="5"/>
    <s v="5"/>
    <m/>
    <m/>
    <m/>
    <m/>
    <m/>
    <m/>
    <m/>
    <m/>
    <m/>
  </r>
  <r>
    <s v="easel_ly"/>
    <s v="able2extract"/>
    <m/>
    <m/>
    <m/>
    <m/>
    <m/>
    <m/>
    <m/>
    <m/>
    <s v="Yes"/>
    <n v="345"/>
    <m/>
    <m/>
    <s v="MentionsInRetweet"/>
    <x v="165"/>
    <s v="Yes, there're so many #ddj tools out there. That's why we've created a special selection for you. Register on our website to get access to #free or heavily discounted #datajournalism tools. @1Password @mailbrew @easel_ly @able2extract are just some of them!https://t.co/AD3ciF3Wkk https://t.co/xj5Z0GXi3a"/>
    <m/>
    <m/>
    <s v="ddj"/>
    <m/>
    <s v="http://pbs.twimg.com/profile_images/1042288947966095360/nzEcnwwC_normal.jpg"/>
    <d v="2020-06-22T12:12:23.000"/>
    <d v="2020-06-22T00:00:00.000"/>
    <s v="12:12:23"/>
    <s v="https://twitter.com/easel_ly/status/1275038926932238341"/>
    <m/>
    <m/>
    <s v="1275038926932238341"/>
    <m/>
    <b v="0"/>
    <n v="0"/>
    <s v=""/>
    <b v="0"/>
    <s v="en"/>
    <m/>
    <s v=""/>
    <b v="0"/>
    <n v="2"/>
    <s v="1274304961749319680"/>
    <s v="Twitter Web App"/>
    <b v="0"/>
    <s v="1274304961749319680"/>
    <s v="Tweet"/>
    <n v="0"/>
    <n v="0"/>
    <m/>
    <m/>
    <m/>
    <m/>
    <m/>
    <m/>
    <m/>
    <m/>
    <n v="1"/>
    <s v="5"/>
    <s v="5"/>
    <m/>
    <m/>
    <m/>
    <m/>
    <m/>
    <m/>
    <m/>
    <m/>
    <m/>
  </r>
  <r>
    <s v="datajournalism"/>
    <s v="able2extract"/>
    <m/>
    <m/>
    <m/>
    <m/>
    <m/>
    <m/>
    <m/>
    <m/>
    <s v="Yes"/>
    <n v="346"/>
    <m/>
    <m/>
    <s v="Mentions"/>
    <x v="166"/>
    <s v="Yes, there're so many #ddj tools out there. That's why we've created a special selection for you. Register on our website to get access to #free or heavily discounted #datajournalism tools. @1Password @mailbrew @easel_ly @able2extract are just some of them!https://t.co/AD3ciF3Wkk https://t.co/xj5Z0GXi3a"/>
    <s v="https://datajournalism.com/register"/>
    <s v="datajournalism.com"/>
    <s v="ddj free datajournalism"/>
    <s v="https://pbs.twimg.com/media/Ea89nCHWsAQzH_v.jpg"/>
    <s v="https://pbs.twimg.com/media/Ea89nCHWsAQzH_v.jpg"/>
    <d v="2020-06-20T11:35:52.000"/>
    <d v="2020-06-20T00:00:00.000"/>
    <s v="11:35:52"/>
    <s v="https://twitter.com/datajournalism/status/1274304961749319680"/>
    <m/>
    <m/>
    <s v="1274304961749319680"/>
    <m/>
    <b v="0"/>
    <n v="8"/>
    <s v=""/>
    <b v="0"/>
    <s v="en"/>
    <m/>
    <s v=""/>
    <b v="0"/>
    <n v="2"/>
    <s v=""/>
    <s v="Buffer"/>
    <b v="0"/>
    <s v="1274304961749319680"/>
    <s v="Retweet"/>
    <n v="0"/>
    <n v="0"/>
    <m/>
    <m/>
    <m/>
    <m/>
    <m/>
    <m/>
    <m/>
    <m/>
    <n v="1"/>
    <s v="5"/>
    <s v="5"/>
    <m/>
    <m/>
    <m/>
    <m/>
    <m/>
    <m/>
    <m/>
    <m/>
    <m/>
  </r>
  <r>
    <s v="ohmyshambles"/>
    <s v="datajournalism"/>
    <m/>
    <m/>
    <m/>
    <m/>
    <m/>
    <m/>
    <m/>
    <m/>
    <s v="No"/>
    <n v="353"/>
    <m/>
    <m/>
    <s v="Retweet"/>
    <x v="167"/>
    <s v="🎙Listen to our interview with Prof. Denise Lievesley to learn about the parallels between #datajournalism and #statistics  &amp;amp; how each discipline can enrich each other: https://t.co/POxkC059Mk #podcasts  #ddj https://t.co/IIPVA48SXb"/>
    <m/>
    <m/>
    <s v="datajournalism"/>
    <m/>
    <s v="http://pbs.twimg.com/profile_images/902120676970168321/BTa_yvAl_normal.jpg"/>
    <d v="2020-06-23T06:00:33.000"/>
    <d v="2020-06-23T00:00:00.000"/>
    <s v="06:00:33"/>
    <s v="https://twitter.com/ohmyshambles/status/1275307737472253953"/>
    <m/>
    <m/>
    <s v="1275307737472253953"/>
    <m/>
    <b v="0"/>
    <n v="0"/>
    <s v=""/>
    <b v="0"/>
    <s v="en"/>
    <m/>
    <s v=""/>
    <b v="0"/>
    <n v="4"/>
    <s v="1275307568768921607"/>
    <s v="Twitter Web App"/>
    <b v="0"/>
    <s v="1275307568768921607"/>
    <s v="Tweet"/>
    <n v="0"/>
    <n v="0"/>
    <m/>
    <m/>
    <m/>
    <m/>
    <m/>
    <m/>
    <m/>
    <m/>
    <n v="1"/>
    <s v="5"/>
    <s v="5"/>
    <n v="1"/>
    <n v="3.7037037037037037"/>
    <n v="0"/>
    <n v="0"/>
    <n v="0"/>
    <n v="0"/>
    <n v="26"/>
    <n v="96.29629629629629"/>
    <n v="27"/>
  </r>
  <r>
    <s v="margymaclibrary"/>
    <s v="datajournalism"/>
    <m/>
    <m/>
    <m/>
    <m/>
    <m/>
    <m/>
    <m/>
    <m/>
    <s v="No"/>
    <n v="354"/>
    <m/>
    <m/>
    <s v="Retweet"/>
    <x v="168"/>
    <s v="🎙Listen to our interview with Prof. Denise Lievesley to learn about the parallels between #datajournalism and #statistics  &amp;amp; how each discipline can enrich each other: https://t.co/POxkC059Mk #podcasts  #ddj https://t.co/IIPVA48SXb"/>
    <m/>
    <m/>
    <s v="datajournalism"/>
    <m/>
    <s v="http://pbs.twimg.com/profile_images/1564365669/margyphoto_normal.JPG"/>
    <d v="2020-06-23T06:04:35.000"/>
    <d v="2020-06-23T00:00:00.000"/>
    <s v="06:04:35"/>
    <s v="https://twitter.com/margymaclibrary/status/1275308753848426496"/>
    <m/>
    <m/>
    <s v="1275308753848426496"/>
    <m/>
    <b v="0"/>
    <n v="0"/>
    <s v=""/>
    <b v="0"/>
    <s v="en"/>
    <m/>
    <s v=""/>
    <b v="0"/>
    <n v="4"/>
    <s v="1275307568768921607"/>
    <s v="Twitter for iPhone"/>
    <b v="0"/>
    <s v="1275307568768921607"/>
    <s v="Tweet"/>
    <n v="0"/>
    <n v="0"/>
    <m/>
    <m/>
    <m/>
    <m/>
    <m/>
    <m/>
    <m/>
    <m/>
    <n v="1"/>
    <s v="5"/>
    <s v="5"/>
    <n v="1"/>
    <n v="3.7037037037037037"/>
    <n v="0"/>
    <n v="0"/>
    <n v="0"/>
    <n v="0"/>
    <n v="26"/>
    <n v="96.29629629629629"/>
    <n v="27"/>
  </r>
  <r>
    <s v="andriesfluit"/>
    <s v="tijd"/>
    <m/>
    <m/>
    <m/>
    <m/>
    <m/>
    <m/>
    <m/>
    <m/>
    <s v="No"/>
    <n v="355"/>
    <m/>
    <m/>
    <s v="Mentions"/>
    <x v="169"/>
    <s v="Een kurkdroog voorjaar, regen op de foute momenten, en met dit weer ziet het er niet bepaald goed uit voor het water in ons land. Het hele droogteprobleem uitgelegd door _x000a_@tijd_x000a_ #ddj -&amp;gt; https://t.co/LmopyyJCyg https://t.co/Tr1RjuZ5Tc"/>
    <s v="https://www.tijd.be/ondernemen/milieu-energie/het-droogteprobleem-in-belgie-uitgelegd/10234318.html"/>
    <s v="tijd.be"/>
    <s v="ddj"/>
    <s v="https://pbs.twimg.com/media/EbH-x2AUcAQoj5S.jpg"/>
    <s v="https://pbs.twimg.com/media/EbH-x2AUcAQoj5S.jpg"/>
    <d v="2020-06-22T14:57:32.000"/>
    <d v="2020-06-22T00:00:00.000"/>
    <s v="14:57:32"/>
    <s v="https://twitter.com/andriesfluit/status/1275080485333463042"/>
    <m/>
    <m/>
    <s v="1275080485333463042"/>
    <m/>
    <b v="0"/>
    <n v="7"/>
    <s v=""/>
    <b v="0"/>
    <s v="nl"/>
    <m/>
    <s v=""/>
    <b v="0"/>
    <n v="3"/>
    <s v=""/>
    <s v="Twitter Web App"/>
    <b v="0"/>
    <s v="1275080485333463042"/>
    <s v="Tweet"/>
    <n v="0"/>
    <n v="0"/>
    <m/>
    <m/>
    <m/>
    <m/>
    <m/>
    <m/>
    <m/>
    <m/>
    <n v="1"/>
    <s v="11"/>
    <s v="11"/>
    <n v="0"/>
    <n v="0"/>
    <n v="0"/>
    <n v="0"/>
    <n v="0"/>
    <n v="0"/>
    <n v="33"/>
    <n v="100"/>
    <n v="33"/>
  </r>
  <r>
    <s v="boerenilse"/>
    <s v="tijd"/>
    <m/>
    <m/>
    <m/>
    <m/>
    <m/>
    <m/>
    <m/>
    <m/>
    <s v="No"/>
    <n v="356"/>
    <m/>
    <m/>
    <s v="MentionsInRetweet"/>
    <x v="170"/>
    <s v="Een kurkdroog voorjaar, regen op de foute momenten, en met dit weer ziet het er niet bepaald goed uit voor het water in ons land. Het hele droogteprobleem uitgelegd door _x000a_@tijd_x000a_ #ddj -&amp;gt; https://t.co/LmopyyJCyg https://t.co/Tr1RjuZ5Tc"/>
    <m/>
    <m/>
    <m/>
    <m/>
    <s v="http://pbs.twimg.com/profile_images/1253223783823007745/8nU3NGcW_normal.jpg"/>
    <d v="2020-06-23T06:08:39.000"/>
    <d v="2020-06-23T00:00:00.000"/>
    <s v="06:08:39"/>
    <s v="https://twitter.com/boerenilse/status/1275309776465952769"/>
    <m/>
    <m/>
    <s v="1275309776465952769"/>
    <m/>
    <b v="0"/>
    <n v="0"/>
    <s v=""/>
    <b v="0"/>
    <s v="nl"/>
    <m/>
    <s v=""/>
    <b v="0"/>
    <n v="3"/>
    <s v="1275080485333463042"/>
    <s v="Twitter Web App"/>
    <b v="0"/>
    <s v="1275080485333463042"/>
    <s v="Tweet"/>
    <n v="0"/>
    <n v="0"/>
    <m/>
    <m/>
    <m/>
    <m/>
    <m/>
    <m/>
    <m/>
    <m/>
    <n v="1"/>
    <s v="11"/>
    <s v="11"/>
    <m/>
    <m/>
    <m/>
    <m/>
    <m/>
    <m/>
    <m/>
    <m/>
    <m/>
  </r>
  <r>
    <s v="elchinsoul"/>
    <s v="elchinsoul"/>
    <m/>
    <m/>
    <m/>
    <m/>
    <m/>
    <m/>
    <m/>
    <m/>
    <s v="No"/>
    <n v="358"/>
    <m/>
    <m/>
    <s v="Tweet"/>
    <x v="171"/>
    <s v="#dj  #beats  #djcontroller #midicontroller #djing #djinglife#djsoftware #mixing  #traktordj #traktorpro #traktor3# #pioneerdj #djlife #djgear #djequipment  #nativeinstruments #ddj  #liveset… https://t.co/tK0VzC2A4a"/>
    <s v="https://www.instagram.com/p/CBvuVmGp6wd/?igshid=1sknq4nindyf3"/>
    <s v="instagram.com"/>
    <s v="dj beats djcontroller midicontroller djing mixing traktordj traktorpro pioneerdj djlife djgear djequipment nativeinstruments ddj liveset"/>
    <m/>
    <s v="http://pbs.twimg.com/profile_images/1243941359213580288/B1tRN87__normal.jpg"/>
    <d v="2020-06-22T17:26:08.000"/>
    <d v="2020-06-22T00:00:00.000"/>
    <s v="17:26:08"/>
    <s v="https://twitter.com/elchinsoul/status/1275117883002105857"/>
    <m/>
    <m/>
    <s v="1275117883002105857"/>
    <m/>
    <b v="0"/>
    <n v="0"/>
    <s v=""/>
    <b v="0"/>
    <s v="cs"/>
    <m/>
    <s v=""/>
    <b v="0"/>
    <n v="0"/>
    <s v=""/>
    <s v="Instagram"/>
    <b v="0"/>
    <s v="1275117883002105857"/>
    <s v="Tweet"/>
    <n v="0"/>
    <n v="0"/>
    <m/>
    <m/>
    <m/>
    <m/>
    <m/>
    <m/>
    <m/>
    <m/>
    <n v="2"/>
    <s v="8"/>
    <s v="8"/>
    <n v="0"/>
    <n v="0"/>
    <n v="0"/>
    <n v="0"/>
    <n v="0"/>
    <n v="0"/>
    <n v="18"/>
    <n v="100"/>
    <n v="18"/>
  </r>
  <r>
    <s v="elchinsoul"/>
    <s v="elchinsoul"/>
    <m/>
    <m/>
    <m/>
    <m/>
    <m/>
    <m/>
    <m/>
    <m/>
    <s v="No"/>
    <n v="359"/>
    <m/>
    <m/>
    <s v="Tweet"/>
    <x v="172"/>
    <s v="#dj  #beats  #djcontroller #midicontroller #djing #djinglife#djsoftware #mixing  #traktordj #traktorpro #traktor3# #pioneerdj #djlife #djgear #djequipment  #nativeinstruments #ddj  #liveset… https://t.co/EsKws32Q5X"/>
    <s v="https://www.instagram.com/p/CBxFn7zJ1Vg/?igshid=17591pzd81ibu"/>
    <s v="instagram.com"/>
    <s v="dj beats djcontroller midicontroller djing mixing traktordj traktorpro pioneerdj djlife djgear djequipment nativeinstruments ddj liveset"/>
    <m/>
    <s v="http://pbs.twimg.com/profile_images/1243941359213580288/B1tRN87__normal.jpg"/>
    <d v="2020-06-23T06:08:50.000"/>
    <d v="2020-06-23T00:00:00.000"/>
    <s v="06:08:50"/>
    <s v="https://twitter.com/elchinsoul/status/1275309823492489216"/>
    <m/>
    <m/>
    <s v="1275309823492489216"/>
    <m/>
    <b v="0"/>
    <n v="0"/>
    <s v=""/>
    <b v="0"/>
    <s v="cs"/>
    <m/>
    <s v=""/>
    <b v="0"/>
    <n v="0"/>
    <s v=""/>
    <s v="Instagram"/>
    <b v="0"/>
    <s v="1275309823492489216"/>
    <s v="Tweet"/>
    <n v="0"/>
    <n v="0"/>
    <m/>
    <m/>
    <m/>
    <m/>
    <m/>
    <m/>
    <m/>
    <m/>
    <n v="2"/>
    <s v="8"/>
    <s v="8"/>
    <n v="0"/>
    <n v="0"/>
    <n v="0"/>
    <n v="0"/>
    <n v="0"/>
    <n v="0"/>
    <n v="18"/>
    <n v="100"/>
    <n v="18"/>
  </r>
  <r>
    <s v="alileo84"/>
    <s v="datassist"/>
    <m/>
    <m/>
    <m/>
    <m/>
    <m/>
    <m/>
    <m/>
    <m/>
    <s v="No"/>
    <n v="360"/>
    <m/>
    <m/>
    <s v="MentionsInRetweet"/>
    <x v="173"/>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055828374386552833/yisHMFW9_normal.jpg"/>
    <d v="2020-06-23T06:08:57.000"/>
    <d v="2020-06-23T00:00:00.000"/>
    <s v="06:08:57"/>
    <s v="https://twitter.com/alileo84/status/1275309852890411009"/>
    <m/>
    <m/>
    <s v="1275309852890411009"/>
    <m/>
    <b v="0"/>
    <n v="0"/>
    <s v=""/>
    <b v="0"/>
    <s v="en"/>
    <m/>
    <s v=""/>
    <b v="0"/>
    <n v="23"/>
    <s v="1273978856664371200"/>
    <s v="Twitter Web App"/>
    <b v="0"/>
    <s v="1273978856664371200"/>
    <s v="Tweet"/>
    <n v="0"/>
    <n v="0"/>
    <m/>
    <m/>
    <m/>
    <m/>
    <m/>
    <m/>
    <m/>
    <m/>
    <n v="1"/>
    <s v="4"/>
    <s v="4"/>
    <m/>
    <m/>
    <m/>
    <m/>
    <m/>
    <m/>
    <m/>
    <m/>
    <m/>
  </r>
  <r>
    <s v="billgia"/>
    <s v="datajournalism"/>
    <m/>
    <m/>
    <m/>
    <m/>
    <m/>
    <m/>
    <m/>
    <m/>
    <s v="No"/>
    <n v="362"/>
    <m/>
    <m/>
    <s v="Retweet"/>
    <x v="174"/>
    <s v="🎙Listen to our interview with Prof. Denise Lievesley to learn about the parallels between #datajournalism and #statistics  &amp;amp; how each discipline can enrich each other: https://t.co/POxkC059Mk #podcasts  #ddj https://t.co/IIPVA48SXb"/>
    <m/>
    <m/>
    <s v="datajournalism"/>
    <m/>
    <s v="http://pbs.twimg.com/profile_images/1250759498748309506/MTkThwla_normal.jpg"/>
    <d v="2020-06-23T06:14:11.000"/>
    <d v="2020-06-23T00:00:00.000"/>
    <s v="06:14:11"/>
    <s v="https://twitter.com/billgia/status/1275311168534523904"/>
    <m/>
    <m/>
    <s v="1275311168534523904"/>
    <m/>
    <b v="0"/>
    <n v="0"/>
    <s v=""/>
    <b v="0"/>
    <s v="en"/>
    <m/>
    <s v=""/>
    <b v="0"/>
    <n v="4"/>
    <s v="1275307568768921607"/>
    <s v="Twitter for Android"/>
    <b v="0"/>
    <s v="1275307568768921607"/>
    <s v="Tweet"/>
    <n v="0"/>
    <n v="0"/>
    <m/>
    <m/>
    <m/>
    <m/>
    <m/>
    <m/>
    <m/>
    <m/>
    <n v="1"/>
    <s v="5"/>
    <s v="5"/>
    <n v="1"/>
    <n v="3.7037037037037037"/>
    <n v="0"/>
    <n v="0"/>
    <n v="0"/>
    <n v="0"/>
    <n v="26"/>
    <n v="96.29629629629629"/>
    <n v="27"/>
  </r>
  <r>
    <s v="elenavardon"/>
    <s v="datassist"/>
    <m/>
    <m/>
    <m/>
    <m/>
    <m/>
    <m/>
    <m/>
    <m/>
    <s v="No"/>
    <n v="363"/>
    <m/>
    <m/>
    <s v="MentionsInRetweet"/>
    <x v="175"/>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265674261802475521/76Ior4hy_normal.jpg"/>
    <d v="2020-06-23T06:14:48.000"/>
    <d v="2020-06-23T00:00:00.000"/>
    <s v="06:14:48"/>
    <s v="https://twitter.com/elenavardon/status/1275311325657346048"/>
    <m/>
    <m/>
    <s v="1275311325657346048"/>
    <m/>
    <b v="0"/>
    <n v="0"/>
    <s v=""/>
    <b v="0"/>
    <s v="en"/>
    <m/>
    <s v=""/>
    <b v="0"/>
    <n v="23"/>
    <s v="1273978856664371200"/>
    <s v="Twitter for iPhone"/>
    <b v="0"/>
    <s v="1273978856664371200"/>
    <s v="Tweet"/>
    <n v="0"/>
    <n v="0"/>
    <m/>
    <m/>
    <m/>
    <m/>
    <m/>
    <m/>
    <m/>
    <m/>
    <n v="1"/>
    <s v="4"/>
    <s v="4"/>
    <m/>
    <m/>
    <m/>
    <m/>
    <m/>
    <m/>
    <m/>
    <m/>
    <m/>
  </r>
  <r>
    <s v="kendimalibot"/>
    <s v="haddadme"/>
    <m/>
    <m/>
    <m/>
    <m/>
    <m/>
    <m/>
    <m/>
    <m/>
    <s v="No"/>
    <n v="365"/>
    <m/>
    <m/>
    <s v="Mentions"/>
    <x v="176"/>
    <s v="&quot;There are several alternative sources of energy - but there is only one Nile.&quot;_x000a__x000a_Saving the Nile. Analysing the impact large dams have on the world's most famous river #dataviz #ddj @AJLabs @AJEnglish @essamheggy @haddadme https://t.co/oy7r69vUnS"/>
    <s v="https://interactive.aljazeera.com/aje/2020/saving-the-nile/index.html"/>
    <s v="aljazeera.com"/>
    <s v="dataviz ddj"/>
    <m/>
    <s v="http://pbs.twimg.com/profile_images/1268719629620228096/h56NNtWK_normal.jpg"/>
    <d v="2020-06-23T06:15:01.000"/>
    <d v="2020-06-23T00:00:00.000"/>
    <s v="06:15:01"/>
    <s v="https://twitter.com/kendimalibot/status/1275311379143110659"/>
    <m/>
    <m/>
    <s v="1275311379143110659"/>
    <m/>
    <b v="0"/>
    <n v="0"/>
    <s v=""/>
    <b v="0"/>
    <s v="en"/>
    <m/>
    <s v=""/>
    <b v="0"/>
    <n v="0"/>
    <s v=""/>
    <s v="Twitter Web App"/>
    <b v="0"/>
    <s v="1275311379143110659"/>
    <s v="Tweet"/>
    <n v="0"/>
    <n v="0"/>
    <m/>
    <m/>
    <m/>
    <m/>
    <m/>
    <m/>
    <m/>
    <m/>
    <n v="1"/>
    <s v="3"/>
    <s v="3"/>
    <m/>
    <m/>
    <m/>
    <m/>
    <m/>
    <m/>
    <m/>
    <m/>
    <m/>
  </r>
  <r>
    <s v="dwatchnews"/>
    <s v="datajournalism"/>
    <m/>
    <m/>
    <m/>
    <m/>
    <m/>
    <m/>
    <m/>
    <m/>
    <s v="No"/>
    <n v="369"/>
    <m/>
    <m/>
    <s v="Retweet"/>
    <x v="177"/>
    <s v="🎙Listen to our interview with Prof. Denise Lievesley to learn about the parallels between #datajournalism and #statistics  &amp;amp; how each discipline can enrich each other: https://t.co/POxkC059Mk #podcasts  #ddj https://t.co/IIPVA48SXb"/>
    <m/>
    <m/>
    <s v="datajournalism"/>
    <m/>
    <s v="http://pbs.twimg.com/profile_images/480165263250178048/fUMzCTBW_normal.jpeg"/>
    <d v="2020-06-23T06:30:36.000"/>
    <d v="2020-06-23T00:00:00.000"/>
    <s v="06:30:36"/>
    <s v="https://twitter.com/dwatchnews/status/1275315300074807297"/>
    <m/>
    <m/>
    <s v="1275315300074807297"/>
    <m/>
    <b v="0"/>
    <n v="0"/>
    <s v=""/>
    <b v="0"/>
    <s v="en"/>
    <m/>
    <s v=""/>
    <b v="0"/>
    <n v="4"/>
    <s v="1275307568768921607"/>
    <s v="Twitter for iPhone"/>
    <b v="0"/>
    <s v="1275307568768921607"/>
    <s v="Tweet"/>
    <n v="0"/>
    <n v="0"/>
    <m/>
    <m/>
    <m/>
    <m/>
    <m/>
    <m/>
    <m/>
    <m/>
    <n v="1"/>
    <s v="5"/>
    <s v="5"/>
    <n v="1"/>
    <n v="3.7037037037037037"/>
    <n v="0"/>
    <n v="0"/>
    <n v="0"/>
    <n v="0"/>
    <n v="26"/>
    <n v="96.29629629629629"/>
    <n v="27"/>
  </r>
  <r>
    <s v="omaakatugba"/>
    <s v="datassist"/>
    <m/>
    <m/>
    <m/>
    <m/>
    <m/>
    <m/>
    <m/>
    <m/>
    <s v="No"/>
    <n v="370"/>
    <m/>
    <m/>
    <s v="MentionsInRetweet"/>
    <x v="178"/>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098027402712809473/pA1-hELU_normal.jpg"/>
    <d v="2020-06-23T06:45:01.000"/>
    <d v="2020-06-23T00:00:00.000"/>
    <s v="06:45:01"/>
    <s v="https://twitter.com/omaakatugba/status/1275318927271305217"/>
    <m/>
    <m/>
    <s v="1275318927271305217"/>
    <m/>
    <b v="0"/>
    <n v="0"/>
    <s v=""/>
    <b v="0"/>
    <s v="en"/>
    <m/>
    <s v=""/>
    <b v="0"/>
    <n v="23"/>
    <s v="1273978856664371200"/>
    <s v="Twitter for iPhone"/>
    <b v="0"/>
    <s v="1273978856664371200"/>
    <s v="Tweet"/>
    <n v="0"/>
    <n v="0"/>
    <m/>
    <m/>
    <m/>
    <m/>
    <m/>
    <m/>
    <m/>
    <m/>
    <n v="1"/>
    <s v="4"/>
    <s v="4"/>
    <m/>
    <m/>
    <m/>
    <m/>
    <m/>
    <m/>
    <m/>
    <m/>
    <m/>
  </r>
  <r>
    <s v="tmbriceno"/>
    <s v="datassist"/>
    <m/>
    <m/>
    <m/>
    <m/>
    <m/>
    <m/>
    <m/>
    <m/>
    <s v="No"/>
    <n v="372"/>
    <m/>
    <m/>
    <s v="MentionsInRetweet"/>
    <x v="179"/>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655921082080202753/PakNF7k6_normal.jpg"/>
    <d v="2020-06-23T07:58:22.000"/>
    <d v="2020-06-23T00:00:00.000"/>
    <s v="07:58:22"/>
    <s v="https://twitter.com/tmbriceno/status/1275337387191742464"/>
    <m/>
    <m/>
    <s v="1275337387191742464"/>
    <m/>
    <b v="0"/>
    <n v="0"/>
    <s v=""/>
    <b v="0"/>
    <s v="en"/>
    <m/>
    <s v=""/>
    <b v="0"/>
    <n v="23"/>
    <s v="1273978856664371200"/>
    <s v="Twitter Web App"/>
    <b v="0"/>
    <s v="1273978856664371200"/>
    <s v="Tweet"/>
    <n v="0"/>
    <n v="0"/>
    <m/>
    <m/>
    <m/>
    <m/>
    <m/>
    <m/>
    <m/>
    <m/>
    <n v="1"/>
    <s v="4"/>
    <s v="4"/>
    <m/>
    <m/>
    <m/>
    <m/>
    <m/>
    <m/>
    <m/>
    <m/>
    <m/>
  </r>
  <r>
    <s v="albertocairo"/>
    <s v="albertocairo"/>
    <m/>
    <m/>
    <m/>
    <m/>
    <m/>
    <m/>
    <m/>
    <m/>
    <s v="No"/>
    <n v="374"/>
    <m/>
    <m/>
    <s v="Tweet"/>
    <x v="180"/>
    <s v="Massive and comprehensive #dataViz #infographics #ddj https://t.co/a1WiwSUBt3"/>
    <s v="https://twitter.com/basole/status/1274853316758036481"/>
    <s v="twitter.com"/>
    <s v="dataviz infographics ddj"/>
    <m/>
    <s v="http://pbs.twimg.com/profile_images/1069593505553633281/hoG3VcMt_normal.jpg"/>
    <d v="2020-06-22T03:53:45.000"/>
    <d v="2020-06-22T00:00:00.000"/>
    <s v="03:53:45"/>
    <s v="https://twitter.com/albertocairo/status/1274913441057251333"/>
    <m/>
    <m/>
    <s v="1274913441057251333"/>
    <m/>
    <b v="0"/>
    <n v="83"/>
    <s v=""/>
    <b v="1"/>
    <s v="en"/>
    <m/>
    <s v="1274853316758036481"/>
    <b v="0"/>
    <n v="7"/>
    <s v=""/>
    <s v="Twitter Web App"/>
    <b v="0"/>
    <s v="1274913441057251333"/>
    <s v="Tweet"/>
    <n v="0"/>
    <n v="0"/>
    <m/>
    <m/>
    <m/>
    <m/>
    <m/>
    <m/>
    <m/>
    <m/>
    <n v="1"/>
    <s v="9"/>
    <s v="9"/>
    <n v="1"/>
    <n v="16.666666666666668"/>
    <n v="0"/>
    <n v="0"/>
    <n v="0"/>
    <n v="0"/>
    <n v="5"/>
    <n v="83.33333333333333"/>
    <n v="6"/>
  </r>
  <r>
    <s v="ignasialcalde"/>
    <s v="albertocairo"/>
    <m/>
    <m/>
    <m/>
    <m/>
    <m/>
    <m/>
    <m/>
    <m/>
    <s v="No"/>
    <n v="375"/>
    <m/>
    <m/>
    <s v="Retweet"/>
    <x v="181"/>
    <s v="Massive and comprehensive #dataViz #infographics #ddj https://t.co/a1WiwSUBt3"/>
    <m/>
    <m/>
    <s v="dataviz infographics ddj"/>
    <m/>
    <s v="http://pbs.twimg.com/profile_images/1056716278340222976/dLW3RH5g_normal.jpg"/>
    <d v="2020-06-23T08:04:54.000"/>
    <d v="2020-06-23T00:00:00.000"/>
    <s v="08:04:54"/>
    <s v="https://twitter.com/ignasialcalde/status/1275339032998936576"/>
    <m/>
    <m/>
    <s v="1275339032998936576"/>
    <m/>
    <b v="0"/>
    <n v="0"/>
    <s v=""/>
    <b v="1"/>
    <s v="en"/>
    <m/>
    <s v="1274853316758036481"/>
    <b v="0"/>
    <n v="7"/>
    <s v="1274913441057251333"/>
    <s v="Twitter for iPhone"/>
    <b v="0"/>
    <s v="1274913441057251333"/>
    <s v="Tweet"/>
    <n v="0"/>
    <n v="0"/>
    <m/>
    <m/>
    <m/>
    <m/>
    <m/>
    <m/>
    <m/>
    <m/>
    <n v="1"/>
    <s v="9"/>
    <s v="9"/>
    <n v="1"/>
    <n v="16.666666666666668"/>
    <n v="0"/>
    <n v="0"/>
    <n v="0"/>
    <n v="0"/>
    <n v="5"/>
    <n v="83.33333333333333"/>
    <n v="6"/>
  </r>
  <r>
    <s v="bartongeography"/>
    <s v="ajenglish"/>
    <m/>
    <m/>
    <m/>
    <m/>
    <m/>
    <m/>
    <m/>
    <m/>
    <s v="No"/>
    <n v="376"/>
    <m/>
    <m/>
    <s v="MentionsInRetweet"/>
    <x v="182"/>
    <s v="Water security:_x000a_Saving the Nile. Analysing the impact large dams have on the world's most famous river #dataviz #ddj @AJLabs @AJEnglish https://t.co/QwEAxmnTwx"/>
    <m/>
    <m/>
    <s v="dataviz ddj"/>
    <m/>
    <s v="http://abs.twimg.com/sticky/default_profile_images/default_profile_normal.png"/>
    <d v="2020-06-23T08:10:20.000"/>
    <d v="2020-06-23T00:00:00.000"/>
    <s v="08:10:20"/>
    <s v="https://twitter.com/bartongeography/status/1275340399712886785"/>
    <m/>
    <m/>
    <s v="1275340399712886785"/>
    <m/>
    <b v="0"/>
    <n v="0"/>
    <s v=""/>
    <b v="0"/>
    <s v="en"/>
    <m/>
    <s v=""/>
    <b v="0"/>
    <n v="16"/>
    <s v="1275155524036804609"/>
    <s v="Twitter Web App"/>
    <b v="0"/>
    <s v="1275155524036804609"/>
    <s v="Tweet"/>
    <n v="0"/>
    <n v="0"/>
    <m/>
    <m/>
    <m/>
    <m/>
    <m/>
    <m/>
    <m/>
    <m/>
    <n v="1"/>
    <s v="3"/>
    <s v="3"/>
    <m/>
    <m/>
    <m/>
    <m/>
    <m/>
    <m/>
    <m/>
    <m/>
    <m/>
  </r>
  <r>
    <s v="asashaelizabeth"/>
    <s v="datassist"/>
    <m/>
    <m/>
    <m/>
    <m/>
    <m/>
    <m/>
    <m/>
    <m/>
    <s v="No"/>
    <n v="379"/>
    <m/>
    <m/>
    <s v="MentionsInRetweet"/>
    <x v="183"/>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244906928192606208/wCdVOodt_normal.jpg"/>
    <d v="2020-06-23T08:11:30.000"/>
    <d v="2020-06-23T00:00:00.000"/>
    <s v="08:11:30"/>
    <s v="https://twitter.com/asashaelizabeth/status/1275340694094319616"/>
    <m/>
    <m/>
    <s v="1275340694094319616"/>
    <m/>
    <b v="0"/>
    <n v="0"/>
    <s v=""/>
    <b v="0"/>
    <s v="en"/>
    <m/>
    <s v=""/>
    <b v="0"/>
    <n v="23"/>
    <s v="1273978856664371200"/>
    <s v="Twitter for Android"/>
    <b v="0"/>
    <s v="1273978856664371200"/>
    <s v="Tweet"/>
    <n v="0"/>
    <n v="0"/>
    <m/>
    <m/>
    <m/>
    <m/>
    <m/>
    <m/>
    <m/>
    <m/>
    <n v="1"/>
    <s v="4"/>
    <s v="4"/>
    <m/>
    <m/>
    <m/>
    <m/>
    <m/>
    <m/>
    <m/>
    <m/>
    <m/>
  </r>
  <r>
    <s v="mrs_geog"/>
    <s v="ajenglish"/>
    <m/>
    <m/>
    <m/>
    <m/>
    <m/>
    <m/>
    <m/>
    <m/>
    <s v="No"/>
    <n v="381"/>
    <m/>
    <m/>
    <s v="MentionsInRetweet"/>
    <x v="184"/>
    <s v="Water security:_x000a_Saving the Nile. Analysing the impact large dams have on the world's most famous river #dataviz #ddj @AJLabs @AJEnglish https://t.co/QwEAxmnTwx"/>
    <m/>
    <m/>
    <s v="dataviz ddj"/>
    <m/>
    <s v="http://pbs.twimg.com/profile_images/1250894489142640640/SGPTHHwM_normal.jpg"/>
    <d v="2020-06-23T08:15:12.000"/>
    <d v="2020-06-23T00:00:00.000"/>
    <s v="08:15:12"/>
    <s v="https://twitter.com/mrs_geog/status/1275341624063729665"/>
    <m/>
    <m/>
    <s v="1275341624063729665"/>
    <m/>
    <b v="0"/>
    <n v="0"/>
    <s v=""/>
    <b v="0"/>
    <s v="en"/>
    <m/>
    <s v=""/>
    <b v="0"/>
    <n v="16"/>
    <s v="1275155524036804609"/>
    <s v="Twitter for iPhone"/>
    <b v="0"/>
    <s v="1275155524036804609"/>
    <s v="Tweet"/>
    <n v="0"/>
    <n v="0"/>
    <m/>
    <m/>
    <m/>
    <m/>
    <m/>
    <m/>
    <m/>
    <m/>
    <n v="1"/>
    <s v="3"/>
    <s v="3"/>
    <m/>
    <m/>
    <m/>
    <m/>
    <m/>
    <m/>
    <m/>
    <m/>
    <m/>
  </r>
  <r>
    <s v="datajournalism"/>
    <s v="j_la28"/>
    <m/>
    <m/>
    <m/>
    <m/>
    <m/>
    <m/>
    <m/>
    <m/>
    <s v="No"/>
    <n v="384"/>
    <m/>
    <m/>
    <s v="Mentions"/>
    <x v="185"/>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s v="https://datajournalism.com/read/longreads/data-journalism-a-guide-for-editors"/>
    <s v="datajournalism.com"/>
    <s v="data datajournalists ddj datajournalism"/>
    <s v="https://pbs.twimg.com/media/EbHQWCaXsAAOpuH.jpg"/>
    <s v="https://pbs.twimg.com/media/EbHQWCaXsAAOpuH.jpg"/>
    <d v="2020-06-22T12:08:10.000"/>
    <d v="2020-06-22T00:00:00.000"/>
    <s v="12:08:10"/>
    <s v="https://twitter.com/datajournalism/status/1275037865118965761"/>
    <m/>
    <m/>
    <s v="1275037865118965761"/>
    <m/>
    <b v="0"/>
    <n v="22"/>
    <s v=""/>
    <b v="0"/>
    <s v="en"/>
    <m/>
    <s v=""/>
    <b v="0"/>
    <n v="6"/>
    <s v=""/>
    <s v="Twitter Web App"/>
    <b v="0"/>
    <s v="1275037865118965761"/>
    <s v="Tweet"/>
    <n v="0"/>
    <n v="0"/>
    <m/>
    <m/>
    <m/>
    <m/>
    <m/>
    <m/>
    <m/>
    <m/>
    <n v="1"/>
    <s v="5"/>
    <s v="5"/>
    <m/>
    <m/>
    <m/>
    <m/>
    <m/>
    <m/>
    <m/>
    <m/>
    <m/>
  </r>
  <r>
    <s v="c_aguilargarcia"/>
    <s v="j_la28"/>
    <m/>
    <m/>
    <m/>
    <m/>
    <m/>
    <m/>
    <m/>
    <m/>
    <s v="No"/>
    <n v="385"/>
    <m/>
    <m/>
    <s v="MentionsInRetweet"/>
    <x v="186"/>
    <s v="Because the best ‘#data stories’ are not obvious &amp;amp; editors of data investigations must ask even more questions than usual, we published this guidance for #datajournalists and their editors. Written by @maudbeelman and @j_la28_x000a_https://t.co/XUxQewEz4V #ddj #datajournalism https://t.co/kV5clBZqZ7"/>
    <m/>
    <m/>
    <s v="data"/>
    <m/>
    <s v="http://pbs.twimg.com/profile_images/989588955376037888/bOy3ja6W_normal.jpg"/>
    <d v="2020-06-23T08:25:29.000"/>
    <d v="2020-06-23T00:00:00.000"/>
    <s v="08:25:29"/>
    <s v="https://twitter.com/c_aguilargarcia/status/1275344211341172736"/>
    <m/>
    <m/>
    <s v="1275344211341172736"/>
    <m/>
    <b v="0"/>
    <n v="0"/>
    <s v=""/>
    <b v="0"/>
    <s v="en"/>
    <m/>
    <s v=""/>
    <b v="0"/>
    <n v="6"/>
    <s v="1275037865118965761"/>
    <s v="Twitter for Android"/>
    <b v="0"/>
    <s v="1275037865118965761"/>
    <s v="Tweet"/>
    <n v="0"/>
    <n v="0"/>
    <m/>
    <m/>
    <m/>
    <m/>
    <m/>
    <m/>
    <m/>
    <m/>
    <n v="1"/>
    <s v="5"/>
    <s v="5"/>
    <m/>
    <m/>
    <m/>
    <m/>
    <m/>
    <m/>
    <m/>
    <m/>
    <m/>
  </r>
  <r>
    <s v="datajournalism"/>
    <s v="datajournalism"/>
    <m/>
    <m/>
    <m/>
    <m/>
    <m/>
    <m/>
    <m/>
    <m/>
    <s v="No"/>
    <n v="388"/>
    <m/>
    <m/>
    <s v="Tweet"/>
    <x v="187"/>
    <s v="🎙Listen to our interview with Prof. Denise Lievesley to learn about the parallels between #datajournalism and #statistics  &amp;amp; how each discipline can enrich each other: https://t.co/POxkC059Mk #podcasts  #ddj https://t.co/IIPVA48SXb"/>
    <s v="https://datajournalism.com/listen"/>
    <s v="datajournalism.com"/>
    <s v="datajournalism statistics podcasts ddj"/>
    <s v="https://pbs.twimg.com/media/EbLLSVpWoAAFv5o.jpg"/>
    <s v="https://pbs.twimg.com/media/EbLLSVpWoAAFv5o.jpg"/>
    <d v="2020-06-23T05:59:53.000"/>
    <d v="2020-06-23T00:00:00.000"/>
    <s v="05:59:53"/>
    <s v="https://twitter.com/datajournalism/status/1275307568768921607"/>
    <m/>
    <m/>
    <s v="1275307568768921607"/>
    <m/>
    <b v="0"/>
    <n v="13"/>
    <s v=""/>
    <b v="0"/>
    <s v="en"/>
    <m/>
    <s v=""/>
    <b v="0"/>
    <n v="4"/>
    <s v=""/>
    <s v="Twitter Web App"/>
    <b v="0"/>
    <s v="1275307568768921607"/>
    <s v="Tweet"/>
    <n v="0"/>
    <n v="0"/>
    <m/>
    <m/>
    <m/>
    <m/>
    <m/>
    <m/>
    <m/>
    <m/>
    <n v="1"/>
    <s v="5"/>
    <s v="5"/>
    <n v="1"/>
    <n v="3.7037037037037037"/>
    <n v="0"/>
    <n v="0"/>
    <n v="0"/>
    <n v="0"/>
    <n v="26"/>
    <n v="96.29629629629629"/>
    <n v="27"/>
  </r>
  <r>
    <s v="margueritesall4"/>
    <s v="datassist"/>
    <m/>
    <m/>
    <m/>
    <m/>
    <m/>
    <m/>
    <m/>
    <m/>
    <s v="No"/>
    <n v="390"/>
    <m/>
    <m/>
    <s v="MentionsInRetweet"/>
    <x v="188"/>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194697938620035072/G9LxzJ-7_normal.jpg"/>
    <d v="2020-06-23T08:29:25.000"/>
    <d v="2020-06-23T00:00:00.000"/>
    <s v="08:29:25"/>
    <s v="https://twitter.com/margueritesall4/status/1275345202815938564"/>
    <m/>
    <m/>
    <s v="1275345202815938564"/>
    <m/>
    <b v="0"/>
    <n v="0"/>
    <s v=""/>
    <b v="0"/>
    <s v="en"/>
    <m/>
    <s v=""/>
    <b v="0"/>
    <n v="23"/>
    <s v="1273978856664371200"/>
    <s v="Twitter for iPhone"/>
    <b v="0"/>
    <s v="1273978856664371200"/>
    <s v="Tweet"/>
    <n v="0"/>
    <n v="0"/>
    <m/>
    <m/>
    <m/>
    <m/>
    <m/>
    <m/>
    <m/>
    <m/>
    <n v="1"/>
    <s v="4"/>
    <s v="4"/>
    <m/>
    <m/>
    <m/>
    <m/>
    <m/>
    <m/>
    <m/>
    <m/>
    <m/>
  </r>
  <r>
    <s v="gijnfr"/>
    <s v="yannguegan"/>
    <m/>
    <m/>
    <m/>
    <m/>
    <m/>
    <m/>
    <m/>
    <m/>
    <s v="No"/>
    <n v="392"/>
    <m/>
    <m/>
    <s v="Mentions"/>
    <x v="189"/>
    <s v="Le journaliste @yannguegan a utilisé les techniques du data journalisme pour réaliser une analyse linguistique des médias français et débusquer les clichés les plus utilisés par les journalistes dans leurs articles -----&amp;gt; https://t.co/pelNvcenP3 #ddj #AffaireaSuivre https://t.co/tLILRadxwP"/>
    <s v="https://dansmonlabo.com/2020/06/01/jai-repris-la-chasse-aux-cliches-dans-les-medias-et-voila-ce-que-jai-appris-1969/"/>
    <s v="dansmonlabo.com"/>
    <s v="ddj affaireasuivre"/>
    <s v="https://pbs.twimg.com/media/EZgTjC_WkAIvWLA.jpg"/>
    <s v="https://pbs.twimg.com/media/EZgTjC_WkAIvWLA.jpg"/>
    <d v="2020-06-02T11:47:03.000"/>
    <d v="2020-06-02T00:00:00.000"/>
    <s v="11:47:03"/>
    <s v="https://twitter.com/gijnfr/status/1267784790511693824"/>
    <m/>
    <m/>
    <s v="1267784790511693824"/>
    <m/>
    <b v="0"/>
    <n v="5"/>
    <s v=""/>
    <b v="0"/>
    <s v="fr"/>
    <m/>
    <s v=""/>
    <b v="0"/>
    <n v="8"/>
    <s v=""/>
    <s v="Buffer"/>
    <b v="0"/>
    <s v="1267784790511693824"/>
    <s v="Retweet"/>
    <n v="0"/>
    <n v="0"/>
    <m/>
    <m/>
    <m/>
    <m/>
    <m/>
    <m/>
    <m/>
    <m/>
    <n v="1"/>
    <s v="17"/>
    <s v="17"/>
    <n v="0"/>
    <n v="0"/>
    <n v="0"/>
    <n v="0"/>
    <n v="0"/>
    <n v="0"/>
    <n v="34"/>
    <n v="100"/>
    <n v="34"/>
  </r>
  <r>
    <s v="yerimzwxrhjsky"/>
    <s v="yannguegan"/>
    <m/>
    <m/>
    <m/>
    <m/>
    <m/>
    <m/>
    <m/>
    <m/>
    <s v="No"/>
    <n v="393"/>
    <m/>
    <m/>
    <s v="MentionsInRetweet"/>
    <x v="190"/>
    <s v="Le journaliste @yannguegan a utilisé les techniques du data journalisme pour réaliser une analyse linguistique des médias français et débusquer les clichés les plus utilisés par les journalistes dans leurs articles -----&amp;gt; https://t.co/pelNvcenP3 #ddj #AffaireaSuivre https://t.co/tLILRadxwP"/>
    <m/>
    <m/>
    <m/>
    <m/>
    <s v="http://pbs.twimg.com/profile_images/1256574435877892097/ZvJj6ylD_normal.jpg"/>
    <d v="2020-06-23T08:42:45.000"/>
    <d v="2020-06-23T00:00:00.000"/>
    <s v="08:42:45"/>
    <s v="https://twitter.com/yerimzwxrhjsky/status/1275348556992229376"/>
    <m/>
    <m/>
    <s v="1275348556992229376"/>
    <m/>
    <b v="0"/>
    <n v="0"/>
    <s v=""/>
    <b v="0"/>
    <s v="fr"/>
    <m/>
    <s v=""/>
    <b v="0"/>
    <n v="8"/>
    <s v="1267784790511693824"/>
    <s v="Twitter for Android"/>
    <b v="0"/>
    <s v="1267784790511693824"/>
    <s v="Tweet"/>
    <n v="0"/>
    <n v="0"/>
    <m/>
    <m/>
    <m/>
    <m/>
    <m/>
    <m/>
    <m/>
    <m/>
    <n v="1"/>
    <s v="17"/>
    <s v="17"/>
    <m/>
    <m/>
    <m/>
    <m/>
    <m/>
    <m/>
    <m/>
    <m/>
    <m/>
  </r>
  <r>
    <s v="gijnfr"/>
    <s v="gijnfr"/>
    <m/>
    <m/>
    <m/>
    <m/>
    <m/>
    <m/>
    <m/>
    <m/>
    <s v="No"/>
    <n v="394"/>
    <m/>
    <m/>
    <s v="Tweet"/>
    <x v="191"/>
    <s v="- Data journalisme - Comment collecter des données &quot; exclusives &quot; ? Découvrez les techniques les plus innovantes et efficaces  -----&amp;gt; https://t.co/B84dIowauV #ddj https://t.co/j8G3MLoYzB"/>
    <s v="https://gijn.org/2019/10/08/les-meilleurs-outils-pour-collecter-des-donnees-exclusives/"/>
    <s v="gijn.org"/>
    <s v="ddj"/>
    <s v="https://pbs.twimg.com/media/EZbvQ9PXgAAwWlN.jpg"/>
    <s v="https://pbs.twimg.com/media/EZbvQ9PXgAAwWlN.jpg"/>
    <d v="2020-06-01T14:30:02.000"/>
    <d v="2020-06-01T00:00:00.000"/>
    <s v="14:30:02"/>
    <s v="https://twitter.com/gijnfr/status/1267463422045798401"/>
    <m/>
    <m/>
    <s v="1267463422045798401"/>
    <m/>
    <b v="0"/>
    <n v="4"/>
    <s v=""/>
    <b v="0"/>
    <s v="fr"/>
    <m/>
    <s v=""/>
    <b v="0"/>
    <n v="3"/>
    <s v=""/>
    <s v="Buffer"/>
    <b v="0"/>
    <s v="1267463422045798401"/>
    <s v="Retweet"/>
    <n v="0"/>
    <n v="0"/>
    <m/>
    <m/>
    <m/>
    <m/>
    <m/>
    <m/>
    <m/>
    <m/>
    <n v="2"/>
    <s v="17"/>
    <s v="17"/>
    <n v="0"/>
    <n v="0"/>
    <n v="0"/>
    <n v="0"/>
    <n v="0"/>
    <n v="0"/>
    <n v="17"/>
    <n v="100"/>
    <n v="17"/>
  </r>
  <r>
    <s v="gijnfr"/>
    <s v="gijnfr"/>
    <m/>
    <m/>
    <m/>
    <m/>
    <m/>
    <m/>
    <m/>
    <m/>
    <s v="No"/>
    <n v="395"/>
    <m/>
    <m/>
    <s v="Tweet"/>
    <x v="192"/>
    <s v="Pour retrouver le top 10 des liens de data journalisme de la semaine c'est par ici -----&amp;gt; https://t.co/t5VazsrGdN #ddj https://t.co/nqHrElPH2q"/>
    <s v="https://gijn.org/2020/06/11/data-journalism-top-10-black-lives-matter-protests-police-shootings-questions-on-covid-19-research-site-russian-orphans/"/>
    <s v="gijn.org"/>
    <s v="ddj"/>
    <s v="https://pbs.twimg.com/media/EadnRXEWoAMi0pT.jpg"/>
    <s v="https://pbs.twimg.com/media/EadnRXEWoAMi0pT.jpg"/>
    <d v="2020-06-14T09:30:03.000"/>
    <d v="2020-06-14T00:00:00.000"/>
    <s v="09:30:03"/>
    <s v="https://twitter.com/gijnfr/status/1272098969204785159"/>
    <m/>
    <m/>
    <s v="1272098969204785159"/>
    <m/>
    <b v="0"/>
    <n v="1"/>
    <s v=""/>
    <b v="0"/>
    <s v="fr"/>
    <m/>
    <s v=""/>
    <b v="0"/>
    <n v="1"/>
    <s v=""/>
    <s v="Buffer"/>
    <b v="0"/>
    <s v="1272098969204785159"/>
    <s v="Retweet"/>
    <n v="0"/>
    <n v="0"/>
    <m/>
    <m/>
    <m/>
    <m/>
    <m/>
    <m/>
    <m/>
    <m/>
    <n v="2"/>
    <s v="17"/>
    <s v="17"/>
    <n v="1"/>
    <n v="5.555555555555555"/>
    <n v="0"/>
    <n v="0"/>
    <n v="0"/>
    <n v="0"/>
    <n v="17"/>
    <n v="94.44444444444444"/>
    <n v="18"/>
  </r>
  <r>
    <s v="yerimzwxrhjsky"/>
    <s v="gijnfr"/>
    <m/>
    <m/>
    <m/>
    <m/>
    <m/>
    <m/>
    <m/>
    <m/>
    <s v="No"/>
    <n v="396"/>
    <m/>
    <m/>
    <s v="Retweet"/>
    <x v="193"/>
    <s v="- Data journalisme - Comment collecter des données &quot; exclusives &quot; ? Découvrez les techniques les plus innovantes et efficaces  -----&amp;gt; https://t.co/B84dIowauV #ddj https://t.co/j8G3MLoYzB"/>
    <m/>
    <m/>
    <m/>
    <m/>
    <s v="http://pbs.twimg.com/profile_images/1256574435877892097/ZvJj6ylD_normal.jpg"/>
    <d v="2020-06-23T08:42:44.000"/>
    <d v="2020-06-23T00:00:00.000"/>
    <s v="08:42:44"/>
    <s v="https://twitter.com/yerimzwxrhjsky/status/1275348554173812736"/>
    <m/>
    <m/>
    <s v="1275348554173812736"/>
    <m/>
    <b v="0"/>
    <n v="0"/>
    <s v=""/>
    <b v="0"/>
    <s v="fr"/>
    <m/>
    <s v=""/>
    <b v="0"/>
    <n v="3"/>
    <s v="1267463422045798401"/>
    <s v="Twitter for Android"/>
    <b v="0"/>
    <s v="1267463422045798401"/>
    <s v="Tweet"/>
    <n v="0"/>
    <n v="0"/>
    <m/>
    <m/>
    <m/>
    <m/>
    <m/>
    <m/>
    <m/>
    <m/>
    <n v="3"/>
    <s v="17"/>
    <s v="17"/>
    <n v="0"/>
    <n v="0"/>
    <n v="0"/>
    <n v="0"/>
    <n v="0"/>
    <n v="0"/>
    <n v="17"/>
    <n v="100"/>
    <n v="17"/>
  </r>
  <r>
    <s v="yerimzwxrhjsky"/>
    <s v="gijnfr"/>
    <m/>
    <m/>
    <m/>
    <m/>
    <m/>
    <m/>
    <m/>
    <m/>
    <s v="No"/>
    <n v="398"/>
    <m/>
    <m/>
    <s v="Retweet"/>
    <x v="194"/>
    <s v="Pour retrouver le top 10 des liens de data journalisme de la semaine c'est par ici -----&amp;gt; https://t.co/t5VazsrGdN #ddj https://t.co/nqHrElPH2q"/>
    <s v="https://gijn.org/2020/06/11/data-journalism-top-10-black-lives-matter-protests-police-shootings-questions-on-covid-19-research-site-russian-orphans/"/>
    <s v="gijn.org"/>
    <s v="ddj"/>
    <m/>
    <s v="http://pbs.twimg.com/profile_images/1256574435877892097/ZvJj6ylD_normal.jpg"/>
    <d v="2020-06-23T08:42:53.000"/>
    <d v="2020-06-23T00:00:00.000"/>
    <s v="08:42:53"/>
    <s v="https://twitter.com/yerimzwxrhjsky/status/1275348591045824512"/>
    <m/>
    <m/>
    <s v="1275348591045824512"/>
    <m/>
    <b v="0"/>
    <n v="0"/>
    <s v=""/>
    <b v="0"/>
    <s v="fr"/>
    <m/>
    <s v=""/>
    <b v="0"/>
    <n v="1"/>
    <s v="1272098969204785159"/>
    <s v="Twitter for Android"/>
    <b v="0"/>
    <s v="1272098969204785159"/>
    <s v="Tweet"/>
    <n v="0"/>
    <n v="0"/>
    <m/>
    <m/>
    <m/>
    <m/>
    <m/>
    <m/>
    <m/>
    <m/>
    <n v="3"/>
    <s v="17"/>
    <s v="17"/>
    <n v="1"/>
    <n v="5.555555555555555"/>
    <n v="0"/>
    <n v="0"/>
    <n v="0"/>
    <n v="0"/>
    <n v="17"/>
    <n v="94.44444444444444"/>
    <n v="18"/>
  </r>
  <r>
    <s v="bsp_sscgeo"/>
    <s v="ajenglish"/>
    <m/>
    <m/>
    <m/>
    <m/>
    <m/>
    <m/>
    <m/>
    <m/>
    <s v="No"/>
    <n v="399"/>
    <m/>
    <m/>
    <s v="MentionsInRetweet"/>
    <x v="195"/>
    <s v="Water security:_x000a_Saving the Nile. Analysing the impact large dams have on the world's most famous river #dataviz #ddj @AJLabs @AJEnglish https://t.co/QwEAxmnTwx"/>
    <m/>
    <m/>
    <s v="dataviz ddj"/>
    <m/>
    <s v="http://pbs.twimg.com/profile_images/796294771627229184/XdmrGDXr_normal.jpg"/>
    <d v="2020-06-23T09:04:33.000"/>
    <d v="2020-06-23T00:00:00.000"/>
    <s v="09:04:33"/>
    <s v="https://twitter.com/bsp_sscgeo/status/1275354044882653184"/>
    <m/>
    <m/>
    <s v="1275354044882653184"/>
    <m/>
    <b v="0"/>
    <n v="0"/>
    <s v=""/>
    <b v="0"/>
    <s v="en"/>
    <m/>
    <s v=""/>
    <b v="0"/>
    <n v="16"/>
    <s v="1275155524036804609"/>
    <s v="Twitter Web App"/>
    <b v="0"/>
    <s v="1275155524036804609"/>
    <s v="Tweet"/>
    <n v="0"/>
    <n v="0"/>
    <m/>
    <m/>
    <m/>
    <m/>
    <m/>
    <m/>
    <m/>
    <m/>
    <n v="1"/>
    <s v="3"/>
    <s v="3"/>
    <m/>
    <m/>
    <m/>
    <m/>
    <m/>
    <m/>
    <m/>
    <m/>
    <m/>
  </r>
  <r>
    <s v="umarhassan96"/>
    <s v="bjtc_uk"/>
    <m/>
    <m/>
    <m/>
    <m/>
    <m/>
    <m/>
    <m/>
    <m/>
    <s v="No"/>
    <n v="402"/>
    <m/>
    <m/>
    <s v="Mentions"/>
    <x v="196"/>
    <s v="These three words &quot;Don't give up&quot; ring true to any journo who wants to work in the industry, particularly if you're Black, Asian or disabled. Apart from the odd one or two I know that work in #ddj, there's still work to do in those areas. Great piece from @TVMarv for @BJTC_UK. https://t.co/QAdBSzMYti"/>
    <s v="https://twitter.com/BJTC_UK/status/1275335232539983872"/>
    <s v="twitter.com"/>
    <s v="ddj"/>
    <m/>
    <s v="http://pbs.twimg.com/profile_images/1164973648823947264/ZWjdsaW5_normal.jpg"/>
    <d v="2020-06-23T08:03:38.000"/>
    <d v="2020-06-23T00:00:00.000"/>
    <s v="08:03:38"/>
    <s v="https://twitter.com/umarhassan96/status/1275338715112620033"/>
    <m/>
    <m/>
    <s v="1275338715112620033"/>
    <m/>
    <b v="0"/>
    <n v="4"/>
    <s v=""/>
    <b v="1"/>
    <s v="en"/>
    <m/>
    <s v="1275335232539983872"/>
    <b v="0"/>
    <n v="1"/>
    <s v=""/>
    <s v="TweetDeck"/>
    <b v="0"/>
    <s v="1275338715112620033"/>
    <s v="Tweet"/>
    <n v="0"/>
    <n v="0"/>
    <m/>
    <m/>
    <m/>
    <m/>
    <m/>
    <m/>
    <m/>
    <m/>
    <n v="1"/>
    <s v="16"/>
    <s v="16"/>
    <m/>
    <m/>
    <m/>
    <m/>
    <m/>
    <m/>
    <m/>
    <m/>
    <m/>
  </r>
  <r>
    <s v="tvmarv"/>
    <s v="bjtc_uk"/>
    <m/>
    <m/>
    <m/>
    <m/>
    <m/>
    <m/>
    <m/>
    <m/>
    <s v="No"/>
    <n v="403"/>
    <m/>
    <m/>
    <s v="MentionsInRetweet"/>
    <x v="197"/>
    <s v="These three words &quot;Don't give up&quot; ring true to any journo who wants to work in the industry, particularly if you're Black, Asian or disabled. Apart from the odd one or two I know that work in #ddj, there's still work to do in those areas. Great piece from @TVMarv for @BJTC_UK. https://t.co/QAdBSzMYti"/>
    <m/>
    <m/>
    <m/>
    <m/>
    <s v="http://pbs.twimg.com/profile_images/1273211456247541767/qo3PqXGx_normal.jpg"/>
    <d v="2020-06-23T09:29:49.000"/>
    <d v="2020-06-23T00:00:00.000"/>
    <s v="09:29:49"/>
    <s v="https://twitter.com/tvmarv/status/1275360403359440898"/>
    <m/>
    <m/>
    <s v="1275360403359440898"/>
    <m/>
    <b v="0"/>
    <n v="0"/>
    <s v=""/>
    <b v="1"/>
    <s v="en"/>
    <m/>
    <s v="1275335232539983872"/>
    <b v="0"/>
    <n v="1"/>
    <s v="1275338715112620033"/>
    <s v="Twitter for iPhone"/>
    <b v="0"/>
    <s v="1275338715112620033"/>
    <s v="Tweet"/>
    <n v="0"/>
    <n v="0"/>
    <m/>
    <m/>
    <m/>
    <m/>
    <m/>
    <m/>
    <m/>
    <m/>
    <n v="1"/>
    <s v="16"/>
    <s v="16"/>
    <m/>
    <m/>
    <m/>
    <m/>
    <m/>
    <m/>
    <m/>
    <m/>
    <m/>
  </r>
  <r>
    <s v="jmbgeog"/>
    <s v="ajenglish"/>
    <m/>
    <m/>
    <m/>
    <m/>
    <m/>
    <m/>
    <m/>
    <m/>
    <s v="No"/>
    <n v="406"/>
    <m/>
    <m/>
    <s v="Mentions"/>
    <x v="198"/>
    <s v="Water security:_x000a_Saving the Nile. Analysing the impact large dams have on the world's most famous river #dataviz #ddj @AJLabs @AJEnglish https://t.co/QwEAxmnTwx"/>
    <s v="https://interactive.aljazeera.com/aje/2020/saving-the-nile/index.html"/>
    <s v="aljazeera.com"/>
    <s v="dataviz ddj"/>
    <m/>
    <s v="http://pbs.twimg.com/profile_images/1084755983640027136/buwVTx1D_normal.jpg"/>
    <d v="2020-06-22T19:55:42.000"/>
    <d v="2020-06-22T00:00:00.000"/>
    <s v="19:55:42"/>
    <s v="https://twitter.com/jmbgeog/status/1275155524036804609"/>
    <m/>
    <m/>
    <s v="1275155524036804609"/>
    <m/>
    <b v="0"/>
    <n v="40"/>
    <s v=""/>
    <b v="0"/>
    <s v="en"/>
    <m/>
    <s v=""/>
    <b v="0"/>
    <n v="16"/>
    <s v=""/>
    <s v="Twitter for Android"/>
    <b v="0"/>
    <s v="1275155524036804609"/>
    <s v="Tweet"/>
    <n v="0"/>
    <n v="0"/>
    <m/>
    <m/>
    <m/>
    <m/>
    <m/>
    <m/>
    <m/>
    <m/>
    <n v="1"/>
    <s v="3"/>
    <s v="3"/>
    <m/>
    <m/>
    <m/>
    <m/>
    <m/>
    <m/>
    <m/>
    <m/>
    <m/>
  </r>
  <r>
    <s v="valboy7"/>
    <s v="ajenglish"/>
    <m/>
    <m/>
    <m/>
    <m/>
    <m/>
    <m/>
    <m/>
    <m/>
    <s v="No"/>
    <n v="407"/>
    <m/>
    <m/>
    <s v="MentionsInRetweet"/>
    <x v="199"/>
    <s v="Water security:_x000a_Saving the Nile. Analysing the impact large dams have on the world's most famous river #dataviz #ddj @AJLabs @AJEnglish https://t.co/QwEAxmnTwx"/>
    <m/>
    <m/>
    <s v="dataviz ddj"/>
    <m/>
    <s v="http://pbs.twimg.com/profile_images/968895729/Survival---Tsaatan-023_normal.jpg"/>
    <d v="2020-06-23T09:47:45.000"/>
    <d v="2020-06-23T00:00:00.000"/>
    <s v="09:47:45"/>
    <s v="https://twitter.com/valboy7/status/1275364914559954944"/>
    <m/>
    <m/>
    <s v="1275364914559954944"/>
    <m/>
    <b v="0"/>
    <n v="0"/>
    <s v=""/>
    <b v="0"/>
    <s v="en"/>
    <m/>
    <s v=""/>
    <b v="0"/>
    <n v="16"/>
    <s v="1275155524036804609"/>
    <s v="Twitter Web App"/>
    <b v="0"/>
    <s v="1275155524036804609"/>
    <s v="Tweet"/>
    <n v="0"/>
    <n v="0"/>
    <m/>
    <m/>
    <m/>
    <m/>
    <m/>
    <m/>
    <m/>
    <m/>
    <n v="1"/>
    <s v="3"/>
    <s v="3"/>
    <m/>
    <m/>
    <m/>
    <m/>
    <m/>
    <m/>
    <m/>
    <m/>
    <m/>
  </r>
  <r>
    <s v="utknightcenter"/>
    <s v="datassist"/>
    <m/>
    <m/>
    <m/>
    <m/>
    <m/>
    <m/>
    <m/>
    <m/>
    <s v="No"/>
    <n v="411"/>
    <m/>
    <m/>
    <s v="Mentions"/>
    <x v="200"/>
    <s v="📣  Sign up today for our latest FREE online on #equity and #ethics in data journalism with instructor Heather Krause (@datassist). Learn how to avoid inequity and hidden bias into your storytelling. #ddj https://t.co/VSoFcqeFa6 https://t.co/lkqSnrOwQI"/>
    <s v="https://knightcenter.utexas.edu/JC/DATA0620.html"/>
    <s v="utexas.edu"/>
    <s v="equity ethics ddj"/>
    <s v="https://pbs.twimg.com/ext_tw_video_thumb/1273978752125538307/pu/img/kpCVyFWWyrDKGPgH.jpg"/>
    <s v="https://pbs.twimg.com/ext_tw_video_thumb/1273978752125538307/pu/img/kpCVyFWWyrDKGPgH.jpg"/>
    <d v="2020-06-19T14:00:03.000"/>
    <d v="2020-06-19T00:00:00.000"/>
    <s v="14:00:03"/>
    <s v="https://twitter.com/utknightcenter/status/1273978856664371200"/>
    <m/>
    <m/>
    <s v="1273978856664371200"/>
    <m/>
    <b v="0"/>
    <n v="24"/>
    <s v=""/>
    <b v="0"/>
    <s v="en"/>
    <m/>
    <s v=""/>
    <b v="0"/>
    <n v="23"/>
    <s v=""/>
    <s v="TweetDeck"/>
    <b v="0"/>
    <s v="1273978856664371200"/>
    <s v="Retweet"/>
    <n v="0"/>
    <n v="0"/>
    <m/>
    <m/>
    <m/>
    <m/>
    <m/>
    <m/>
    <m/>
    <m/>
    <n v="1"/>
    <s v="4"/>
    <s v="4"/>
    <n v="1"/>
    <n v="3.125"/>
    <n v="1"/>
    <n v="3.125"/>
    <n v="0"/>
    <n v="0"/>
    <n v="30"/>
    <n v="93.75"/>
    <n v="32"/>
  </r>
  <r>
    <s v="ephemerist08"/>
    <s v="datassist"/>
    <m/>
    <m/>
    <m/>
    <m/>
    <m/>
    <m/>
    <m/>
    <m/>
    <s v="No"/>
    <n v="412"/>
    <m/>
    <m/>
    <s v="MentionsInRetweet"/>
    <x v="201"/>
    <s v="📣  Sign up today for our latest FREE online on #equity and #ethics in data journalism with instructor Heather Krause (@datassist). Learn how to avoid inequity and hidden bias into your storytelling. #ddj https://t.co/VSoFcqeFa6 https://t.co/lkqSnrOwQI"/>
    <m/>
    <m/>
    <s v="equity ethics"/>
    <m/>
    <s v="http://pbs.twimg.com/profile_images/1161079847885713414/5bPKf5IT_normal.jpg"/>
    <d v="2020-06-23T10:08:33.000"/>
    <d v="2020-06-23T00:00:00.000"/>
    <s v="10:08:33"/>
    <s v="https://twitter.com/ephemerist08/status/1275370149151862784"/>
    <m/>
    <m/>
    <s v="1275370149151862784"/>
    <m/>
    <b v="0"/>
    <n v="0"/>
    <s v=""/>
    <b v="0"/>
    <s v="en"/>
    <m/>
    <s v=""/>
    <b v="0"/>
    <n v="23"/>
    <s v="1273978856664371200"/>
    <s v="Twitter Web App"/>
    <b v="0"/>
    <s v="1273978856664371200"/>
    <s v="Tweet"/>
    <n v="0"/>
    <n v="0"/>
    <m/>
    <m/>
    <m/>
    <m/>
    <m/>
    <m/>
    <m/>
    <m/>
    <n v="1"/>
    <s v="4"/>
    <s v="4"/>
    <m/>
    <m/>
    <m/>
    <m/>
    <m/>
    <m/>
    <m/>
    <m/>
    <m/>
  </r>
  <r>
    <s v="johnlsheridan"/>
    <s v="puntofisso"/>
    <m/>
    <m/>
    <m/>
    <m/>
    <m/>
    <m/>
    <m/>
    <m/>
    <s v="Yes"/>
    <n v="414"/>
    <m/>
    <m/>
    <s v="Retweet"/>
    <x v="202"/>
    <s v="The National Archives are looking for a Data Engineer. It's one of the most interesting places to work in the public sector and beyond (and you will probably work for the Jedi Knight of Legislation Data, @johnlsheridan)_x000a_#opendata #ddj #opengov_x000a__x000a_https://t.co/vMOe8dmvSW"/>
    <m/>
    <m/>
    <m/>
    <m/>
    <s v="http://pbs.twimg.com/profile_images/669640125081632768/c6jqu46E_normal.jpg"/>
    <d v="2020-06-22T19:40:54.000"/>
    <d v="2020-06-22T00:00:00.000"/>
    <s v="19:40:54"/>
    <s v="https://twitter.com/johnlsheridan/status/1275151799985602560"/>
    <m/>
    <m/>
    <s v="1275151799985602560"/>
    <m/>
    <b v="0"/>
    <n v="0"/>
    <s v=""/>
    <b v="0"/>
    <s v="en"/>
    <m/>
    <s v=""/>
    <b v="0"/>
    <n v="37"/>
    <s v="1275023175747805186"/>
    <s v="Twitter for iPhone"/>
    <b v="0"/>
    <s v="1275023175747805186"/>
    <s v="Tweet"/>
    <n v="0"/>
    <n v="0"/>
    <m/>
    <m/>
    <m/>
    <m/>
    <m/>
    <m/>
    <m/>
    <m/>
    <n v="1"/>
    <s v="2"/>
    <s v="2"/>
    <n v="3"/>
    <n v="7.5"/>
    <n v="0"/>
    <n v="0"/>
    <n v="0"/>
    <n v="0"/>
    <n v="37"/>
    <n v="92.5"/>
    <n v="40"/>
  </r>
  <r>
    <s v="puntofisso"/>
    <s v="johnlsheridan"/>
    <m/>
    <m/>
    <m/>
    <m/>
    <m/>
    <m/>
    <m/>
    <m/>
    <s v="Yes"/>
    <n v="415"/>
    <m/>
    <m/>
    <s v="Mentions"/>
    <x v="203"/>
    <s v="The National Archives are looking for a Data Engineer. It's one of the most interesting places to work in the public sector and beyond (and you will probably work for the Jedi Knight of Legislation Data, @johnlsheridan)_x000a_#opendata #ddj #opengov_x000a__x000a_https://t.co/vMOe8dmvSW"/>
    <s v="https://www.civilservicejobs.service.gov.uk/csr/jobs.cgi?jcode=1670513"/>
    <s v="gov.uk"/>
    <s v="opendata ddj opengov"/>
    <m/>
    <s v="http://pbs.twimg.com/profile_images/1266685862915584005/UyURI2iR_normal.jpg"/>
    <d v="2020-06-22T11:09:48.000"/>
    <d v="2020-06-22T00:00:00.000"/>
    <s v="11:09:48"/>
    <s v="https://twitter.com/puntofisso/status/1275023175747805186"/>
    <m/>
    <m/>
    <s v="1275023175747805186"/>
    <m/>
    <b v="0"/>
    <n v="27"/>
    <s v=""/>
    <b v="0"/>
    <s v="en"/>
    <m/>
    <s v=""/>
    <b v="0"/>
    <n v="37"/>
    <s v=""/>
    <s v="TweetDeck"/>
    <b v="0"/>
    <s v="1275023175747805186"/>
    <s v="Tweet"/>
    <n v="0"/>
    <n v="0"/>
    <m/>
    <m/>
    <m/>
    <m/>
    <m/>
    <m/>
    <m/>
    <m/>
    <n v="1"/>
    <s v="2"/>
    <s v="2"/>
    <n v="3"/>
    <n v="7.5"/>
    <n v="0"/>
    <n v="0"/>
    <n v="0"/>
    <n v="0"/>
    <n v="37"/>
    <n v="92.5"/>
    <n v="40"/>
  </r>
  <r>
    <s v="puntofisso"/>
    <s v="puntofisso"/>
    <m/>
    <m/>
    <m/>
    <m/>
    <m/>
    <m/>
    <m/>
    <m/>
    <s v="No"/>
    <n v="416"/>
    <m/>
    <m/>
    <s v="Tweet"/>
    <x v="204"/>
    <s v="Another Monday, another issue of my #data newsletter is ready to reach your inboxes tomorrow at lunchtime._x000a__x000a_Subscribe at https://t.co/1DSNfMTKQA_x000a__x000a_#ddj #opendata #dataviz https://t.co/cCpwnPSCM4"/>
    <s v="http://puntofisso.net/newsletter/"/>
    <s v="puntofisso.net"/>
    <s v="data ddj opendata dataviz"/>
    <s v="https://pbs.twimg.com/tweet_video_thumb/EbJGD2zWsAIk9A7.jpg"/>
    <s v="https://pbs.twimg.com/tweet_video_thumb/EbJGD2zWsAIk9A7.jpg"/>
    <d v="2020-06-22T20:09:52.000"/>
    <d v="2020-06-22T00:00:00.000"/>
    <s v="20:09:52"/>
    <s v="https://twitter.com/puntofisso/status/1275159085848109056"/>
    <m/>
    <m/>
    <s v="1275159085848109056"/>
    <m/>
    <b v="0"/>
    <n v="8"/>
    <s v=""/>
    <b v="0"/>
    <s v="en"/>
    <m/>
    <s v=""/>
    <b v="0"/>
    <n v="3"/>
    <s v=""/>
    <s v="TweetDeck"/>
    <b v="0"/>
    <s v="1275159085848109056"/>
    <s v="Tweet"/>
    <n v="0"/>
    <n v="0"/>
    <m/>
    <m/>
    <m/>
    <m/>
    <m/>
    <m/>
    <m/>
    <m/>
    <n v="2"/>
    <s v="2"/>
    <s v="2"/>
    <n v="1"/>
    <n v="4.545454545454546"/>
    <n v="1"/>
    <n v="4.545454545454546"/>
    <n v="0"/>
    <n v="0"/>
    <n v="20"/>
    <n v="90.9090909090909"/>
    <n v="22"/>
  </r>
  <r>
    <s v="puntofisso"/>
    <s v="puntofisso"/>
    <m/>
    <m/>
    <m/>
    <m/>
    <m/>
    <m/>
    <m/>
    <m/>
    <s v="No"/>
    <n v="417"/>
    <m/>
    <m/>
    <s v="Retweet"/>
    <x v="205"/>
    <s v="Another Monday, another issue of my #data newsletter is ready to reach your inboxes tomorrow at lunchtime._x000a__x000a_Subscribe at https://t.co/1DSNfMTKQA_x000a__x000a_#ddj #opendata #dataviz https://t.co/cCpwnPSCM4"/>
    <m/>
    <m/>
    <s v="data"/>
    <m/>
    <s v="http://pbs.twimg.com/profile_images/1266685862915584005/UyURI2iR_normal.jpg"/>
    <d v="2020-06-23T10:28:28.000"/>
    <d v="2020-06-23T00:00:00.000"/>
    <s v="10:28:28"/>
    <s v="https://twitter.com/puntofisso/status/1275375160619663360"/>
    <m/>
    <m/>
    <s v="1275375160619663360"/>
    <m/>
    <b v="0"/>
    <n v="0"/>
    <s v=""/>
    <b v="0"/>
    <s v="en"/>
    <m/>
    <s v=""/>
    <b v="0"/>
    <n v="3"/>
    <s v="1275159085848109056"/>
    <s v="TweetDeck"/>
    <b v="0"/>
    <s v="1275159085848109056"/>
    <s v="Tweet"/>
    <n v="0"/>
    <n v="0"/>
    <m/>
    <m/>
    <m/>
    <m/>
    <m/>
    <m/>
    <m/>
    <m/>
    <n v="2"/>
    <s v="2"/>
    <s v="2"/>
    <n v="1"/>
    <n v="4.545454545454546"/>
    <n v="1"/>
    <n v="4.545454545454546"/>
    <n v="0"/>
    <n v="0"/>
    <n v="20"/>
    <n v="90.9090909090909"/>
    <n v="22"/>
  </r>
  <r>
    <s v="na7al13"/>
    <s v="na7al13"/>
    <m/>
    <m/>
    <m/>
    <m/>
    <m/>
    <m/>
    <m/>
    <m/>
    <s v="No"/>
    <n v="418"/>
    <m/>
    <m/>
    <s v="Tweet"/>
    <x v="206"/>
    <s v="CAR-Journalism rocks! #ddj https://t.co/mKMBMtamxp"/>
    <s v="https://twitter.com/hatr/status/1275294646349041664"/>
    <s v="twitter.com"/>
    <s v="ddj"/>
    <m/>
    <s v="http://pbs.twimg.com/profile_images/1190575461610459136/0VDw_7oY_normal.jpg"/>
    <d v="2020-06-23T10:37:21.000"/>
    <d v="2020-06-23T00:00:00.000"/>
    <s v="10:37:21"/>
    <s v="https://twitter.com/na7al13/status/1275377398259822592"/>
    <m/>
    <m/>
    <s v="1275377398259822592"/>
    <m/>
    <b v="0"/>
    <n v="0"/>
    <s v=""/>
    <b v="1"/>
    <s v="en"/>
    <m/>
    <s v="1275294646349041664"/>
    <b v="0"/>
    <n v="0"/>
    <s v=""/>
    <s v="Twitter Web App"/>
    <b v="0"/>
    <s v="1275377398259822592"/>
    <s v="Tweet"/>
    <n v="0"/>
    <n v="0"/>
    <m/>
    <m/>
    <m/>
    <m/>
    <m/>
    <m/>
    <m/>
    <m/>
    <n v="1"/>
    <s v="8"/>
    <s v="8"/>
    <n v="0"/>
    <n v="0"/>
    <n v="0"/>
    <n v="0"/>
    <n v="0"/>
    <n v="0"/>
    <n v="4"/>
    <n v="100"/>
    <n v="4"/>
  </r>
  <r>
    <s v="helenawittlich"/>
    <s v="tagesspiegel"/>
    <m/>
    <m/>
    <m/>
    <m/>
    <m/>
    <m/>
    <m/>
    <m/>
    <s v="No"/>
    <n v="419"/>
    <m/>
    <m/>
    <s v="Mentions"/>
    <x v="207"/>
    <s v="Noch nie wurde in #Deutschland so viel #Kurzarbeit angemeldet wie in der #Coronakrise. Auch die Arbeitslosenzahlen steigen. Das trifft vor allem weniger Privilegierte. Die Folgen der Krise für den #Arbeitsmarkt in Zahlen: _x000a_➡️https://t.co/RvWCyicp5Z_x000a_@Tagesspiegel #coronavirus #ddj https://t.co/QrQ746kOhM"/>
    <s v="https://interaktiv.tagesspiegel.de/lab/wie-die-coronakrise-den-arbeitsmarkt-getroffen-hat/"/>
    <s v="tagesspiegel.de"/>
    <s v="deutschland kurzarbeit coronakrise arbeitsmarkt coronavirus ddj"/>
    <s v="https://pbs.twimg.com/media/EbH5PFOVAAIus2b.jpg"/>
    <s v="https://pbs.twimg.com/media/EbH5PFOVAAIus2b.jpg"/>
    <d v="2020-06-22T14:39:38.000"/>
    <d v="2020-06-22T00:00:00.000"/>
    <s v="14:39:38"/>
    <s v="https://twitter.com/helenawittlich/status/1275075981967908864"/>
    <m/>
    <m/>
    <s v="1275075981967908864"/>
    <m/>
    <b v="0"/>
    <n v="3"/>
    <s v=""/>
    <b v="0"/>
    <s v="de"/>
    <m/>
    <s v=""/>
    <b v="0"/>
    <n v="3"/>
    <s v=""/>
    <s v="Twitter Web App"/>
    <b v="0"/>
    <s v="1275075981967908864"/>
    <s v="Tweet"/>
    <n v="0"/>
    <n v="0"/>
    <m/>
    <m/>
    <m/>
    <m/>
    <m/>
    <m/>
    <m/>
    <m/>
    <n v="1"/>
    <s v="10"/>
    <s v="10"/>
    <n v="0"/>
    <n v="0"/>
    <n v="2"/>
    <n v="5.128205128205129"/>
    <n v="0"/>
    <n v="0"/>
    <n v="37"/>
    <n v="94.87179487179488"/>
    <n v="39"/>
  </r>
  <r>
    <s v="berlindigital"/>
    <s v="tagesspiegel"/>
    <m/>
    <m/>
    <m/>
    <m/>
    <m/>
    <m/>
    <m/>
    <m/>
    <s v="No"/>
    <n v="420"/>
    <m/>
    <m/>
    <s v="MentionsInRetweet"/>
    <x v="208"/>
    <s v="Noch nie wurde in #Deutschland so viel #Kurzarbeit angemeldet wie in der #Coronakrise. Auch die Arbeitslosenzahlen steigen. Das trifft vor allem weniger Privilegierte. Die Folgen der Krise für den #Arbeitsmarkt in Zahlen: _x000a_➡️https://t.co/RvWCyicp5Z_x000a_@Tagesspiegel #coronavirus #ddj https://t.co/QrQ746kOhM"/>
    <m/>
    <m/>
    <s v="deutschland kurzarbeit coronakrise"/>
    <m/>
    <s v="http://pbs.twimg.com/profile_images/706803244497018880/1sZQeb0K_normal.jpg"/>
    <d v="2020-06-23T10:40:53.000"/>
    <d v="2020-06-23T00:00:00.000"/>
    <s v="10:40:53"/>
    <s v="https://twitter.com/berlindigital/status/1275378287645261834"/>
    <m/>
    <m/>
    <s v="1275378287645261834"/>
    <m/>
    <b v="0"/>
    <n v="0"/>
    <s v=""/>
    <b v="0"/>
    <s v="de"/>
    <m/>
    <s v=""/>
    <b v="0"/>
    <n v="3"/>
    <s v="1275075981967908864"/>
    <s v="Twitter for iPhone"/>
    <b v="0"/>
    <s v="1275075981967908864"/>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6"/>
    </i>
    <i r="2">
      <x v="153"/>
    </i>
    <i r="2">
      <x v="154"/>
    </i>
    <i r="2">
      <x v="164"/>
    </i>
    <i r="2">
      <x v="166"/>
    </i>
    <i r="2">
      <x v="170"/>
    </i>
    <i r="2">
      <x v="171"/>
    </i>
    <i r="2">
      <x v="172"/>
    </i>
    <i r="2">
      <x v="174"/>
    </i>
    <i r="2">
      <x v="175"/>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421" totalsRowShown="0" headerRowDxfId="498" dataDxfId="462">
  <autoFilter ref="A2:BN421"/>
  <tableColumns count="66">
    <tableColumn id="1" name="Vertex 1" dataDxfId="447"/>
    <tableColumn id="2" name="Vertex 2" dataDxfId="445"/>
    <tableColumn id="3" name="Color" dataDxfId="446"/>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351"/>
    <tableColumn id="7" name="ID" dataDxfId="464"/>
    <tableColumn id="9" name="Dynamic Filter" dataDxfId="463"/>
    <tableColumn id="8" name="Add Your Own Columns Here" dataDxfId="444"/>
    <tableColumn id="15" name="Relationship" dataDxfId="443"/>
    <tableColumn id="16" name="Relationship Date (UTC)" dataDxfId="442"/>
    <tableColumn id="17" name="Tweet" dataDxfId="441"/>
    <tableColumn id="18" name="URLs in Tweet" dataDxfId="440"/>
    <tableColumn id="19" name="Domains in Tweet" dataDxfId="439"/>
    <tableColumn id="20" name="Hashtags in Tweet" dataDxfId="438"/>
    <tableColumn id="21" name="Media in Tweet" dataDxfId="437"/>
    <tableColumn id="22" name="Tweet Image File" dataDxfId="436"/>
    <tableColumn id="23" name="Tweet Date (UTC)" dataDxfId="435"/>
    <tableColumn id="24" name="Date" dataDxfId="434"/>
    <tableColumn id="25" name="Time" dataDxfId="433"/>
    <tableColumn id="26" name="Twitter Page for Tweet" dataDxfId="432"/>
    <tableColumn id="27" name="Latitude" dataDxfId="431"/>
    <tableColumn id="28" name="Longitude" dataDxfId="430"/>
    <tableColumn id="29" name="Imported ID" dataDxfId="429"/>
    <tableColumn id="30" name="In-Reply-To Tweet ID" dataDxfId="428"/>
    <tableColumn id="31" name="Favorited" dataDxfId="427"/>
    <tableColumn id="32" name="Favorite Count" dataDxfId="426"/>
    <tableColumn id="33" name="In-Reply-To User ID" dataDxfId="425"/>
    <tableColumn id="34" name="Is Quote Status" dataDxfId="424"/>
    <tableColumn id="35" name="Language" dataDxfId="423"/>
    <tableColumn id="36" name="Possibly Sensitive" dataDxfId="422"/>
    <tableColumn id="37" name="Quoted Status ID" dataDxfId="421"/>
    <tableColumn id="38" name="Retweeted" dataDxfId="420"/>
    <tableColumn id="39" name="Retweet Count" dataDxfId="419"/>
    <tableColumn id="40" name="Retweet ID" dataDxfId="418"/>
    <tableColumn id="41" name="Source" dataDxfId="417"/>
    <tableColumn id="42" name="Truncated" dataDxfId="416"/>
    <tableColumn id="43" name="Unified Twitter ID" dataDxfId="415"/>
    <tableColumn id="44" name="Imported Tweet Type" dataDxfId="414"/>
    <tableColumn id="45" name="Added By Extended Analysis" dataDxfId="413"/>
    <tableColumn id="46" name="Corrected By Extended Analysis" dataDxfId="412"/>
    <tableColumn id="47" name="Place Bounding Box" dataDxfId="411"/>
    <tableColumn id="48" name="Place Country" dataDxfId="410"/>
    <tableColumn id="49" name="Place Country Code" dataDxfId="409"/>
    <tableColumn id="50" name="Place Full Name" dataDxfId="408"/>
    <tableColumn id="51" name="Place ID" dataDxfId="407"/>
    <tableColumn id="52" name="Place Name" dataDxfId="406"/>
    <tableColumn id="53" name="Place Type" dataDxfId="405"/>
    <tableColumn id="54" name="Place URL" dataDxfId="404"/>
    <tableColumn id="55" name="Edge Weight"/>
    <tableColumn id="56" name="Vertex 1 Group" dataDxfId="366">
      <calculatedColumnFormula>REPLACE(INDEX(GroupVertices[Group], MATCH(Edges[[#This Row],[Vertex 1]],GroupVertices[Vertex],0)),1,1,"")</calculatedColumnFormula>
    </tableColumn>
    <tableColumn id="57" name="Vertex 2 Group" dataDxfId="327">
      <calculatedColumnFormula>REPLACE(INDEX(GroupVertices[Group], MATCH(Edges[[#This Row],[Vertex 2]],GroupVertices[Vertex],0)),1,1,"")</calculatedColumnFormula>
    </tableColumn>
    <tableColumn id="58" name="Sentiment List #1: List1 Word Count" dataDxfId="326"/>
    <tableColumn id="59" name="Sentiment List #1: List1 Word Percentage (%)" dataDxfId="325"/>
    <tableColumn id="60" name="Sentiment List #2: List2 Word Count" dataDxfId="324"/>
    <tableColumn id="61" name="Sentiment List #2: List2 Word Percentage (%)" dataDxfId="323"/>
    <tableColumn id="62" name="Sentiment List #3: List3 Word Count" dataDxfId="322"/>
    <tableColumn id="63" name="Sentiment List #3: List3 Word Percentage (%)" dataDxfId="321"/>
    <tableColumn id="64" name="Non-categorized Word Count" dataDxfId="320"/>
    <tableColumn id="65" name="Non-categorized Word Percentage (%)" dataDxfId="319"/>
    <tableColumn id="66" name="Edge Content Word Count" dataDxfId="3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3" totalsRowShown="0" headerRowDxfId="350" dataDxfId="349">
  <autoFilter ref="A1:G933"/>
  <tableColumns count="7">
    <tableColumn id="1" name="Word" dataDxfId="348"/>
    <tableColumn id="2" name="Count" dataDxfId="347"/>
    <tableColumn id="3" name="Salience" dataDxfId="346"/>
    <tableColumn id="4" name="Group" dataDxfId="345"/>
    <tableColumn id="5" name="Word on Sentiment List #1: List1" dataDxfId="344"/>
    <tableColumn id="6" name="Word on Sentiment List #2: List2" dataDxfId="343"/>
    <tableColumn id="7" name="Word on Sentiment List #3: List3" dataDxfId="3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8" totalsRowShown="0" headerRowDxfId="341" dataDxfId="340">
  <autoFilter ref="A1:L998"/>
  <tableColumns count="12">
    <tableColumn id="1" name="Word 1" dataDxfId="339"/>
    <tableColumn id="2" name="Word 2" dataDxfId="338"/>
    <tableColumn id="3" name="Count" dataDxfId="337"/>
    <tableColumn id="4" name="Salience" dataDxfId="336"/>
    <tableColumn id="5" name="Mutual Information" dataDxfId="335"/>
    <tableColumn id="6" name="Group" dataDxfId="334"/>
    <tableColumn id="7" name="Word1 on Sentiment List #1: List1" dataDxfId="333"/>
    <tableColumn id="8" name="Word1 on Sentiment List #2: List2" dataDxfId="332"/>
    <tableColumn id="9" name="Word1 on Sentiment List #3: List3" dataDxfId="331"/>
    <tableColumn id="10" name="Word2 on Sentiment List #1: List1" dataDxfId="330"/>
    <tableColumn id="11" name="Word2 on Sentiment List #2: List2" dataDxfId="329"/>
    <tableColumn id="12" name="Word2 on Sentiment List #3: List3" dataDxfId="32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1" totalsRowShown="0" headerRowDxfId="299" dataDxfId="298">
  <autoFilter ref="A2:C2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212" totalsRowShown="0" headerRowDxfId="66" dataDxfId="65">
  <autoFilter ref="A2:BN2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5" totalsRowShown="0" headerRowDxfId="497" dataDxfId="448">
  <autoFilter ref="A2:BT225"/>
  <tableColumns count="72">
    <tableColumn id="1" name="Vertex" dataDxfId="461"/>
    <tableColumn id="2" name="Color" dataDxfId="460"/>
    <tableColumn id="5" name="Shape" dataDxfId="459"/>
    <tableColumn id="6" name="Size" dataDxfId="458"/>
    <tableColumn id="4" name="Opacity" dataDxfId="383"/>
    <tableColumn id="7" name="Image File" dataDxfId="381"/>
    <tableColumn id="3" name="Visibility" dataDxfId="382"/>
    <tableColumn id="10" name="Label" dataDxfId="457"/>
    <tableColumn id="16" name="Label Fill Color" dataDxfId="456"/>
    <tableColumn id="9" name="Label Position" dataDxfId="377"/>
    <tableColumn id="8" name="Tooltip" dataDxfId="375"/>
    <tableColumn id="18" name="Layout Order" dataDxfId="376"/>
    <tableColumn id="13" name="X" dataDxfId="455"/>
    <tableColumn id="14" name="Y" dataDxfId="454"/>
    <tableColumn id="12" name="Locked?" dataDxfId="453"/>
    <tableColumn id="19" name="Polar R" dataDxfId="452"/>
    <tableColumn id="20" name="Polar Angle" dataDxfId="451"/>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50"/>
    <tableColumn id="28" name="Dynamic Filter" dataDxfId="449"/>
    <tableColumn id="17" name="Add Your Own Columns Here" dataDxfId="403"/>
    <tableColumn id="30" name="Name" dataDxfId="402"/>
    <tableColumn id="31" name="User ID" dataDxfId="401"/>
    <tableColumn id="32" name="Followed" dataDxfId="400"/>
    <tableColumn id="33" name="Followers" dataDxfId="399"/>
    <tableColumn id="34" name="Tweets" dataDxfId="398"/>
    <tableColumn id="35" name="Favorites" dataDxfId="397"/>
    <tableColumn id="36" name="Time Zone UTC Offset (Seconds)" dataDxfId="396"/>
    <tableColumn id="37" name="Description" dataDxfId="395"/>
    <tableColumn id="38" name="Location" dataDxfId="394"/>
    <tableColumn id="39" name="Web" dataDxfId="393"/>
    <tableColumn id="40" name="Time Zone" dataDxfId="392"/>
    <tableColumn id="41" name="Joined Twitter Date (UTC)" dataDxfId="391"/>
    <tableColumn id="42" name="Profile Banner Url" dataDxfId="390"/>
    <tableColumn id="43" name="Default Profile" dataDxfId="389"/>
    <tableColumn id="44" name="Default Profile Image" dataDxfId="388"/>
    <tableColumn id="45" name="Geo Enabled" dataDxfId="387"/>
    <tableColumn id="46" name="Language" dataDxfId="386"/>
    <tableColumn id="47" name="Listed Count" dataDxfId="385"/>
    <tableColumn id="48" name="Profile Background Image Url" dataDxfId="384"/>
    <tableColumn id="49" name="Verified" dataDxfId="380"/>
    <tableColumn id="50" name="Custom Menu Item Text" dataDxfId="379"/>
    <tableColumn id="51" name="Custom Menu Item Action" dataDxfId="378"/>
    <tableColumn id="52" name="Tweeted Search Term?" dataDxfId="367"/>
    <tableColumn id="53" name="Vertex Group" dataDxfId="317">
      <calculatedColumnFormula>REPLACE(INDEX(GroupVertices[Group], MATCH(Vertices[[#This Row],[Vertex]],GroupVertices[Vertex],0)),1,1,"")</calculatedColumnFormula>
    </tableColumn>
    <tableColumn id="54" name="Sentiment List #1: List1 Word Count" dataDxfId="316"/>
    <tableColumn id="55" name="Sentiment List #1: List1 Word Percentage (%)" dataDxfId="315"/>
    <tableColumn id="56" name="Sentiment List #2: List2 Word Count" dataDxfId="314"/>
    <tableColumn id="57" name="Sentiment List #2: List2 Word Percentage (%)" dataDxfId="313"/>
    <tableColumn id="58" name="Sentiment List #3: List3 Word Count" dataDxfId="312"/>
    <tableColumn id="59" name="Sentiment List #3: List3 Word Percentage (%)" dataDxfId="311"/>
    <tableColumn id="60" name="Non-categorized Word Count" dataDxfId="310"/>
    <tableColumn id="61" name="Non-categorized Word Percentage (%)" dataDxfId="3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96">
  <autoFilter ref="A2:AO21"/>
  <tableColumns count="41">
    <tableColumn id="1" name="Group" dataDxfId="374"/>
    <tableColumn id="2" name="Vertex Color" dataDxfId="373"/>
    <tableColumn id="3" name="Vertex Shape" dataDxfId="371"/>
    <tableColumn id="22" name="Visibility" dataDxfId="372"/>
    <tableColumn id="4" name="Collapsed?"/>
    <tableColumn id="18" name="Label" dataDxfId="495"/>
    <tableColumn id="20" name="Collapsed X"/>
    <tableColumn id="21" name="Collapsed Y"/>
    <tableColumn id="6" name="ID" dataDxfId="494"/>
    <tableColumn id="19" name="Collapsed Properties" dataDxfId="365"/>
    <tableColumn id="5" name="Vertices" dataDxfId="364"/>
    <tableColumn id="7" name="Unique Edges" dataDxfId="363"/>
    <tableColumn id="8" name="Edges With Duplicates" dataDxfId="362"/>
    <tableColumn id="9" name="Total Edges" dataDxfId="361"/>
    <tableColumn id="10" name="Self-Loops" dataDxfId="360"/>
    <tableColumn id="24" name="Reciprocated Vertex Pair Ratio" dataDxfId="359"/>
    <tableColumn id="25" name="Reciprocated Edge Ratio" dataDxfId="358"/>
    <tableColumn id="11" name="Connected Components" dataDxfId="357"/>
    <tableColumn id="12" name="Single-Vertex Connected Components" dataDxfId="356"/>
    <tableColumn id="13" name="Maximum Vertices in a Connected Component" dataDxfId="355"/>
    <tableColumn id="14" name="Maximum Edges in a Connected Component" dataDxfId="354"/>
    <tableColumn id="15" name="Maximum Geodesic Distance (Diameter)" dataDxfId="353"/>
    <tableColumn id="16" name="Average Geodesic Distance" dataDxfId="352"/>
    <tableColumn id="17" name="Graph Density" dataDxfId="308"/>
    <tableColumn id="23" name="Sentiment List #1: List1 Word Count" dataDxfId="307"/>
    <tableColumn id="26" name="Sentiment List #1: List1 Word Percentage (%)" dataDxfId="306"/>
    <tableColumn id="27" name="Sentiment List #2: List2 Word Count" dataDxfId="305"/>
    <tableColumn id="28" name="Sentiment List #2: List2 Word Percentage (%)" dataDxfId="304"/>
    <tableColumn id="29" name="Sentiment List #3: List3 Word Count" dataDxfId="303"/>
    <tableColumn id="30" name="Sentiment List #3: List3 Word Percentage (%)" dataDxfId="302"/>
    <tableColumn id="31" name="Non-categorized Word Count" dataDxfId="301"/>
    <tableColumn id="32" name="Non-categorized Word Percentage (%)" dataDxfId="30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4" totalsRowShown="0" headerRowDxfId="493" dataDxfId="492">
  <autoFilter ref="A1:C224"/>
  <tableColumns count="3">
    <tableColumn id="1" name="Group" dataDxfId="370"/>
    <tableColumn id="2" name="Vertex" dataDxfId="369"/>
    <tableColumn id="3" name="Vertex ID" dataDxfId="3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91"/>
    <tableColumn id="2" name="Degree Frequency" dataDxfId="490">
      <calculatedColumnFormula>COUNTIF(Vertices[Degree], "&gt;= " &amp; D2) - COUNTIF(Vertices[Degree], "&gt;=" &amp; D3)</calculatedColumnFormula>
    </tableColumn>
    <tableColumn id="3" name="In-Degree Bin" dataDxfId="489"/>
    <tableColumn id="4" name="In-Degree Frequency" dataDxfId="488">
      <calculatedColumnFormula>COUNTIF(Vertices[In-Degree], "&gt;= " &amp; F2) - COUNTIF(Vertices[In-Degree], "&gt;=" &amp; F3)</calculatedColumnFormula>
    </tableColumn>
    <tableColumn id="5" name="Out-Degree Bin" dataDxfId="487"/>
    <tableColumn id="6" name="Out-Degree Frequency" dataDxfId="486">
      <calculatedColumnFormula>COUNTIF(Vertices[Out-Degree], "&gt;= " &amp; H2) - COUNTIF(Vertices[Out-Degree], "&gt;=" &amp; H3)</calculatedColumnFormula>
    </tableColumn>
    <tableColumn id="7" name="Betweenness Centrality Bin" dataDxfId="485"/>
    <tableColumn id="8" name="Betweenness Centrality Frequency" dataDxfId="484">
      <calculatedColumnFormula>COUNTIF(Vertices[Betweenness Centrality], "&gt;= " &amp; J2) - COUNTIF(Vertices[Betweenness Centrality], "&gt;=" &amp; J3)</calculatedColumnFormula>
    </tableColumn>
    <tableColumn id="9" name="Closeness Centrality Bin" dataDxfId="483"/>
    <tableColumn id="10" name="Closeness Centrality Frequency" dataDxfId="482">
      <calculatedColumnFormula>COUNTIF(Vertices[Closeness Centrality], "&gt;= " &amp; L2) - COUNTIF(Vertices[Closeness Centrality], "&gt;=" &amp; L3)</calculatedColumnFormula>
    </tableColumn>
    <tableColumn id="11" name="Eigenvector Centrality Bin" dataDxfId="481"/>
    <tableColumn id="12" name="Eigenvector Centrality Frequency" dataDxfId="480">
      <calculatedColumnFormula>COUNTIF(Vertices[Eigenvector Centrality], "&gt;= " &amp; N2) - COUNTIF(Vertices[Eigenvector Centrality], "&gt;=" &amp; N3)</calculatedColumnFormula>
    </tableColumn>
    <tableColumn id="18" name="PageRank Bin" dataDxfId="479"/>
    <tableColumn id="17" name="PageRank Frequency" dataDxfId="478">
      <calculatedColumnFormula>COUNTIF(Vertices[Eigenvector Centrality], "&gt;= " &amp; P2) - COUNTIF(Vertices[Eigenvector Centrality], "&gt;=" &amp; P3)</calculatedColumnFormula>
    </tableColumn>
    <tableColumn id="13" name="Clustering Coefficient Bin" dataDxfId="477"/>
    <tableColumn id="14" name="Clustering Coefficient Frequency" dataDxfId="476">
      <calculatedColumnFormula>COUNTIF(Vertices[Clustering Coefficient], "&gt;= " &amp; R2) - COUNTIF(Vertices[Clustering Coefficient], "&gt;=" &amp; R3)</calculatedColumnFormula>
    </tableColumn>
    <tableColumn id="15" name="Dynamic Filter Bin" dataDxfId="475"/>
    <tableColumn id="16" name="Dynamic Filter Frequency" dataDxfId="4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73">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interactive.aljazeera.com/aje/2020/saving-the-nile/index.html" TargetMode="External" /><Relationship Id="rId2" Type="http://schemas.openxmlformats.org/officeDocument/2006/relationships/hyperlink" Target="https://ejerciciosdedatos.blogspot.com/2020/06/entrevista-jose-luis-huacles-unocc.html" TargetMode="External" /><Relationship Id="rId3" Type="http://schemas.openxmlformats.org/officeDocument/2006/relationships/hyperlink" Target="https://gijn.org/2020/06/11/data-journalism-top-10-black-lives-matter-protests-police-shootings-questions-on-covid-19-research-site-russian-orphans/" TargetMode="External" /><Relationship Id="rId4" Type="http://schemas.openxmlformats.org/officeDocument/2006/relationships/hyperlink" Target="https://twitter.com/_danielmariani/status/1274701756069556225" TargetMode="External" /><Relationship Id="rId5" Type="http://schemas.openxmlformats.org/officeDocument/2006/relationships/hyperlink" Target="https://twitter.com/_fiquemsabendo/status/1275156603893878784" TargetMode="External" /><Relationship Id="rId6" Type="http://schemas.openxmlformats.org/officeDocument/2006/relationships/hyperlink" Target="https://docs.google.com/document/d/14OZElNMTJyQult42sorX5bMkhGnxgTcAlRo9kKHYoqw/edit" TargetMode="External" /><Relationship Id="rId7" Type="http://schemas.openxmlformats.org/officeDocument/2006/relationships/hyperlink" Target="https://twitter.com/basole/status/1274853316758036481" TargetMode="External" /><Relationship Id="rId8" Type="http://schemas.openxmlformats.org/officeDocument/2006/relationships/hyperlink" Target="https://twitter.com/hatr/status/1275294646349041664" TargetMode="External" /><Relationship Id="rId9" Type="http://schemas.openxmlformats.org/officeDocument/2006/relationships/hyperlink" Target="https://twitter.com/BJTC_UK/status/1275335232539983872" TargetMode="External" /><Relationship Id="rId10" Type="http://schemas.openxmlformats.org/officeDocument/2006/relationships/hyperlink" Target="https://dansmonlabo.com/2020/06/01/jai-repris-la-chasse-aux-cliches-dans-les-medias-et-voila-ce-que-jai-appris-1969/" TargetMode="External" /><Relationship Id="rId11" Type="http://schemas.openxmlformats.org/officeDocument/2006/relationships/hyperlink" Target="https://twitter.com/_danielmariani/status/1274701756069556225" TargetMode="External" /><Relationship Id="rId12" Type="http://schemas.openxmlformats.org/officeDocument/2006/relationships/hyperlink" Target="https://twitter.com/_fiquemsabendo/status/1275156603893878784" TargetMode="External" /><Relationship Id="rId13" Type="http://schemas.openxmlformats.org/officeDocument/2006/relationships/hyperlink" Target="https://twitter.com/i/web/status/1275260122881802240" TargetMode="External" /><Relationship Id="rId14" Type="http://schemas.openxmlformats.org/officeDocument/2006/relationships/hyperlink" Target="https://twitter.com/i/web/status/1274865131990790146" TargetMode="External" /><Relationship Id="rId15" Type="http://schemas.openxmlformats.org/officeDocument/2006/relationships/hyperlink" Target="https://twitter.com/i/web/status/1274910369551724547" TargetMode="External" /><Relationship Id="rId16" Type="http://schemas.openxmlformats.org/officeDocument/2006/relationships/hyperlink" Target="https://twitter.com/i/web/status/1274925539954958337" TargetMode="External" /><Relationship Id="rId17" Type="http://schemas.openxmlformats.org/officeDocument/2006/relationships/hyperlink" Target="https://twitter.com/i/web/status/1275027326720450560" TargetMode="External" /><Relationship Id="rId18" Type="http://schemas.openxmlformats.org/officeDocument/2006/relationships/hyperlink" Target="https://twitter.com/i/web/status/1275054330006196226" TargetMode="External" /><Relationship Id="rId19" Type="http://schemas.openxmlformats.org/officeDocument/2006/relationships/hyperlink" Target="https://twitter.com/i/web/status/1275050043129692160" TargetMode="External" /><Relationship Id="rId20" Type="http://schemas.openxmlformats.org/officeDocument/2006/relationships/hyperlink" Target="https://twitter.com/i/web/status/1275067751967502336" TargetMode="External" /><Relationship Id="rId21" Type="http://schemas.openxmlformats.org/officeDocument/2006/relationships/hyperlink" Target="https://www.civilservicejobs.service.gov.uk/csr/jobs.cgi?jcode=1670513" TargetMode="External" /><Relationship Id="rId22" Type="http://schemas.openxmlformats.org/officeDocument/2006/relationships/hyperlink" Target="http://puntofisso.net/newsletter/" TargetMode="External" /><Relationship Id="rId23" Type="http://schemas.openxmlformats.org/officeDocument/2006/relationships/hyperlink" Target="https://interactive.aljazeera.com/aje/2020/saving-the-nile/index.html" TargetMode="External" /><Relationship Id="rId24" Type="http://schemas.openxmlformats.org/officeDocument/2006/relationships/hyperlink" Target="https://knightcenter.utexas.edu/JC/DATA0620.html" TargetMode="External" /><Relationship Id="rId25" Type="http://schemas.openxmlformats.org/officeDocument/2006/relationships/hyperlink" Target="https://datajournalism.com/register" TargetMode="External" /><Relationship Id="rId26" Type="http://schemas.openxmlformats.org/officeDocument/2006/relationships/hyperlink" Target="https://pointer.kro-ncrv.nl/artikelen/het-verhaal-achter-een-identiteitsroof#lang=en" TargetMode="External" /><Relationship Id="rId27" Type="http://schemas.openxmlformats.org/officeDocument/2006/relationships/hyperlink" Target="https://datajournalism.com/listen" TargetMode="External" /><Relationship Id="rId28" Type="http://schemas.openxmlformats.org/officeDocument/2006/relationships/hyperlink" Target="https://datajournalism.com/read/longreads/data-journalism-a-guide-for-editors" TargetMode="External" /><Relationship Id="rId29" Type="http://schemas.openxmlformats.org/officeDocument/2006/relationships/hyperlink" Target="https://youtu.be/_tALUcBBeB0" TargetMode="External" /><Relationship Id="rId30" Type="http://schemas.openxmlformats.org/officeDocument/2006/relationships/hyperlink" Target="https://www.instagram.com/p/CBwMEuqFhG4/" TargetMode="External" /><Relationship Id="rId31" Type="http://schemas.openxmlformats.org/officeDocument/2006/relationships/hyperlink" Target="https://www.instagram.com/p/CBwTzp0BUki/?igshid=9gpbtba4lceq" TargetMode="External" /><Relationship Id="rId32" Type="http://schemas.openxmlformats.org/officeDocument/2006/relationships/hyperlink" Target="https://www.instagram.com/p/CBxFn7zJ1Vg/?igshid=17591pzd81ibu" TargetMode="External" /><Relationship Id="rId33" Type="http://schemas.openxmlformats.org/officeDocument/2006/relationships/hyperlink" Target="https://www.instagram.com/p/CBvuVmGp6wd/?igshid=1sknq4nindyf3" TargetMode="External" /><Relationship Id="rId34" Type="http://schemas.openxmlformats.org/officeDocument/2006/relationships/hyperlink" Target="https://twitter.com/hatr/status/1275294646349041664" TargetMode="External" /><Relationship Id="rId35" Type="http://schemas.openxmlformats.org/officeDocument/2006/relationships/hyperlink" Target="https://twitter.com/basole/status/1274853316758036481" TargetMode="External" /><Relationship Id="rId36" Type="http://schemas.openxmlformats.org/officeDocument/2006/relationships/hyperlink" Target="https://interaktiv.tagesspiegel.de/lab/wie-die-coronakrise-den-arbeitsmarkt-getroffen-hat/" TargetMode="Externa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s="13" t="s">
        <v>339</v>
      </c>
      <c r="AF2" s="13" t="s">
        <v>340</v>
      </c>
      <c r="AG2" s="13" t="s">
        <v>341</v>
      </c>
      <c r="AH2" s="13" t="s">
        <v>342</v>
      </c>
      <c r="AI2" s="13" t="s">
        <v>343</v>
      </c>
      <c r="AJ2" s="13" t="s">
        <v>344</v>
      </c>
      <c r="AK2" s="13" t="s">
        <v>345</v>
      </c>
      <c r="AL2" s="13" t="s">
        <v>346</v>
      </c>
      <c r="AM2" s="13" t="s">
        <v>347</v>
      </c>
      <c r="AN2" s="13" t="s">
        <v>348</v>
      </c>
      <c r="AO2" s="13" t="s">
        <v>349</v>
      </c>
      <c r="AP2" s="13" t="s">
        <v>350</v>
      </c>
      <c r="AQ2" s="13" t="s">
        <v>351</v>
      </c>
      <c r="AR2" s="13" t="s">
        <v>352</v>
      </c>
      <c r="AS2" s="13" t="s">
        <v>353</v>
      </c>
      <c r="AT2" s="13" t="s">
        <v>354</v>
      </c>
      <c r="AU2" s="13" t="s">
        <v>355</v>
      </c>
      <c r="AV2" s="13" t="s">
        <v>356</v>
      </c>
      <c r="AW2" s="13" t="s">
        <v>357</v>
      </c>
      <c r="AX2" s="13" t="s">
        <v>358</v>
      </c>
      <c r="AY2" s="13" t="s">
        <v>359</v>
      </c>
      <c r="AZ2" s="13" t="s">
        <v>360</v>
      </c>
      <c r="BA2" s="13" t="s">
        <v>361</v>
      </c>
      <c r="BB2" s="13" t="s">
        <v>362</v>
      </c>
      <c r="BC2" t="s">
        <v>2226</v>
      </c>
      <c r="BD2" s="13" t="s">
        <v>2259</v>
      </c>
      <c r="BE2" s="13" t="s">
        <v>2260</v>
      </c>
      <c r="BF2" s="52" t="s">
        <v>2678</v>
      </c>
      <c r="BG2" s="52" t="s">
        <v>2679</v>
      </c>
      <c r="BH2" s="52" t="s">
        <v>2680</v>
      </c>
      <c r="BI2" s="52" t="s">
        <v>2681</v>
      </c>
      <c r="BJ2" s="52" t="s">
        <v>2682</v>
      </c>
      <c r="BK2" s="52" t="s">
        <v>2683</v>
      </c>
      <c r="BL2" s="52" t="s">
        <v>2684</v>
      </c>
      <c r="BM2" s="52" t="s">
        <v>2685</v>
      </c>
      <c r="BN2" s="52" t="s">
        <v>2686</v>
      </c>
    </row>
    <row r="3" spans="1:66" ht="15" customHeight="1">
      <c r="A3" s="66" t="s">
        <v>518</v>
      </c>
      <c r="B3" s="66" t="s">
        <v>497</v>
      </c>
      <c r="C3" s="67" t="s">
        <v>3149</v>
      </c>
      <c r="D3" s="68">
        <v>4</v>
      </c>
      <c r="E3" s="69" t="s">
        <v>132</v>
      </c>
      <c r="F3" s="70">
        <v>30</v>
      </c>
      <c r="G3" s="67"/>
      <c r="H3" s="71"/>
      <c r="I3" s="72"/>
      <c r="J3" s="72"/>
      <c r="K3" s="34" t="s">
        <v>65</v>
      </c>
      <c r="L3" s="73">
        <v>3</v>
      </c>
      <c r="M3" s="73"/>
      <c r="N3" s="74"/>
      <c r="O3" s="80" t="s">
        <v>586</v>
      </c>
      <c r="P3" s="82">
        <v>44004.26513888889</v>
      </c>
      <c r="Q3" s="80" t="s">
        <v>592</v>
      </c>
      <c r="R3" s="80"/>
      <c r="S3" s="80"/>
      <c r="T3" s="80" t="s">
        <v>698</v>
      </c>
      <c r="U3" s="80"/>
      <c r="V3" s="85" t="str">
        <f>HYPERLINK("http://pbs.twimg.com/profile_images/1103253061131292673/FMnT8x8x_normal.png")</f>
        <v>http://pbs.twimg.com/profile_images/1103253061131292673/FMnT8x8x_normal.png</v>
      </c>
      <c r="W3" s="82">
        <v>44004.26513888889</v>
      </c>
      <c r="X3" s="86">
        <v>44004</v>
      </c>
      <c r="Y3" s="88" t="s">
        <v>938</v>
      </c>
      <c r="Z3" s="85" t="str">
        <f>HYPERLINK("https://twitter.com/datavislisboa/status/1274950699428831232")</f>
        <v>https://twitter.com/datavislisboa/status/1274950699428831232</v>
      </c>
      <c r="AA3" s="80"/>
      <c r="AB3" s="80"/>
      <c r="AC3" s="88" t="s">
        <v>1148</v>
      </c>
      <c r="AD3" s="80"/>
      <c r="AE3" s="80" t="b">
        <v>0</v>
      </c>
      <c r="AF3" s="80">
        <v>0</v>
      </c>
      <c r="AG3" s="88" t="s">
        <v>1149</v>
      </c>
      <c r="AH3" s="80" t="b">
        <v>1</v>
      </c>
      <c r="AI3" s="80" t="s">
        <v>1150</v>
      </c>
      <c r="AJ3" s="80"/>
      <c r="AK3" s="88" t="s">
        <v>1160</v>
      </c>
      <c r="AL3" s="80" t="b">
        <v>0</v>
      </c>
      <c r="AM3" s="80">
        <v>7</v>
      </c>
      <c r="AN3" s="88" t="s">
        <v>1119</v>
      </c>
      <c r="AO3" s="80" t="s">
        <v>1165</v>
      </c>
      <c r="AP3" s="80" t="b">
        <v>0</v>
      </c>
      <c r="AQ3" s="88" t="s">
        <v>1119</v>
      </c>
      <c r="AR3" s="80" t="s">
        <v>325</v>
      </c>
      <c r="AS3" s="80">
        <v>0</v>
      </c>
      <c r="AT3" s="80">
        <v>0</v>
      </c>
      <c r="AU3" s="80"/>
      <c r="AV3" s="80"/>
      <c r="AW3" s="80"/>
      <c r="AX3" s="80"/>
      <c r="AY3" s="80"/>
      <c r="AZ3" s="80"/>
      <c r="BA3" s="80"/>
      <c r="BB3" s="80"/>
      <c r="BC3">
        <v>1</v>
      </c>
      <c r="BD3" s="80" t="str">
        <f>REPLACE(INDEX(GroupVertices[Group],MATCH(Edges[[#This Row],[Vertex 1]],GroupVertices[Vertex],0)),1,1,"")</f>
        <v>9</v>
      </c>
      <c r="BE3" s="80" t="str">
        <f>REPLACE(INDEX(GroupVertices[Group],MATCH(Edges[[#This Row],[Vertex 2]],GroupVertices[Vertex],0)),1,1,"")</f>
        <v>9</v>
      </c>
      <c r="BF3" s="48">
        <v>1</v>
      </c>
      <c r="BG3" s="49">
        <v>16.666666666666668</v>
      </c>
      <c r="BH3" s="48">
        <v>0</v>
      </c>
      <c r="BI3" s="49">
        <v>0</v>
      </c>
      <c r="BJ3" s="48">
        <v>0</v>
      </c>
      <c r="BK3" s="49">
        <v>0</v>
      </c>
      <c r="BL3" s="48">
        <v>5</v>
      </c>
      <c r="BM3" s="49">
        <v>83.33333333333333</v>
      </c>
      <c r="BN3" s="48">
        <v>6</v>
      </c>
    </row>
    <row r="4" spans="1:66" ht="15" customHeight="1">
      <c r="A4" s="66" t="s">
        <v>363</v>
      </c>
      <c r="B4" s="66" t="s">
        <v>370</v>
      </c>
      <c r="C4" s="67" t="s">
        <v>3149</v>
      </c>
      <c r="D4" s="68">
        <v>4</v>
      </c>
      <c r="E4" s="69" t="s">
        <v>132</v>
      </c>
      <c r="F4" s="70">
        <v>30</v>
      </c>
      <c r="G4" s="67"/>
      <c r="H4" s="71"/>
      <c r="I4" s="72"/>
      <c r="J4" s="72"/>
      <c r="K4" s="34" t="s">
        <v>65</v>
      </c>
      <c r="L4" s="79">
        <v>4</v>
      </c>
      <c r="M4" s="79"/>
      <c r="N4" s="74"/>
      <c r="O4" s="81" t="s">
        <v>586</v>
      </c>
      <c r="P4" s="83">
        <v>44004.32098379629</v>
      </c>
      <c r="Q4" s="81" t="s">
        <v>589</v>
      </c>
      <c r="R4" s="81"/>
      <c r="S4" s="81"/>
      <c r="T4" s="81" t="s">
        <v>693</v>
      </c>
      <c r="U4" s="81"/>
      <c r="V4" s="84" t="str">
        <f>HYPERLINK("http://pbs.twimg.com/profile_images/1247422970613526530/94grK6Rm_normal.jpg")</f>
        <v>http://pbs.twimg.com/profile_images/1247422970613526530/94grK6Rm_normal.jpg</v>
      </c>
      <c r="W4" s="83">
        <v>44004.32098379629</v>
      </c>
      <c r="X4" s="87">
        <v>44004</v>
      </c>
      <c r="Y4" s="89" t="s">
        <v>731</v>
      </c>
      <c r="Z4" s="84" t="str">
        <f>HYPERLINK("https://twitter.com/mijinkim33/status/1274970934990925825")</f>
        <v>https://twitter.com/mijinkim33/status/1274970934990925825</v>
      </c>
      <c r="AA4" s="81"/>
      <c r="AB4" s="81"/>
      <c r="AC4" s="89" t="s">
        <v>939</v>
      </c>
      <c r="AD4" s="81"/>
      <c r="AE4" s="81" t="b">
        <v>0</v>
      </c>
      <c r="AF4" s="81">
        <v>0</v>
      </c>
      <c r="AG4" s="89" t="s">
        <v>1149</v>
      </c>
      <c r="AH4" s="81" t="b">
        <v>0</v>
      </c>
      <c r="AI4" s="81" t="s">
        <v>1150</v>
      </c>
      <c r="AJ4" s="81"/>
      <c r="AK4" s="89" t="s">
        <v>1149</v>
      </c>
      <c r="AL4" s="81" t="b">
        <v>0</v>
      </c>
      <c r="AM4" s="81">
        <v>19</v>
      </c>
      <c r="AN4" s="89" t="s">
        <v>946</v>
      </c>
      <c r="AO4" s="81" t="s">
        <v>1165</v>
      </c>
      <c r="AP4" s="81" t="b">
        <v>0</v>
      </c>
      <c r="AQ4" s="89" t="s">
        <v>946</v>
      </c>
      <c r="AR4" s="81" t="s">
        <v>325</v>
      </c>
      <c r="AS4" s="81">
        <v>0</v>
      </c>
      <c r="AT4" s="81">
        <v>0</v>
      </c>
      <c r="AU4" s="81"/>
      <c r="AV4" s="81"/>
      <c r="AW4" s="81"/>
      <c r="AX4" s="81"/>
      <c r="AY4" s="81"/>
      <c r="AZ4" s="81"/>
      <c r="BA4" s="81"/>
      <c r="BB4" s="81"/>
      <c r="BC4">
        <v>1</v>
      </c>
      <c r="BD4" s="80" t="str">
        <f>REPLACE(INDEX(GroupVertices[Group],MATCH(Edges[[#This Row],[Vertex 1]],GroupVertices[Vertex],0)),1,1,"")</f>
        <v>6</v>
      </c>
      <c r="BE4" s="80" t="str">
        <f>REPLACE(INDEX(GroupVertices[Group],MATCH(Edges[[#This Row],[Vertex 2]],GroupVertices[Vertex],0)),1,1,"")</f>
        <v>6</v>
      </c>
      <c r="BF4" s="48">
        <v>2</v>
      </c>
      <c r="BG4" s="49">
        <v>5.714285714285714</v>
      </c>
      <c r="BH4" s="48">
        <v>0</v>
      </c>
      <c r="BI4" s="49">
        <v>0</v>
      </c>
      <c r="BJ4" s="48">
        <v>0</v>
      </c>
      <c r="BK4" s="49">
        <v>0</v>
      </c>
      <c r="BL4" s="48">
        <v>33</v>
      </c>
      <c r="BM4" s="49">
        <v>94.28571428571429</v>
      </c>
      <c r="BN4" s="48">
        <v>35</v>
      </c>
    </row>
    <row r="5" spans="1:66" ht="15">
      <c r="A5" s="66" t="s">
        <v>364</v>
      </c>
      <c r="B5" s="66" t="s">
        <v>370</v>
      </c>
      <c r="C5" s="67" t="s">
        <v>3149</v>
      </c>
      <c r="D5" s="68">
        <v>4</v>
      </c>
      <c r="E5" s="69" t="s">
        <v>132</v>
      </c>
      <c r="F5" s="70">
        <v>30</v>
      </c>
      <c r="G5" s="67"/>
      <c r="H5" s="71"/>
      <c r="I5" s="72"/>
      <c r="J5" s="72"/>
      <c r="K5" s="34" t="s">
        <v>65</v>
      </c>
      <c r="L5" s="79">
        <v>5</v>
      </c>
      <c r="M5" s="79"/>
      <c r="N5" s="74"/>
      <c r="O5" s="81" t="s">
        <v>586</v>
      </c>
      <c r="P5" s="83">
        <v>44004.32104166667</v>
      </c>
      <c r="Q5" s="81" t="s">
        <v>589</v>
      </c>
      <c r="R5" s="81"/>
      <c r="S5" s="81"/>
      <c r="T5" s="81" t="s">
        <v>693</v>
      </c>
      <c r="U5" s="81"/>
      <c r="V5" s="84" t="str">
        <f>HYPERLINK("http://pbs.twimg.com/profile_images/1266134298429517824/Gxv_xYd7_normal.jpg")</f>
        <v>http://pbs.twimg.com/profile_images/1266134298429517824/Gxv_xYd7_normal.jpg</v>
      </c>
      <c r="W5" s="83">
        <v>44004.32104166667</v>
      </c>
      <c r="X5" s="87">
        <v>44004</v>
      </c>
      <c r="Y5" s="89" t="s">
        <v>732</v>
      </c>
      <c r="Z5" s="84" t="str">
        <f>HYPERLINK("https://twitter.com/codegnuts/status/1274970956600049666")</f>
        <v>https://twitter.com/codegnuts/status/1274970956600049666</v>
      </c>
      <c r="AA5" s="81"/>
      <c r="AB5" s="81"/>
      <c r="AC5" s="89" t="s">
        <v>940</v>
      </c>
      <c r="AD5" s="81"/>
      <c r="AE5" s="81" t="b">
        <v>0</v>
      </c>
      <c r="AF5" s="81">
        <v>0</v>
      </c>
      <c r="AG5" s="89" t="s">
        <v>1149</v>
      </c>
      <c r="AH5" s="81" t="b">
        <v>0</v>
      </c>
      <c r="AI5" s="81" t="s">
        <v>1150</v>
      </c>
      <c r="AJ5" s="81"/>
      <c r="AK5" s="89" t="s">
        <v>1149</v>
      </c>
      <c r="AL5" s="81" t="b">
        <v>0</v>
      </c>
      <c r="AM5" s="81">
        <v>19</v>
      </c>
      <c r="AN5" s="89" t="s">
        <v>946</v>
      </c>
      <c r="AO5" s="81" t="s">
        <v>1166</v>
      </c>
      <c r="AP5" s="81" t="b">
        <v>0</v>
      </c>
      <c r="AQ5" s="89" t="s">
        <v>946</v>
      </c>
      <c r="AR5" s="81" t="s">
        <v>325</v>
      </c>
      <c r="AS5" s="81">
        <v>0</v>
      </c>
      <c r="AT5" s="81">
        <v>0</v>
      </c>
      <c r="AU5" s="81"/>
      <c r="AV5" s="81"/>
      <c r="AW5" s="81"/>
      <c r="AX5" s="81"/>
      <c r="AY5" s="81"/>
      <c r="AZ5" s="81"/>
      <c r="BA5" s="81"/>
      <c r="BB5" s="81"/>
      <c r="BC5">
        <v>1</v>
      </c>
      <c r="BD5" s="80" t="str">
        <f>REPLACE(INDEX(GroupVertices[Group],MATCH(Edges[[#This Row],[Vertex 1]],GroupVertices[Vertex],0)),1,1,"")</f>
        <v>6</v>
      </c>
      <c r="BE5" s="80" t="str">
        <f>REPLACE(INDEX(GroupVertices[Group],MATCH(Edges[[#This Row],[Vertex 2]],GroupVertices[Vertex],0)),1,1,"")</f>
        <v>6</v>
      </c>
      <c r="BF5" s="48">
        <v>2</v>
      </c>
      <c r="BG5" s="49">
        <v>5.714285714285714</v>
      </c>
      <c r="BH5" s="48">
        <v>0</v>
      </c>
      <c r="BI5" s="49">
        <v>0</v>
      </c>
      <c r="BJ5" s="48">
        <v>0</v>
      </c>
      <c r="BK5" s="49">
        <v>0</v>
      </c>
      <c r="BL5" s="48">
        <v>33</v>
      </c>
      <c r="BM5" s="49">
        <v>94.28571428571429</v>
      </c>
      <c r="BN5" s="48">
        <v>35</v>
      </c>
    </row>
    <row r="6" spans="1:66" ht="15">
      <c r="A6" s="66" t="s">
        <v>365</v>
      </c>
      <c r="B6" s="66" t="s">
        <v>370</v>
      </c>
      <c r="C6" s="67" t="s">
        <v>3149</v>
      </c>
      <c r="D6" s="68">
        <v>4</v>
      </c>
      <c r="E6" s="69" t="s">
        <v>132</v>
      </c>
      <c r="F6" s="70">
        <v>30</v>
      </c>
      <c r="G6" s="67"/>
      <c r="H6" s="71"/>
      <c r="I6" s="72"/>
      <c r="J6" s="72"/>
      <c r="K6" s="34" t="s">
        <v>65</v>
      </c>
      <c r="L6" s="79">
        <v>6</v>
      </c>
      <c r="M6" s="79"/>
      <c r="N6" s="74"/>
      <c r="O6" s="81" t="s">
        <v>586</v>
      </c>
      <c r="P6" s="83">
        <v>44004.32104166667</v>
      </c>
      <c r="Q6" s="81" t="s">
        <v>589</v>
      </c>
      <c r="R6" s="81"/>
      <c r="S6" s="81"/>
      <c r="T6" s="81" t="s">
        <v>693</v>
      </c>
      <c r="U6" s="81"/>
      <c r="V6" s="84" t="str">
        <f>HYPERLINK("http://pbs.twimg.com/profile_images/1272605555497078785/WLzdWQ-o_normal.jpg")</f>
        <v>http://pbs.twimg.com/profile_images/1272605555497078785/WLzdWQ-o_normal.jpg</v>
      </c>
      <c r="W6" s="83">
        <v>44004.32104166667</v>
      </c>
      <c r="X6" s="87">
        <v>44004</v>
      </c>
      <c r="Y6" s="89" t="s">
        <v>732</v>
      </c>
      <c r="Z6" s="84" t="str">
        <f>HYPERLINK("https://twitter.com/nodequotesbot/status/1274970956683935744")</f>
        <v>https://twitter.com/nodequotesbot/status/1274970956683935744</v>
      </c>
      <c r="AA6" s="81"/>
      <c r="AB6" s="81"/>
      <c r="AC6" s="89" t="s">
        <v>941</v>
      </c>
      <c r="AD6" s="81"/>
      <c r="AE6" s="81" t="b">
        <v>0</v>
      </c>
      <c r="AF6" s="81">
        <v>0</v>
      </c>
      <c r="AG6" s="89" t="s">
        <v>1149</v>
      </c>
      <c r="AH6" s="81" t="b">
        <v>0</v>
      </c>
      <c r="AI6" s="81" t="s">
        <v>1150</v>
      </c>
      <c r="AJ6" s="81"/>
      <c r="AK6" s="89" t="s">
        <v>1149</v>
      </c>
      <c r="AL6" s="81" t="b">
        <v>0</v>
      </c>
      <c r="AM6" s="81">
        <v>19</v>
      </c>
      <c r="AN6" s="89" t="s">
        <v>946</v>
      </c>
      <c r="AO6" s="81" t="s">
        <v>1167</v>
      </c>
      <c r="AP6" s="81" t="b">
        <v>0</v>
      </c>
      <c r="AQ6" s="89" t="s">
        <v>946</v>
      </c>
      <c r="AR6" s="81" t="s">
        <v>325</v>
      </c>
      <c r="AS6" s="81">
        <v>0</v>
      </c>
      <c r="AT6" s="81">
        <v>0</v>
      </c>
      <c r="AU6" s="81"/>
      <c r="AV6" s="81"/>
      <c r="AW6" s="81"/>
      <c r="AX6" s="81"/>
      <c r="AY6" s="81"/>
      <c r="AZ6" s="81"/>
      <c r="BA6" s="81"/>
      <c r="BB6" s="81"/>
      <c r="BC6">
        <v>1</v>
      </c>
      <c r="BD6" s="80" t="str">
        <f>REPLACE(INDEX(GroupVertices[Group],MATCH(Edges[[#This Row],[Vertex 1]],GroupVertices[Vertex],0)),1,1,"")</f>
        <v>6</v>
      </c>
      <c r="BE6" s="80" t="str">
        <f>REPLACE(INDEX(GroupVertices[Group],MATCH(Edges[[#This Row],[Vertex 2]],GroupVertices[Vertex],0)),1,1,"")</f>
        <v>6</v>
      </c>
      <c r="BF6" s="48">
        <v>2</v>
      </c>
      <c r="BG6" s="49">
        <v>5.714285714285714</v>
      </c>
      <c r="BH6" s="48">
        <v>0</v>
      </c>
      <c r="BI6" s="49">
        <v>0</v>
      </c>
      <c r="BJ6" s="48">
        <v>0</v>
      </c>
      <c r="BK6" s="49">
        <v>0</v>
      </c>
      <c r="BL6" s="48">
        <v>33</v>
      </c>
      <c r="BM6" s="49">
        <v>94.28571428571429</v>
      </c>
      <c r="BN6" s="48">
        <v>35</v>
      </c>
    </row>
    <row r="7" spans="1:66" ht="15">
      <c r="A7" s="66" t="s">
        <v>366</v>
      </c>
      <c r="B7" s="66" t="s">
        <v>370</v>
      </c>
      <c r="C7" s="67" t="s">
        <v>3149</v>
      </c>
      <c r="D7" s="68">
        <v>4</v>
      </c>
      <c r="E7" s="69" t="s">
        <v>132</v>
      </c>
      <c r="F7" s="70">
        <v>30</v>
      </c>
      <c r="G7" s="67"/>
      <c r="H7" s="71"/>
      <c r="I7" s="72"/>
      <c r="J7" s="72"/>
      <c r="K7" s="34" t="s">
        <v>65</v>
      </c>
      <c r="L7" s="79">
        <v>7</v>
      </c>
      <c r="M7" s="79"/>
      <c r="N7" s="74"/>
      <c r="O7" s="81" t="s">
        <v>586</v>
      </c>
      <c r="P7" s="83">
        <v>44004.321064814816</v>
      </c>
      <c r="Q7" s="81" t="s">
        <v>589</v>
      </c>
      <c r="R7" s="81"/>
      <c r="S7" s="81"/>
      <c r="T7" s="81" t="s">
        <v>693</v>
      </c>
      <c r="U7" s="81"/>
      <c r="V7" s="84" t="str">
        <f>HYPERLINK("http://pbs.twimg.com/profile_images/1263711283196633089/mckc1xGI_normal.jpg")</f>
        <v>http://pbs.twimg.com/profile_images/1263711283196633089/mckc1xGI_normal.jpg</v>
      </c>
      <c r="W7" s="83">
        <v>44004.321064814816</v>
      </c>
      <c r="X7" s="87">
        <v>44004</v>
      </c>
      <c r="Y7" s="89" t="s">
        <v>733</v>
      </c>
      <c r="Z7" s="84" t="str">
        <f>HYPERLINK("https://twitter.com/theinfernobot/status/1274970965332672514")</f>
        <v>https://twitter.com/theinfernobot/status/1274970965332672514</v>
      </c>
      <c r="AA7" s="81"/>
      <c r="AB7" s="81"/>
      <c r="AC7" s="89" t="s">
        <v>942</v>
      </c>
      <c r="AD7" s="81"/>
      <c r="AE7" s="81" t="b">
        <v>0</v>
      </c>
      <c r="AF7" s="81">
        <v>0</v>
      </c>
      <c r="AG7" s="89" t="s">
        <v>1149</v>
      </c>
      <c r="AH7" s="81" t="b">
        <v>0</v>
      </c>
      <c r="AI7" s="81" t="s">
        <v>1150</v>
      </c>
      <c r="AJ7" s="81"/>
      <c r="AK7" s="89" t="s">
        <v>1149</v>
      </c>
      <c r="AL7" s="81" t="b">
        <v>0</v>
      </c>
      <c r="AM7" s="81">
        <v>19</v>
      </c>
      <c r="AN7" s="89" t="s">
        <v>946</v>
      </c>
      <c r="AO7" s="81" t="s">
        <v>1168</v>
      </c>
      <c r="AP7" s="81" t="b">
        <v>0</v>
      </c>
      <c r="AQ7" s="89" t="s">
        <v>946</v>
      </c>
      <c r="AR7" s="81" t="s">
        <v>325</v>
      </c>
      <c r="AS7" s="81">
        <v>0</v>
      </c>
      <c r="AT7" s="81">
        <v>0</v>
      </c>
      <c r="AU7" s="81"/>
      <c r="AV7" s="81"/>
      <c r="AW7" s="81"/>
      <c r="AX7" s="81"/>
      <c r="AY7" s="81"/>
      <c r="AZ7" s="81"/>
      <c r="BA7" s="81"/>
      <c r="BB7" s="81"/>
      <c r="BC7">
        <v>1</v>
      </c>
      <c r="BD7" s="80" t="str">
        <f>REPLACE(INDEX(GroupVertices[Group],MATCH(Edges[[#This Row],[Vertex 1]],GroupVertices[Vertex],0)),1,1,"")</f>
        <v>6</v>
      </c>
      <c r="BE7" s="80" t="str">
        <f>REPLACE(INDEX(GroupVertices[Group],MATCH(Edges[[#This Row],[Vertex 2]],GroupVertices[Vertex],0)),1,1,"")</f>
        <v>6</v>
      </c>
      <c r="BF7" s="48">
        <v>2</v>
      </c>
      <c r="BG7" s="49">
        <v>5.714285714285714</v>
      </c>
      <c r="BH7" s="48">
        <v>0</v>
      </c>
      <c r="BI7" s="49">
        <v>0</v>
      </c>
      <c r="BJ7" s="48">
        <v>0</v>
      </c>
      <c r="BK7" s="49">
        <v>0</v>
      </c>
      <c r="BL7" s="48">
        <v>33</v>
      </c>
      <c r="BM7" s="49">
        <v>94.28571428571429</v>
      </c>
      <c r="BN7" s="48">
        <v>35</v>
      </c>
    </row>
    <row r="8" spans="1:66" ht="15">
      <c r="A8" s="66" t="s">
        <v>367</v>
      </c>
      <c r="B8" s="66" t="s">
        <v>370</v>
      </c>
      <c r="C8" s="67" t="s">
        <v>3149</v>
      </c>
      <c r="D8" s="68">
        <v>4</v>
      </c>
      <c r="E8" s="69" t="s">
        <v>132</v>
      </c>
      <c r="F8" s="70">
        <v>30</v>
      </c>
      <c r="G8" s="67"/>
      <c r="H8" s="71"/>
      <c r="I8" s="72"/>
      <c r="J8" s="72"/>
      <c r="K8" s="34" t="s">
        <v>65</v>
      </c>
      <c r="L8" s="79">
        <v>8</v>
      </c>
      <c r="M8" s="79"/>
      <c r="N8" s="74"/>
      <c r="O8" s="81" t="s">
        <v>586</v>
      </c>
      <c r="P8" s="83">
        <v>44004.3225</v>
      </c>
      <c r="Q8" s="81" t="s">
        <v>589</v>
      </c>
      <c r="R8" s="81"/>
      <c r="S8" s="81"/>
      <c r="T8" s="81" t="s">
        <v>693</v>
      </c>
      <c r="U8" s="81"/>
      <c r="V8" s="84" t="str">
        <f>HYPERLINK("http://pbs.twimg.com/profile_images/1039966314960437248/yKL_4LvX_normal.jpg")</f>
        <v>http://pbs.twimg.com/profile_images/1039966314960437248/yKL_4LvX_normal.jpg</v>
      </c>
      <c r="W8" s="83">
        <v>44004.3225</v>
      </c>
      <c r="X8" s="87">
        <v>44004</v>
      </c>
      <c r="Y8" s="89" t="s">
        <v>734</v>
      </c>
      <c r="Z8" s="84" t="str">
        <f>HYPERLINK("https://twitter.com/markj_ohnson/status/1274971486420336643")</f>
        <v>https://twitter.com/markj_ohnson/status/1274971486420336643</v>
      </c>
      <c r="AA8" s="81"/>
      <c r="AB8" s="81"/>
      <c r="AC8" s="89" t="s">
        <v>943</v>
      </c>
      <c r="AD8" s="81"/>
      <c r="AE8" s="81" t="b">
        <v>0</v>
      </c>
      <c r="AF8" s="81">
        <v>0</v>
      </c>
      <c r="AG8" s="89" t="s">
        <v>1149</v>
      </c>
      <c r="AH8" s="81" t="b">
        <v>0</v>
      </c>
      <c r="AI8" s="81" t="s">
        <v>1150</v>
      </c>
      <c r="AJ8" s="81"/>
      <c r="AK8" s="89" t="s">
        <v>1149</v>
      </c>
      <c r="AL8" s="81" t="b">
        <v>0</v>
      </c>
      <c r="AM8" s="81">
        <v>19</v>
      </c>
      <c r="AN8" s="89" t="s">
        <v>946</v>
      </c>
      <c r="AO8" s="81" t="s">
        <v>1169</v>
      </c>
      <c r="AP8" s="81" t="b">
        <v>0</v>
      </c>
      <c r="AQ8" s="89" t="s">
        <v>946</v>
      </c>
      <c r="AR8" s="81" t="s">
        <v>325</v>
      </c>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8">
        <v>2</v>
      </c>
      <c r="BG8" s="49">
        <v>5.714285714285714</v>
      </c>
      <c r="BH8" s="48">
        <v>0</v>
      </c>
      <c r="BI8" s="49">
        <v>0</v>
      </c>
      <c r="BJ8" s="48">
        <v>0</v>
      </c>
      <c r="BK8" s="49">
        <v>0</v>
      </c>
      <c r="BL8" s="48">
        <v>33</v>
      </c>
      <c r="BM8" s="49">
        <v>94.28571428571429</v>
      </c>
      <c r="BN8" s="48">
        <v>35</v>
      </c>
    </row>
    <row r="9" spans="1:66" ht="15">
      <c r="A9" s="66" t="s">
        <v>368</v>
      </c>
      <c r="B9" s="66" t="s">
        <v>370</v>
      </c>
      <c r="C9" s="67" t="s">
        <v>3149</v>
      </c>
      <c r="D9" s="68">
        <v>4</v>
      </c>
      <c r="E9" s="69" t="s">
        <v>132</v>
      </c>
      <c r="F9" s="70">
        <v>30</v>
      </c>
      <c r="G9" s="67"/>
      <c r="H9" s="71"/>
      <c r="I9" s="72"/>
      <c r="J9" s="72"/>
      <c r="K9" s="34" t="s">
        <v>65</v>
      </c>
      <c r="L9" s="79">
        <v>9</v>
      </c>
      <c r="M9" s="79"/>
      <c r="N9" s="74"/>
      <c r="O9" s="81" t="s">
        <v>586</v>
      </c>
      <c r="P9" s="83">
        <v>44004.33325231481</v>
      </c>
      <c r="Q9" s="81" t="s">
        <v>589</v>
      </c>
      <c r="R9" s="81"/>
      <c r="S9" s="81"/>
      <c r="T9" s="81" t="s">
        <v>693</v>
      </c>
      <c r="U9" s="81"/>
      <c r="V9" s="84" t="str">
        <f>HYPERLINK("http://pbs.twimg.com/profile_images/1031997097690759170/psuwWLYh_normal.jpg")</f>
        <v>http://pbs.twimg.com/profile_images/1031997097690759170/psuwWLYh_normal.jpg</v>
      </c>
      <c r="W9" s="83">
        <v>44004.33325231481</v>
      </c>
      <c r="X9" s="87">
        <v>44004</v>
      </c>
      <c r="Y9" s="89" t="s">
        <v>735</v>
      </c>
      <c r="Z9" s="84" t="str">
        <f>HYPERLINK("https://twitter.com/digitalsphere33/status/1274975382123536384")</f>
        <v>https://twitter.com/digitalsphere33/status/1274975382123536384</v>
      </c>
      <c r="AA9" s="81"/>
      <c r="AB9" s="81"/>
      <c r="AC9" s="89" t="s">
        <v>944</v>
      </c>
      <c r="AD9" s="81"/>
      <c r="AE9" s="81" t="b">
        <v>0</v>
      </c>
      <c r="AF9" s="81">
        <v>0</v>
      </c>
      <c r="AG9" s="89" t="s">
        <v>1149</v>
      </c>
      <c r="AH9" s="81" t="b">
        <v>0</v>
      </c>
      <c r="AI9" s="81" t="s">
        <v>1150</v>
      </c>
      <c r="AJ9" s="81"/>
      <c r="AK9" s="89" t="s">
        <v>1149</v>
      </c>
      <c r="AL9" s="81" t="b">
        <v>0</v>
      </c>
      <c r="AM9" s="81">
        <v>19</v>
      </c>
      <c r="AN9" s="89" t="s">
        <v>946</v>
      </c>
      <c r="AO9" s="81" t="s">
        <v>1170</v>
      </c>
      <c r="AP9" s="81" t="b">
        <v>0</v>
      </c>
      <c r="AQ9" s="89" t="s">
        <v>946</v>
      </c>
      <c r="AR9" s="81" t="s">
        <v>325</v>
      </c>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6</v>
      </c>
      <c r="BF9" s="48">
        <v>2</v>
      </c>
      <c r="BG9" s="49">
        <v>5.714285714285714</v>
      </c>
      <c r="BH9" s="48">
        <v>0</v>
      </c>
      <c r="BI9" s="49">
        <v>0</v>
      </c>
      <c r="BJ9" s="48">
        <v>0</v>
      </c>
      <c r="BK9" s="49">
        <v>0</v>
      </c>
      <c r="BL9" s="48">
        <v>33</v>
      </c>
      <c r="BM9" s="49">
        <v>94.28571428571429</v>
      </c>
      <c r="BN9" s="48">
        <v>35</v>
      </c>
    </row>
    <row r="10" spans="1:66" ht="15">
      <c r="A10" s="66" t="s">
        <v>369</v>
      </c>
      <c r="B10" s="66" t="s">
        <v>370</v>
      </c>
      <c r="C10" s="67" t="s">
        <v>3149</v>
      </c>
      <c r="D10" s="68">
        <v>4</v>
      </c>
      <c r="E10" s="69" t="s">
        <v>132</v>
      </c>
      <c r="F10" s="70">
        <v>30</v>
      </c>
      <c r="G10" s="67"/>
      <c r="H10" s="71"/>
      <c r="I10" s="72"/>
      <c r="J10" s="72"/>
      <c r="K10" s="34" t="s">
        <v>65</v>
      </c>
      <c r="L10" s="79">
        <v>10</v>
      </c>
      <c r="M10" s="79"/>
      <c r="N10" s="74"/>
      <c r="O10" s="81" t="s">
        <v>586</v>
      </c>
      <c r="P10" s="83">
        <v>44004.333287037036</v>
      </c>
      <c r="Q10" s="81" t="s">
        <v>589</v>
      </c>
      <c r="R10" s="81"/>
      <c r="S10" s="81"/>
      <c r="T10" s="81" t="s">
        <v>693</v>
      </c>
      <c r="U10" s="81"/>
      <c r="V10" s="84" t="str">
        <f>HYPERLINK("http://pbs.twimg.com/profile_images/885513954818220033/gf3Ci4dO_normal.jpg")</f>
        <v>http://pbs.twimg.com/profile_images/885513954818220033/gf3Ci4dO_normal.jpg</v>
      </c>
      <c r="W10" s="83">
        <v>44004.333287037036</v>
      </c>
      <c r="X10" s="87">
        <v>44004</v>
      </c>
      <c r="Y10" s="89" t="s">
        <v>736</v>
      </c>
      <c r="Z10" s="84" t="str">
        <f>HYPERLINK("https://twitter.com/taieb_bot/status/1274975393179721732")</f>
        <v>https://twitter.com/taieb_bot/status/1274975393179721732</v>
      </c>
      <c r="AA10" s="81"/>
      <c r="AB10" s="81"/>
      <c r="AC10" s="89" t="s">
        <v>945</v>
      </c>
      <c r="AD10" s="81"/>
      <c r="AE10" s="81" t="b">
        <v>0</v>
      </c>
      <c r="AF10" s="81">
        <v>0</v>
      </c>
      <c r="AG10" s="89" t="s">
        <v>1149</v>
      </c>
      <c r="AH10" s="81" t="b">
        <v>0</v>
      </c>
      <c r="AI10" s="81" t="s">
        <v>1150</v>
      </c>
      <c r="AJ10" s="81"/>
      <c r="AK10" s="89" t="s">
        <v>1149</v>
      </c>
      <c r="AL10" s="81" t="b">
        <v>0</v>
      </c>
      <c r="AM10" s="81">
        <v>19</v>
      </c>
      <c r="AN10" s="89" t="s">
        <v>946</v>
      </c>
      <c r="AO10" s="81" t="s">
        <v>1171</v>
      </c>
      <c r="AP10" s="81" t="b">
        <v>0</v>
      </c>
      <c r="AQ10" s="89" t="s">
        <v>946</v>
      </c>
      <c r="AR10" s="81" t="s">
        <v>325</v>
      </c>
      <c r="AS10" s="81">
        <v>0</v>
      </c>
      <c r="AT10" s="81">
        <v>0</v>
      </c>
      <c r="AU10" s="81"/>
      <c r="AV10" s="81"/>
      <c r="AW10" s="81"/>
      <c r="AX10" s="81"/>
      <c r="AY10" s="81"/>
      <c r="AZ10" s="81"/>
      <c r="BA10" s="81"/>
      <c r="BB10" s="81"/>
      <c r="BC10">
        <v>1</v>
      </c>
      <c r="BD10" s="80" t="str">
        <f>REPLACE(INDEX(GroupVertices[Group],MATCH(Edges[[#This Row],[Vertex 1]],GroupVertices[Vertex],0)),1,1,"")</f>
        <v>6</v>
      </c>
      <c r="BE10" s="80" t="str">
        <f>REPLACE(INDEX(GroupVertices[Group],MATCH(Edges[[#This Row],[Vertex 2]],GroupVertices[Vertex],0)),1,1,"")</f>
        <v>6</v>
      </c>
      <c r="BF10" s="48">
        <v>2</v>
      </c>
      <c r="BG10" s="49">
        <v>5.714285714285714</v>
      </c>
      <c r="BH10" s="48">
        <v>0</v>
      </c>
      <c r="BI10" s="49">
        <v>0</v>
      </c>
      <c r="BJ10" s="48">
        <v>0</v>
      </c>
      <c r="BK10" s="49">
        <v>0</v>
      </c>
      <c r="BL10" s="48">
        <v>33</v>
      </c>
      <c r="BM10" s="49">
        <v>94.28571428571429</v>
      </c>
      <c r="BN10" s="48">
        <v>35</v>
      </c>
    </row>
    <row r="11" spans="1:66" ht="15">
      <c r="A11" s="66" t="s">
        <v>370</v>
      </c>
      <c r="B11" s="66" t="s">
        <v>370</v>
      </c>
      <c r="C11" s="67" t="s">
        <v>3149</v>
      </c>
      <c r="D11" s="68">
        <v>4</v>
      </c>
      <c r="E11" s="69" t="s">
        <v>132</v>
      </c>
      <c r="F11" s="70">
        <v>30</v>
      </c>
      <c r="G11" s="67"/>
      <c r="H11" s="71"/>
      <c r="I11" s="72"/>
      <c r="J11" s="72"/>
      <c r="K11" s="34" t="s">
        <v>65</v>
      </c>
      <c r="L11" s="79">
        <v>11</v>
      </c>
      <c r="M11" s="79"/>
      <c r="N11" s="74"/>
      <c r="O11" s="81" t="s">
        <v>325</v>
      </c>
      <c r="P11" s="83">
        <v>43984.60234953704</v>
      </c>
      <c r="Q11" s="81" t="s">
        <v>589</v>
      </c>
      <c r="R11" s="81"/>
      <c r="S11" s="81"/>
      <c r="T11" s="81" t="s">
        <v>694</v>
      </c>
      <c r="U11" s="84" t="str">
        <f>HYPERLINK("https://pbs.twimg.com/tweet_video_thumb/EZg4PaVUMAINhAm.jpg")</f>
        <v>https://pbs.twimg.com/tweet_video_thumb/EZg4PaVUMAINhAm.jpg</v>
      </c>
      <c r="V11" s="84" t="str">
        <f>HYPERLINK("https://pbs.twimg.com/tweet_video_thumb/EZg4PaVUMAINhAm.jpg")</f>
        <v>https://pbs.twimg.com/tweet_video_thumb/EZg4PaVUMAINhAm.jpg</v>
      </c>
      <c r="W11" s="83">
        <v>43984.60234953704</v>
      </c>
      <c r="X11" s="87">
        <v>43984</v>
      </c>
      <c r="Y11" s="89" t="s">
        <v>737</v>
      </c>
      <c r="Z11" s="84" t="str">
        <f>HYPERLINK("https://twitter.com/e2d3org/status/1267825141666312192")</f>
        <v>https://twitter.com/e2d3org/status/1267825141666312192</v>
      </c>
      <c r="AA11" s="81"/>
      <c r="AB11" s="81"/>
      <c r="AC11" s="89" t="s">
        <v>946</v>
      </c>
      <c r="AD11" s="81"/>
      <c r="AE11" s="81" t="b">
        <v>0</v>
      </c>
      <c r="AF11" s="81">
        <v>10</v>
      </c>
      <c r="AG11" s="89" t="s">
        <v>1149</v>
      </c>
      <c r="AH11" s="81" t="b">
        <v>0</v>
      </c>
      <c r="AI11" s="81" t="s">
        <v>1150</v>
      </c>
      <c r="AJ11" s="81"/>
      <c r="AK11" s="89" t="s">
        <v>1149</v>
      </c>
      <c r="AL11" s="81" t="b">
        <v>0</v>
      </c>
      <c r="AM11" s="81">
        <v>19</v>
      </c>
      <c r="AN11" s="89" t="s">
        <v>1149</v>
      </c>
      <c r="AO11" s="81" t="s">
        <v>1172</v>
      </c>
      <c r="AP11" s="81" t="b">
        <v>0</v>
      </c>
      <c r="AQ11" s="89" t="s">
        <v>946</v>
      </c>
      <c r="AR11" s="81" t="s">
        <v>586</v>
      </c>
      <c r="AS11" s="81">
        <v>0</v>
      </c>
      <c r="AT11" s="81">
        <v>0</v>
      </c>
      <c r="AU11" s="81"/>
      <c r="AV11" s="81"/>
      <c r="AW11" s="81"/>
      <c r="AX11" s="81"/>
      <c r="AY11" s="81"/>
      <c r="AZ11" s="81"/>
      <c r="BA11" s="81"/>
      <c r="BB11" s="81"/>
      <c r="BC11">
        <v>1</v>
      </c>
      <c r="BD11" s="80" t="str">
        <f>REPLACE(INDEX(GroupVertices[Group],MATCH(Edges[[#This Row],[Vertex 1]],GroupVertices[Vertex],0)),1,1,"")</f>
        <v>6</v>
      </c>
      <c r="BE11" s="80" t="str">
        <f>REPLACE(INDEX(GroupVertices[Group],MATCH(Edges[[#This Row],[Vertex 2]],GroupVertices[Vertex],0)),1,1,"")</f>
        <v>6</v>
      </c>
      <c r="BF11" s="48">
        <v>2</v>
      </c>
      <c r="BG11" s="49">
        <v>5.714285714285714</v>
      </c>
      <c r="BH11" s="48">
        <v>0</v>
      </c>
      <c r="BI11" s="49">
        <v>0</v>
      </c>
      <c r="BJ11" s="48">
        <v>0</v>
      </c>
      <c r="BK11" s="49">
        <v>0</v>
      </c>
      <c r="BL11" s="48">
        <v>33</v>
      </c>
      <c r="BM11" s="49">
        <v>94.28571428571429</v>
      </c>
      <c r="BN11" s="48">
        <v>35</v>
      </c>
    </row>
    <row r="12" spans="1:66" ht="15">
      <c r="A12" s="66" t="s">
        <v>371</v>
      </c>
      <c r="B12" s="66" t="s">
        <v>370</v>
      </c>
      <c r="C12" s="67" t="s">
        <v>3149</v>
      </c>
      <c r="D12" s="68">
        <v>4</v>
      </c>
      <c r="E12" s="69" t="s">
        <v>132</v>
      </c>
      <c r="F12" s="70">
        <v>30</v>
      </c>
      <c r="G12" s="67"/>
      <c r="H12" s="71"/>
      <c r="I12" s="72"/>
      <c r="J12" s="72"/>
      <c r="K12" s="34" t="s">
        <v>65</v>
      </c>
      <c r="L12" s="79">
        <v>12</v>
      </c>
      <c r="M12" s="79"/>
      <c r="N12" s="74"/>
      <c r="O12" s="81" t="s">
        <v>586</v>
      </c>
      <c r="P12" s="83">
        <v>44004.343356481484</v>
      </c>
      <c r="Q12" s="81" t="s">
        <v>589</v>
      </c>
      <c r="R12" s="81"/>
      <c r="S12" s="81"/>
      <c r="T12" s="81" t="s">
        <v>693</v>
      </c>
      <c r="U12" s="81"/>
      <c r="V12" s="84" t="str">
        <f>HYPERLINK("http://pbs.twimg.com/profile_images/1200295317385564161/97PctBj3_normal.jpg")</f>
        <v>http://pbs.twimg.com/profile_images/1200295317385564161/97PctBj3_normal.jpg</v>
      </c>
      <c r="W12" s="83">
        <v>44004.343356481484</v>
      </c>
      <c r="X12" s="87">
        <v>44004</v>
      </c>
      <c r="Y12" s="89" t="s">
        <v>738</v>
      </c>
      <c r="Z12" s="84" t="str">
        <f>HYPERLINK("https://twitter.com/dashboarddr/status/1274979044358938624")</f>
        <v>https://twitter.com/dashboarddr/status/1274979044358938624</v>
      </c>
      <c r="AA12" s="81"/>
      <c r="AB12" s="81"/>
      <c r="AC12" s="89" t="s">
        <v>947</v>
      </c>
      <c r="AD12" s="81"/>
      <c r="AE12" s="81" t="b">
        <v>0</v>
      </c>
      <c r="AF12" s="81">
        <v>0</v>
      </c>
      <c r="AG12" s="89" t="s">
        <v>1149</v>
      </c>
      <c r="AH12" s="81" t="b">
        <v>0</v>
      </c>
      <c r="AI12" s="81" t="s">
        <v>1150</v>
      </c>
      <c r="AJ12" s="81"/>
      <c r="AK12" s="89" t="s">
        <v>1149</v>
      </c>
      <c r="AL12" s="81" t="b">
        <v>0</v>
      </c>
      <c r="AM12" s="81">
        <v>19</v>
      </c>
      <c r="AN12" s="89" t="s">
        <v>946</v>
      </c>
      <c r="AO12" s="81" t="s">
        <v>1173</v>
      </c>
      <c r="AP12" s="81" t="b">
        <v>0</v>
      </c>
      <c r="AQ12" s="89" t="s">
        <v>946</v>
      </c>
      <c r="AR12" s="81" t="s">
        <v>325</v>
      </c>
      <c r="AS12" s="81">
        <v>0</v>
      </c>
      <c r="AT12" s="81">
        <v>0</v>
      </c>
      <c r="AU12" s="81"/>
      <c r="AV12" s="81"/>
      <c r="AW12" s="81"/>
      <c r="AX12" s="81"/>
      <c r="AY12" s="81"/>
      <c r="AZ12" s="81"/>
      <c r="BA12" s="81"/>
      <c r="BB12" s="81"/>
      <c r="BC12">
        <v>1</v>
      </c>
      <c r="BD12" s="80" t="str">
        <f>REPLACE(INDEX(GroupVertices[Group],MATCH(Edges[[#This Row],[Vertex 1]],GroupVertices[Vertex],0)),1,1,"")</f>
        <v>6</v>
      </c>
      <c r="BE12" s="80" t="str">
        <f>REPLACE(INDEX(GroupVertices[Group],MATCH(Edges[[#This Row],[Vertex 2]],GroupVertices[Vertex],0)),1,1,"")</f>
        <v>6</v>
      </c>
      <c r="BF12" s="48">
        <v>2</v>
      </c>
      <c r="BG12" s="49">
        <v>5.714285714285714</v>
      </c>
      <c r="BH12" s="48">
        <v>0</v>
      </c>
      <c r="BI12" s="49">
        <v>0</v>
      </c>
      <c r="BJ12" s="48">
        <v>0</v>
      </c>
      <c r="BK12" s="49">
        <v>0</v>
      </c>
      <c r="BL12" s="48">
        <v>33</v>
      </c>
      <c r="BM12" s="49">
        <v>94.28571428571429</v>
      </c>
      <c r="BN12" s="48">
        <v>35</v>
      </c>
    </row>
    <row r="13" spans="1:66" ht="15">
      <c r="A13" s="66" t="s">
        <v>372</v>
      </c>
      <c r="B13" s="66" t="s">
        <v>372</v>
      </c>
      <c r="C13" s="67" t="s">
        <v>3149</v>
      </c>
      <c r="D13" s="68">
        <v>4</v>
      </c>
      <c r="E13" s="69" t="s">
        <v>132</v>
      </c>
      <c r="F13" s="70">
        <v>30</v>
      </c>
      <c r="G13" s="67"/>
      <c r="H13" s="71"/>
      <c r="I13" s="72"/>
      <c r="J13" s="72"/>
      <c r="K13" s="34" t="s">
        <v>65</v>
      </c>
      <c r="L13" s="79">
        <v>13</v>
      </c>
      <c r="M13" s="79"/>
      <c r="N13" s="74"/>
      <c r="O13" s="81" t="s">
        <v>325</v>
      </c>
      <c r="P13" s="83">
        <v>44004.37778935185</v>
      </c>
      <c r="Q13" s="81" t="s">
        <v>590</v>
      </c>
      <c r="R13" s="84" t="str">
        <f>HYPERLINK("https://youtu.be/_tALUcBBeB0")</f>
        <v>https://youtu.be/_tALUcBBeB0</v>
      </c>
      <c r="S13" s="81" t="s">
        <v>675</v>
      </c>
      <c r="T13" s="81" t="s">
        <v>695</v>
      </c>
      <c r="U13" s="84" t="str">
        <f>HYPERLINK("https://pbs.twimg.com/media/EbGuCILX0AEjIl0.jpg")</f>
        <v>https://pbs.twimg.com/media/EbGuCILX0AEjIl0.jpg</v>
      </c>
      <c r="V13" s="84" t="str">
        <f>HYPERLINK("https://pbs.twimg.com/media/EbGuCILX0AEjIl0.jpg")</f>
        <v>https://pbs.twimg.com/media/EbGuCILX0AEjIl0.jpg</v>
      </c>
      <c r="W13" s="83">
        <v>44004.37778935185</v>
      </c>
      <c r="X13" s="87">
        <v>44004</v>
      </c>
      <c r="Y13" s="89" t="s">
        <v>739</v>
      </c>
      <c r="Z13" s="84" t="str">
        <f>HYPERLINK("https://twitter.com/gijnru/status/1274991522329571333")</f>
        <v>https://twitter.com/gijnru/status/1274991522329571333</v>
      </c>
      <c r="AA13" s="81"/>
      <c r="AB13" s="81"/>
      <c r="AC13" s="89" t="s">
        <v>948</v>
      </c>
      <c r="AD13" s="81"/>
      <c r="AE13" s="81" t="b">
        <v>0</v>
      </c>
      <c r="AF13" s="81">
        <v>2</v>
      </c>
      <c r="AG13" s="89" t="s">
        <v>1149</v>
      </c>
      <c r="AH13" s="81" t="b">
        <v>0</v>
      </c>
      <c r="AI13" s="81" t="s">
        <v>1151</v>
      </c>
      <c r="AJ13" s="81"/>
      <c r="AK13" s="89" t="s">
        <v>1149</v>
      </c>
      <c r="AL13" s="81" t="b">
        <v>0</v>
      </c>
      <c r="AM13" s="81">
        <v>0</v>
      </c>
      <c r="AN13" s="89" t="s">
        <v>1149</v>
      </c>
      <c r="AO13" s="81" t="s">
        <v>1174</v>
      </c>
      <c r="AP13" s="81" t="b">
        <v>0</v>
      </c>
      <c r="AQ13" s="89" t="s">
        <v>948</v>
      </c>
      <c r="AR13" s="81" t="s">
        <v>325</v>
      </c>
      <c r="AS13" s="81">
        <v>0</v>
      </c>
      <c r="AT13" s="81">
        <v>0</v>
      </c>
      <c r="AU13" s="81"/>
      <c r="AV13" s="81"/>
      <c r="AW13" s="81"/>
      <c r="AX13" s="81"/>
      <c r="AY13" s="81"/>
      <c r="AZ13" s="81"/>
      <c r="BA13" s="81"/>
      <c r="BB13" s="81"/>
      <c r="BC13">
        <v>1</v>
      </c>
      <c r="BD13" s="80" t="str">
        <f>REPLACE(INDEX(GroupVertices[Group],MATCH(Edges[[#This Row],[Vertex 1]],GroupVertices[Vertex],0)),1,1,"")</f>
        <v>8</v>
      </c>
      <c r="BE13" s="80" t="str">
        <f>REPLACE(INDEX(GroupVertices[Group],MATCH(Edges[[#This Row],[Vertex 2]],GroupVertices[Vertex],0)),1,1,"")</f>
        <v>8</v>
      </c>
      <c r="BF13" s="48">
        <v>0</v>
      </c>
      <c r="BG13" s="49">
        <v>0</v>
      </c>
      <c r="BH13" s="48">
        <v>0</v>
      </c>
      <c r="BI13" s="49">
        <v>0</v>
      </c>
      <c r="BJ13" s="48">
        <v>0</v>
      </c>
      <c r="BK13" s="49">
        <v>0</v>
      </c>
      <c r="BL13" s="48">
        <v>25</v>
      </c>
      <c r="BM13" s="49">
        <v>100</v>
      </c>
      <c r="BN13" s="48">
        <v>25</v>
      </c>
    </row>
    <row r="14" spans="1:66" ht="15">
      <c r="A14" s="66" t="s">
        <v>373</v>
      </c>
      <c r="B14" s="66" t="s">
        <v>519</v>
      </c>
      <c r="C14" s="67" t="s">
        <v>3149</v>
      </c>
      <c r="D14" s="68">
        <v>4</v>
      </c>
      <c r="E14" s="69" t="s">
        <v>132</v>
      </c>
      <c r="F14" s="70">
        <v>30</v>
      </c>
      <c r="G14" s="67"/>
      <c r="H14" s="71"/>
      <c r="I14" s="72"/>
      <c r="J14" s="72"/>
      <c r="K14" s="34" t="s">
        <v>65</v>
      </c>
      <c r="L14" s="79">
        <v>14</v>
      </c>
      <c r="M14" s="79"/>
      <c r="N14" s="74"/>
      <c r="O14" s="81" t="s">
        <v>587</v>
      </c>
      <c r="P14" s="83">
        <v>44004.4312037037</v>
      </c>
      <c r="Q14" s="81" t="s">
        <v>591</v>
      </c>
      <c r="R14" s="84" t="str">
        <f>HYPERLINK("https://twitter.com/daea_marius/status/1274998459075092486")</f>
        <v>https://twitter.com/daea_marius/status/1274998459075092486</v>
      </c>
      <c r="S14" s="81" t="s">
        <v>676</v>
      </c>
      <c r="T14" s="81" t="s">
        <v>696</v>
      </c>
      <c r="U14" s="81"/>
      <c r="V14" s="84" t="str">
        <f>HYPERLINK("http://pbs.twimg.com/profile_images/378800000640777086/92cded97f125830eb29dc1f136797d88_normal.png")</f>
        <v>http://pbs.twimg.com/profile_images/378800000640777086/92cded97f125830eb29dc1f136797d88_normal.png</v>
      </c>
      <c r="W14" s="83">
        <v>44004.4312037037</v>
      </c>
      <c r="X14" s="87">
        <v>44004</v>
      </c>
      <c r="Y14" s="89" t="s">
        <v>740</v>
      </c>
      <c r="Z14" s="84" t="str">
        <f>HYPERLINK("https://twitter.com/oxciej/status/1275010876886695936")</f>
        <v>https://twitter.com/oxciej/status/1275010876886695936</v>
      </c>
      <c r="AA14" s="81"/>
      <c r="AB14" s="81"/>
      <c r="AC14" s="89" t="s">
        <v>949</v>
      </c>
      <c r="AD14" s="81"/>
      <c r="AE14" s="81" t="b">
        <v>0</v>
      </c>
      <c r="AF14" s="81">
        <v>1</v>
      </c>
      <c r="AG14" s="89" t="s">
        <v>1149</v>
      </c>
      <c r="AH14" s="81" t="b">
        <v>1</v>
      </c>
      <c r="AI14" s="81" t="s">
        <v>1150</v>
      </c>
      <c r="AJ14" s="81"/>
      <c r="AK14" s="89" t="s">
        <v>1159</v>
      </c>
      <c r="AL14" s="81" t="b">
        <v>0</v>
      </c>
      <c r="AM14" s="81">
        <v>1</v>
      </c>
      <c r="AN14" s="89" t="s">
        <v>1149</v>
      </c>
      <c r="AO14" s="81" t="s">
        <v>1172</v>
      </c>
      <c r="AP14" s="81" t="b">
        <v>0</v>
      </c>
      <c r="AQ14" s="89" t="s">
        <v>949</v>
      </c>
      <c r="AR14" s="81" t="s">
        <v>325</v>
      </c>
      <c r="AS14" s="81">
        <v>0</v>
      </c>
      <c r="AT14" s="81">
        <v>0</v>
      </c>
      <c r="AU14" s="81"/>
      <c r="AV14" s="81"/>
      <c r="AW14" s="81"/>
      <c r="AX14" s="81"/>
      <c r="AY14" s="81"/>
      <c r="AZ14" s="81"/>
      <c r="BA14" s="81"/>
      <c r="BB14" s="81"/>
      <c r="BC14">
        <v>1</v>
      </c>
      <c r="BD14" s="80" t="str">
        <f>REPLACE(INDEX(GroupVertices[Group],MATCH(Edges[[#This Row],[Vertex 1]],GroupVertices[Vertex],0)),1,1,"")</f>
        <v>15</v>
      </c>
      <c r="BE14" s="80" t="str">
        <f>REPLACE(INDEX(GroupVertices[Group],MATCH(Edges[[#This Row],[Vertex 2]],GroupVertices[Vertex],0)),1,1,"")</f>
        <v>15</v>
      </c>
      <c r="BF14" s="48"/>
      <c r="BG14" s="49"/>
      <c r="BH14" s="48"/>
      <c r="BI14" s="49"/>
      <c r="BJ14" s="48"/>
      <c r="BK14" s="49"/>
      <c r="BL14" s="48"/>
      <c r="BM14" s="49"/>
      <c r="BN14" s="48"/>
    </row>
    <row r="15" spans="1:66" ht="15">
      <c r="A15" s="66" t="s">
        <v>374</v>
      </c>
      <c r="B15" s="66" t="s">
        <v>519</v>
      </c>
      <c r="C15" s="67" t="s">
        <v>3149</v>
      </c>
      <c r="D15" s="68">
        <v>4</v>
      </c>
      <c r="E15" s="69" t="s">
        <v>132</v>
      </c>
      <c r="F15" s="70">
        <v>30</v>
      </c>
      <c r="G15" s="67"/>
      <c r="H15" s="71"/>
      <c r="I15" s="72"/>
      <c r="J15" s="72"/>
      <c r="K15" s="34" t="s">
        <v>65</v>
      </c>
      <c r="L15" s="79">
        <v>15</v>
      </c>
      <c r="M15" s="79"/>
      <c r="N15" s="74"/>
      <c r="O15" s="81" t="s">
        <v>588</v>
      </c>
      <c r="P15" s="83">
        <v>44004.431435185186</v>
      </c>
      <c r="Q15" s="81" t="s">
        <v>591</v>
      </c>
      <c r="R15" s="81"/>
      <c r="S15" s="81"/>
      <c r="T15" s="81" t="s">
        <v>697</v>
      </c>
      <c r="U15" s="81"/>
      <c r="V15" s="84" t="str">
        <f>HYPERLINK("http://pbs.twimg.com/profile_images/479237208067424256/icLNQWf8_normal.png")</f>
        <v>http://pbs.twimg.com/profile_images/479237208067424256/icLNQWf8_normal.png</v>
      </c>
      <c r="W15" s="83">
        <v>44004.431435185186</v>
      </c>
      <c r="X15" s="87">
        <v>44004</v>
      </c>
      <c r="Y15" s="89" t="s">
        <v>741</v>
      </c>
      <c r="Z15" s="84" t="str">
        <f>HYPERLINK("https://twitter.com/emibarbiroglio/status/1275010961926172672")</f>
        <v>https://twitter.com/emibarbiroglio/status/1275010961926172672</v>
      </c>
      <c r="AA15" s="81"/>
      <c r="AB15" s="81"/>
      <c r="AC15" s="89" t="s">
        <v>950</v>
      </c>
      <c r="AD15" s="81"/>
      <c r="AE15" s="81" t="b">
        <v>0</v>
      </c>
      <c r="AF15" s="81">
        <v>0</v>
      </c>
      <c r="AG15" s="89" t="s">
        <v>1149</v>
      </c>
      <c r="AH15" s="81" t="b">
        <v>1</v>
      </c>
      <c r="AI15" s="81" t="s">
        <v>1150</v>
      </c>
      <c r="AJ15" s="81"/>
      <c r="AK15" s="89" t="s">
        <v>1159</v>
      </c>
      <c r="AL15" s="81" t="b">
        <v>0</v>
      </c>
      <c r="AM15" s="81">
        <v>1</v>
      </c>
      <c r="AN15" s="89" t="s">
        <v>949</v>
      </c>
      <c r="AO15" s="81" t="s">
        <v>1172</v>
      </c>
      <c r="AP15" s="81" t="b">
        <v>0</v>
      </c>
      <c r="AQ15" s="89" t="s">
        <v>949</v>
      </c>
      <c r="AR15" s="81" t="s">
        <v>325</v>
      </c>
      <c r="AS15" s="81">
        <v>0</v>
      </c>
      <c r="AT15" s="81">
        <v>0</v>
      </c>
      <c r="AU15" s="81"/>
      <c r="AV15" s="81"/>
      <c r="AW15" s="81"/>
      <c r="AX15" s="81"/>
      <c r="AY15" s="81"/>
      <c r="AZ15" s="81"/>
      <c r="BA15" s="81"/>
      <c r="BB15" s="81"/>
      <c r="BC15">
        <v>1</v>
      </c>
      <c r="BD15" s="80" t="str">
        <f>REPLACE(INDEX(GroupVertices[Group],MATCH(Edges[[#This Row],[Vertex 1]],GroupVertices[Vertex],0)),1,1,"")</f>
        <v>15</v>
      </c>
      <c r="BE15" s="80" t="str">
        <f>REPLACE(INDEX(GroupVertices[Group],MATCH(Edges[[#This Row],[Vertex 2]],GroupVertices[Vertex],0)),1,1,"")</f>
        <v>15</v>
      </c>
      <c r="BF15" s="48"/>
      <c r="BG15" s="49"/>
      <c r="BH15" s="48"/>
      <c r="BI15" s="49"/>
      <c r="BJ15" s="48"/>
      <c r="BK15" s="49"/>
      <c r="BL15" s="48"/>
      <c r="BM15" s="49"/>
      <c r="BN15" s="48"/>
    </row>
    <row r="16" spans="1:66" ht="15">
      <c r="A16" s="66" t="s">
        <v>373</v>
      </c>
      <c r="B16" s="66" t="s">
        <v>520</v>
      </c>
      <c r="C16" s="67" t="s">
        <v>3149</v>
      </c>
      <c r="D16" s="68">
        <v>4</v>
      </c>
      <c r="E16" s="69" t="s">
        <v>132</v>
      </c>
      <c r="F16" s="70">
        <v>30</v>
      </c>
      <c r="G16" s="67"/>
      <c r="H16" s="71"/>
      <c r="I16" s="72"/>
      <c r="J16" s="72"/>
      <c r="K16" s="34" t="s">
        <v>65</v>
      </c>
      <c r="L16" s="79">
        <v>16</v>
      </c>
      <c r="M16" s="79"/>
      <c r="N16" s="74"/>
      <c r="O16" s="81" t="s">
        <v>587</v>
      </c>
      <c r="P16" s="83">
        <v>44004.4312037037</v>
      </c>
      <c r="Q16" s="81" t="s">
        <v>591</v>
      </c>
      <c r="R16" s="84" t="str">
        <f>HYPERLINK("https://twitter.com/daea_marius/status/1274998459075092486")</f>
        <v>https://twitter.com/daea_marius/status/1274998459075092486</v>
      </c>
      <c r="S16" s="81" t="s">
        <v>676</v>
      </c>
      <c r="T16" s="81" t="s">
        <v>696</v>
      </c>
      <c r="U16" s="81"/>
      <c r="V16" s="84" t="str">
        <f>HYPERLINK("http://pbs.twimg.com/profile_images/378800000640777086/92cded97f125830eb29dc1f136797d88_normal.png")</f>
        <v>http://pbs.twimg.com/profile_images/378800000640777086/92cded97f125830eb29dc1f136797d88_normal.png</v>
      </c>
      <c r="W16" s="83">
        <v>44004.4312037037</v>
      </c>
      <c r="X16" s="87">
        <v>44004</v>
      </c>
      <c r="Y16" s="89" t="s">
        <v>740</v>
      </c>
      <c r="Z16" s="84" t="str">
        <f>HYPERLINK("https://twitter.com/oxciej/status/1275010876886695936")</f>
        <v>https://twitter.com/oxciej/status/1275010876886695936</v>
      </c>
      <c r="AA16" s="81"/>
      <c r="AB16" s="81"/>
      <c r="AC16" s="89" t="s">
        <v>949</v>
      </c>
      <c r="AD16" s="81"/>
      <c r="AE16" s="81" t="b">
        <v>0</v>
      </c>
      <c r="AF16" s="81">
        <v>1</v>
      </c>
      <c r="AG16" s="89" t="s">
        <v>1149</v>
      </c>
      <c r="AH16" s="81" t="b">
        <v>1</v>
      </c>
      <c r="AI16" s="81" t="s">
        <v>1150</v>
      </c>
      <c r="AJ16" s="81"/>
      <c r="AK16" s="89" t="s">
        <v>1159</v>
      </c>
      <c r="AL16" s="81" t="b">
        <v>0</v>
      </c>
      <c r="AM16" s="81">
        <v>1</v>
      </c>
      <c r="AN16" s="89" t="s">
        <v>1149</v>
      </c>
      <c r="AO16" s="81" t="s">
        <v>1172</v>
      </c>
      <c r="AP16" s="81" t="b">
        <v>0</v>
      </c>
      <c r="AQ16" s="89" t="s">
        <v>949</v>
      </c>
      <c r="AR16" s="81" t="s">
        <v>325</v>
      </c>
      <c r="AS16" s="81">
        <v>0</v>
      </c>
      <c r="AT16" s="81">
        <v>0</v>
      </c>
      <c r="AU16" s="81"/>
      <c r="AV16" s="81"/>
      <c r="AW16" s="81"/>
      <c r="AX16" s="81"/>
      <c r="AY16" s="81"/>
      <c r="AZ16" s="81"/>
      <c r="BA16" s="81"/>
      <c r="BB16" s="81"/>
      <c r="BC16">
        <v>1</v>
      </c>
      <c r="BD16" s="80" t="str">
        <f>REPLACE(INDEX(GroupVertices[Group],MATCH(Edges[[#This Row],[Vertex 1]],GroupVertices[Vertex],0)),1,1,"")</f>
        <v>15</v>
      </c>
      <c r="BE16" s="80" t="str">
        <f>REPLACE(INDEX(GroupVertices[Group],MATCH(Edges[[#This Row],[Vertex 2]],GroupVertices[Vertex],0)),1,1,"")</f>
        <v>15</v>
      </c>
      <c r="BF16" s="48">
        <v>0</v>
      </c>
      <c r="BG16" s="49">
        <v>0</v>
      </c>
      <c r="BH16" s="48">
        <v>1</v>
      </c>
      <c r="BI16" s="49">
        <v>4.761904761904762</v>
      </c>
      <c r="BJ16" s="48">
        <v>0</v>
      </c>
      <c r="BK16" s="49">
        <v>0</v>
      </c>
      <c r="BL16" s="48">
        <v>20</v>
      </c>
      <c r="BM16" s="49">
        <v>95.23809523809524</v>
      </c>
      <c r="BN16" s="48">
        <v>21</v>
      </c>
    </row>
    <row r="17" spans="1:66" ht="15">
      <c r="A17" s="66" t="s">
        <v>374</v>
      </c>
      <c r="B17" s="66" t="s">
        <v>520</v>
      </c>
      <c r="C17" s="67" t="s">
        <v>3149</v>
      </c>
      <c r="D17" s="68">
        <v>4</v>
      </c>
      <c r="E17" s="69" t="s">
        <v>132</v>
      </c>
      <c r="F17" s="70">
        <v>30</v>
      </c>
      <c r="G17" s="67"/>
      <c r="H17" s="71"/>
      <c r="I17" s="72"/>
      <c r="J17" s="72"/>
      <c r="K17" s="34" t="s">
        <v>65</v>
      </c>
      <c r="L17" s="79">
        <v>17</v>
      </c>
      <c r="M17" s="79"/>
      <c r="N17" s="74"/>
      <c r="O17" s="81" t="s">
        <v>588</v>
      </c>
      <c r="P17" s="83">
        <v>44004.431435185186</v>
      </c>
      <c r="Q17" s="81" t="s">
        <v>591</v>
      </c>
      <c r="R17" s="81"/>
      <c r="S17" s="81"/>
      <c r="T17" s="81" t="s">
        <v>697</v>
      </c>
      <c r="U17" s="81"/>
      <c r="V17" s="84" t="str">
        <f>HYPERLINK("http://pbs.twimg.com/profile_images/479237208067424256/icLNQWf8_normal.png")</f>
        <v>http://pbs.twimg.com/profile_images/479237208067424256/icLNQWf8_normal.png</v>
      </c>
      <c r="W17" s="83">
        <v>44004.431435185186</v>
      </c>
      <c r="X17" s="87">
        <v>44004</v>
      </c>
      <c r="Y17" s="89" t="s">
        <v>741</v>
      </c>
      <c r="Z17" s="84" t="str">
        <f>HYPERLINK("https://twitter.com/emibarbiroglio/status/1275010961926172672")</f>
        <v>https://twitter.com/emibarbiroglio/status/1275010961926172672</v>
      </c>
      <c r="AA17" s="81"/>
      <c r="AB17" s="81"/>
      <c r="AC17" s="89" t="s">
        <v>950</v>
      </c>
      <c r="AD17" s="81"/>
      <c r="AE17" s="81" t="b">
        <v>0</v>
      </c>
      <c r="AF17" s="81">
        <v>0</v>
      </c>
      <c r="AG17" s="89" t="s">
        <v>1149</v>
      </c>
      <c r="AH17" s="81" t="b">
        <v>1</v>
      </c>
      <c r="AI17" s="81" t="s">
        <v>1150</v>
      </c>
      <c r="AJ17" s="81"/>
      <c r="AK17" s="89" t="s">
        <v>1159</v>
      </c>
      <c r="AL17" s="81" t="b">
        <v>0</v>
      </c>
      <c r="AM17" s="81">
        <v>1</v>
      </c>
      <c r="AN17" s="89" t="s">
        <v>949</v>
      </c>
      <c r="AO17" s="81" t="s">
        <v>1172</v>
      </c>
      <c r="AP17" s="81" t="b">
        <v>0</v>
      </c>
      <c r="AQ17" s="89" t="s">
        <v>949</v>
      </c>
      <c r="AR17" s="81" t="s">
        <v>325</v>
      </c>
      <c r="AS17" s="81">
        <v>0</v>
      </c>
      <c r="AT17" s="81">
        <v>0</v>
      </c>
      <c r="AU17" s="81"/>
      <c r="AV17" s="81"/>
      <c r="AW17" s="81"/>
      <c r="AX17" s="81"/>
      <c r="AY17" s="81"/>
      <c r="AZ17" s="81"/>
      <c r="BA17" s="81"/>
      <c r="BB17" s="81"/>
      <c r="BC17">
        <v>1</v>
      </c>
      <c r="BD17" s="80" t="str">
        <f>REPLACE(INDEX(GroupVertices[Group],MATCH(Edges[[#This Row],[Vertex 1]],GroupVertices[Vertex],0)),1,1,"")</f>
        <v>15</v>
      </c>
      <c r="BE17" s="80" t="str">
        <f>REPLACE(INDEX(GroupVertices[Group],MATCH(Edges[[#This Row],[Vertex 2]],GroupVertices[Vertex],0)),1,1,"")</f>
        <v>15</v>
      </c>
      <c r="BF17" s="48">
        <v>0</v>
      </c>
      <c r="BG17" s="49">
        <v>0</v>
      </c>
      <c r="BH17" s="48">
        <v>1</v>
      </c>
      <c r="BI17" s="49">
        <v>4.761904761904762</v>
      </c>
      <c r="BJ17" s="48">
        <v>0</v>
      </c>
      <c r="BK17" s="49">
        <v>0</v>
      </c>
      <c r="BL17" s="48">
        <v>20</v>
      </c>
      <c r="BM17" s="49">
        <v>95.23809523809524</v>
      </c>
      <c r="BN17" s="48">
        <v>21</v>
      </c>
    </row>
    <row r="18" spans="1:66" ht="15">
      <c r="A18" s="66" t="s">
        <v>374</v>
      </c>
      <c r="B18" s="66" t="s">
        <v>373</v>
      </c>
      <c r="C18" s="67" t="s">
        <v>3149</v>
      </c>
      <c r="D18" s="68">
        <v>4</v>
      </c>
      <c r="E18" s="69" t="s">
        <v>132</v>
      </c>
      <c r="F18" s="70">
        <v>30</v>
      </c>
      <c r="G18" s="67"/>
      <c r="H18" s="71"/>
      <c r="I18" s="72"/>
      <c r="J18" s="72"/>
      <c r="K18" s="34" t="s">
        <v>65</v>
      </c>
      <c r="L18" s="79">
        <v>18</v>
      </c>
      <c r="M18" s="79"/>
      <c r="N18" s="74"/>
      <c r="O18" s="81" t="s">
        <v>586</v>
      </c>
      <c r="P18" s="83">
        <v>44004.431435185186</v>
      </c>
      <c r="Q18" s="81" t="s">
        <v>591</v>
      </c>
      <c r="R18" s="81"/>
      <c r="S18" s="81"/>
      <c r="T18" s="81" t="s">
        <v>697</v>
      </c>
      <c r="U18" s="81"/>
      <c r="V18" s="84" t="str">
        <f>HYPERLINK("http://pbs.twimg.com/profile_images/479237208067424256/icLNQWf8_normal.png")</f>
        <v>http://pbs.twimg.com/profile_images/479237208067424256/icLNQWf8_normal.png</v>
      </c>
      <c r="W18" s="83">
        <v>44004.431435185186</v>
      </c>
      <c r="X18" s="87">
        <v>44004</v>
      </c>
      <c r="Y18" s="89" t="s">
        <v>741</v>
      </c>
      <c r="Z18" s="84" t="str">
        <f>HYPERLINK("https://twitter.com/emibarbiroglio/status/1275010961926172672")</f>
        <v>https://twitter.com/emibarbiroglio/status/1275010961926172672</v>
      </c>
      <c r="AA18" s="81"/>
      <c r="AB18" s="81"/>
      <c r="AC18" s="89" t="s">
        <v>950</v>
      </c>
      <c r="AD18" s="81"/>
      <c r="AE18" s="81" t="b">
        <v>0</v>
      </c>
      <c r="AF18" s="81">
        <v>0</v>
      </c>
      <c r="AG18" s="89" t="s">
        <v>1149</v>
      </c>
      <c r="AH18" s="81" t="b">
        <v>1</v>
      </c>
      <c r="AI18" s="81" t="s">
        <v>1150</v>
      </c>
      <c r="AJ18" s="81"/>
      <c r="AK18" s="89" t="s">
        <v>1159</v>
      </c>
      <c r="AL18" s="81" t="b">
        <v>0</v>
      </c>
      <c r="AM18" s="81">
        <v>1</v>
      </c>
      <c r="AN18" s="89" t="s">
        <v>949</v>
      </c>
      <c r="AO18" s="81" t="s">
        <v>1172</v>
      </c>
      <c r="AP18" s="81" t="b">
        <v>0</v>
      </c>
      <c r="AQ18" s="89" t="s">
        <v>949</v>
      </c>
      <c r="AR18" s="81" t="s">
        <v>325</v>
      </c>
      <c r="AS18" s="81">
        <v>0</v>
      </c>
      <c r="AT18" s="81">
        <v>0</v>
      </c>
      <c r="AU18" s="81"/>
      <c r="AV18" s="81"/>
      <c r="AW18" s="81"/>
      <c r="AX18" s="81"/>
      <c r="AY18" s="81"/>
      <c r="AZ18" s="81"/>
      <c r="BA18" s="81"/>
      <c r="BB18" s="81"/>
      <c r="BC18">
        <v>1</v>
      </c>
      <c r="BD18" s="80" t="str">
        <f>REPLACE(INDEX(GroupVertices[Group],MATCH(Edges[[#This Row],[Vertex 1]],GroupVertices[Vertex],0)),1,1,"")</f>
        <v>15</v>
      </c>
      <c r="BE18" s="80" t="str">
        <f>REPLACE(INDEX(GroupVertices[Group],MATCH(Edges[[#This Row],[Vertex 2]],GroupVertices[Vertex],0)),1,1,"")</f>
        <v>15</v>
      </c>
      <c r="BF18" s="48"/>
      <c r="BG18" s="49"/>
      <c r="BH18" s="48"/>
      <c r="BI18" s="49"/>
      <c r="BJ18" s="48"/>
      <c r="BK18" s="49"/>
      <c r="BL18" s="48"/>
      <c r="BM18" s="49"/>
      <c r="BN18" s="48"/>
    </row>
    <row r="19" spans="1:66" ht="15">
      <c r="A19" s="66" t="s">
        <v>375</v>
      </c>
      <c r="B19" s="66" t="s">
        <v>497</v>
      </c>
      <c r="C19" s="67" t="s">
        <v>3149</v>
      </c>
      <c r="D19" s="68">
        <v>4</v>
      </c>
      <c r="E19" s="69" t="s">
        <v>132</v>
      </c>
      <c r="F19" s="70">
        <v>30</v>
      </c>
      <c r="G19" s="67"/>
      <c r="H19" s="71"/>
      <c r="I19" s="72"/>
      <c r="J19" s="72"/>
      <c r="K19" s="34" t="s">
        <v>65</v>
      </c>
      <c r="L19" s="79">
        <v>19</v>
      </c>
      <c r="M19" s="79"/>
      <c r="N19" s="74"/>
      <c r="O19" s="81" t="s">
        <v>586</v>
      </c>
      <c r="P19" s="83">
        <v>44004.45415509259</v>
      </c>
      <c r="Q19" s="81" t="s">
        <v>592</v>
      </c>
      <c r="R19" s="84" t="str">
        <f>HYPERLINK("https://twitter.com/basole/status/1274853316758036481")</f>
        <v>https://twitter.com/basole/status/1274853316758036481</v>
      </c>
      <c r="S19" s="81" t="s">
        <v>676</v>
      </c>
      <c r="T19" s="81" t="s">
        <v>698</v>
      </c>
      <c r="U19" s="81"/>
      <c r="V19" s="84" t="str">
        <f>HYPERLINK("http://pbs.twimg.com/profile_images/1273030706629881856/EuOF5hHx_normal.png")</f>
        <v>http://pbs.twimg.com/profile_images/1273030706629881856/EuOF5hHx_normal.png</v>
      </c>
      <c r="W19" s="83">
        <v>44004.45415509259</v>
      </c>
      <c r="X19" s="87">
        <v>44004</v>
      </c>
      <c r="Y19" s="89" t="s">
        <v>742</v>
      </c>
      <c r="Z19" s="84" t="str">
        <f>HYPERLINK("https://twitter.com/masteruah/status/1275019193461739520")</f>
        <v>https://twitter.com/masteruah/status/1275019193461739520</v>
      </c>
      <c r="AA19" s="81"/>
      <c r="AB19" s="81"/>
      <c r="AC19" s="89" t="s">
        <v>951</v>
      </c>
      <c r="AD19" s="81"/>
      <c r="AE19" s="81" t="b">
        <v>0</v>
      </c>
      <c r="AF19" s="81">
        <v>0</v>
      </c>
      <c r="AG19" s="89" t="s">
        <v>1149</v>
      </c>
      <c r="AH19" s="81" t="b">
        <v>1</v>
      </c>
      <c r="AI19" s="81" t="s">
        <v>1150</v>
      </c>
      <c r="AJ19" s="81"/>
      <c r="AK19" s="89" t="s">
        <v>1160</v>
      </c>
      <c r="AL19" s="81" t="b">
        <v>0</v>
      </c>
      <c r="AM19" s="81">
        <v>7</v>
      </c>
      <c r="AN19" s="89" t="s">
        <v>1119</v>
      </c>
      <c r="AO19" s="81" t="s">
        <v>1175</v>
      </c>
      <c r="AP19" s="81" t="b">
        <v>0</v>
      </c>
      <c r="AQ19" s="89" t="s">
        <v>1119</v>
      </c>
      <c r="AR19" s="81" t="s">
        <v>325</v>
      </c>
      <c r="AS19" s="81">
        <v>0</v>
      </c>
      <c r="AT19" s="81">
        <v>0</v>
      </c>
      <c r="AU19" s="81"/>
      <c r="AV19" s="81"/>
      <c r="AW19" s="81"/>
      <c r="AX19" s="81"/>
      <c r="AY19" s="81"/>
      <c r="AZ19" s="81"/>
      <c r="BA19" s="81"/>
      <c r="BB19" s="81"/>
      <c r="BC19">
        <v>1</v>
      </c>
      <c r="BD19" s="80" t="str">
        <f>REPLACE(INDEX(GroupVertices[Group],MATCH(Edges[[#This Row],[Vertex 1]],GroupVertices[Vertex],0)),1,1,"")</f>
        <v>9</v>
      </c>
      <c r="BE19" s="80" t="str">
        <f>REPLACE(INDEX(GroupVertices[Group],MATCH(Edges[[#This Row],[Vertex 2]],GroupVertices[Vertex],0)),1,1,"")</f>
        <v>9</v>
      </c>
      <c r="BF19" s="48">
        <v>1</v>
      </c>
      <c r="BG19" s="49">
        <v>16.666666666666668</v>
      </c>
      <c r="BH19" s="48">
        <v>0</v>
      </c>
      <c r="BI19" s="49">
        <v>0</v>
      </c>
      <c r="BJ19" s="48">
        <v>0</v>
      </c>
      <c r="BK19" s="49">
        <v>0</v>
      </c>
      <c r="BL19" s="48">
        <v>5</v>
      </c>
      <c r="BM19" s="49">
        <v>83.33333333333333</v>
      </c>
      <c r="BN19" s="48">
        <v>6</v>
      </c>
    </row>
    <row r="20" spans="1:66" ht="15">
      <c r="A20" s="66" t="s">
        <v>376</v>
      </c>
      <c r="B20" s="66" t="s">
        <v>521</v>
      </c>
      <c r="C20" s="67" t="s">
        <v>3149</v>
      </c>
      <c r="D20" s="68">
        <v>4</v>
      </c>
      <c r="E20" s="69" t="s">
        <v>132</v>
      </c>
      <c r="F20" s="70">
        <v>30</v>
      </c>
      <c r="G20" s="67"/>
      <c r="H20" s="71"/>
      <c r="I20" s="72"/>
      <c r="J20" s="72"/>
      <c r="K20" s="34" t="s">
        <v>65</v>
      </c>
      <c r="L20" s="79">
        <v>20</v>
      </c>
      <c r="M20" s="79"/>
      <c r="N20" s="74"/>
      <c r="O20" s="81" t="s">
        <v>588</v>
      </c>
      <c r="P20" s="83">
        <v>44004.4590625</v>
      </c>
      <c r="Q20" s="81" t="s">
        <v>593</v>
      </c>
      <c r="R20" s="81"/>
      <c r="S20" s="81"/>
      <c r="T20" s="81" t="s">
        <v>699</v>
      </c>
      <c r="U20" s="81"/>
      <c r="V20" s="84" t="str">
        <f>HYPERLINK("http://pbs.twimg.com/profile_images/747149568920395776/ZRrsHHsO_normal.jpg")</f>
        <v>http://pbs.twimg.com/profile_images/747149568920395776/ZRrsHHsO_normal.jpg</v>
      </c>
      <c r="W20" s="83">
        <v>44004.4590625</v>
      </c>
      <c r="X20" s="87">
        <v>44004</v>
      </c>
      <c r="Y20" s="89" t="s">
        <v>743</v>
      </c>
      <c r="Z20" s="84" t="str">
        <f>HYPERLINK("https://twitter.com/sin_nl_org/status/1275020971867607040")</f>
        <v>https://twitter.com/sin_nl_org/status/1275020971867607040</v>
      </c>
      <c r="AA20" s="81"/>
      <c r="AB20" s="81"/>
      <c r="AC20" s="89" t="s">
        <v>952</v>
      </c>
      <c r="AD20" s="81"/>
      <c r="AE20" s="81" t="b">
        <v>0</v>
      </c>
      <c r="AF20" s="81">
        <v>0</v>
      </c>
      <c r="AG20" s="89" t="s">
        <v>1149</v>
      </c>
      <c r="AH20" s="81" t="b">
        <v>0</v>
      </c>
      <c r="AI20" s="81" t="s">
        <v>1150</v>
      </c>
      <c r="AJ20" s="81"/>
      <c r="AK20" s="89" t="s">
        <v>1149</v>
      </c>
      <c r="AL20" s="81" t="b">
        <v>0</v>
      </c>
      <c r="AM20" s="81">
        <v>8</v>
      </c>
      <c r="AN20" s="89" t="s">
        <v>1102</v>
      </c>
      <c r="AO20" s="81" t="s">
        <v>1165</v>
      </c>
      <c r="AP20" s="81" t="b">
        <v>0</v>
      </c>
      <c r="AQ20" s="89" t="s">
        <v>1102</v>
      </c>
      <c r="AR20" s="81" t="s">
        <v>325</v>
      </c>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8"/>
      <c r="BG20" s="49"/>
      <c r="BH20" s="48"/>
      <c r="BI20" s="49"/>
      <c r="BJ20" s="48"/>
      <c r="BK20" s="49"/>
      <c r="BL20" s="48"/>
      <c r="BM20" s="49"/>
      <c r="BN20" s="48"/>
    </row>
    <row r="21" spans="1:66" ht="15">
      <c r="A21" s="66" t="s">
        <v>376</v>
      </c>
      <c r="B21" s="66" t="s">
        <v>522</v>
      </c>
      <c r="C21" s="67" t="s">
        <v>3149</v>
      </c>
      <c r="D21" s="68">
        <v>4</v>
      </c>
      <c r="E21" s="69" t="s">
        <v>132</v>
      </c>
      <c r="F21" s="70">
        <v>30</v>
      </c>
      <c r="G21" s="67"/>
      <c r="H21" s="71"/>
      <c r="I21" s="72"/>
      <c r="J21" s="72"/>
      <c r="K21" s="34" t="s">
        <v>65</v>
      </c>
      <c r="L21" s="79">
        <v>21</v>
      </c>
      <c r="M21" s="79"/>
      <c r="N21" s="74"/>
      <c r="O21" s="81" t="s">
        <v>588</v>
      </c>
      <c r="P21" s="83">
        <v>44004.4590625</v>
      </c>
      <c r="Q21" s="81" t="s">
        <v>593</v>
      </c>
      <c r="R21" s="81"/>
      <c r="S21" s="81"/>
      <c r="T21" s="81" t="s">
        <v>699</v>
      </c>
      <c r="U21" s="81"/>
      <c r="V21" s="84" t="str">
        <f>HYPERLINK("http://pbs.twimg.com/profile_images/747149568920395776/ZRrsHHsO_normal.jpg")</f>
        <v>http://pbs.twimg.com/profile_images/747149568920395776/ZRrsHHsO_normal.jpg</v>
      </c>
      <c r="W21" s="83">
        <v>44004.4590625</v>
      </c>
      <c r="X21" s="87">
        <v>44004</v>
      </c>
      <c r="Y21" s="89" t="s">
        <v>743</v>
      </c>
      <c r="Z21" s="84" t="str">
        <f>HYPERLINK("https://twitter.com/sin_nl_org/status/1275020971867607040")</f>
        <v>https://twitter.com/sin_nl_org/status/1275020971867607040</v>
      </c>
      <c r="AA21" s="81"/>
      <c r="AB21" s="81"/>
      <c r="AC21" s="89" t="s">
        <v>952</v>
      </c>
      <c r="AD21" s="81"/>
      <c r="AE21" s="81" t="b">
        <v>0</v>
      </c>
      <c r="AF21" s="81">
        <v>0</v>
      </c>
      <c r="AG21" s="89" t="s">
        <v>1149</v>
      </c>
      <c r="AH21" s="81" t="b">
        <v>0</v>
      </c>
      <c r="AI21" s="81" t="s">
        <v>1150</v>
      </c>
      <c r="AJ21" s="81"/>
      <c r="AK21" s="89" t="s">
        <v>1149</v>
      </c>
      <c r="AL21" s="81" t="b">
        <v>0</v>
      </c>
      <c r="AM21" s="81">
        <v>8</v>
      </c>
      <c r="AN21" s="89" t="s">
        <v>1102</v>
      </c>
      <c r="AO21" s="81" t="s">
        <v>1165</v>
      </c>
      <c r="AP21" s="81" t="b">
        <v>0</v>
      </c>
      <c r="AQ21" s="89" t="s">
        <v>1102</v>
      </c>
      <c r="AR21" s="81" t="s">
        <v>325</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8"/>
      <c r="BG21" s="49"/>
      <c r="BH21" s="48"/>
      <c r="BI21" s="49"/>
      <c r="BJ21" s="48"/>
      <c r="BK21" s="49"/>
      <c r="BL21" s="48"/>
      <c r="BM21" s="49"/>
      <c r="BN21" s="48"/>
    </row>
    <row r="22" spans="1:66" ht="15">
      <c r="A22" s="66" t="s">
        <v>376</v>
      </c>
      <c r="B22" s="66" t="s">
        <v>482</v>
      </c>
      <c r="C22" s="67" t="s">
        <v>3149</v>
      </c>
      <c r="D22" s="68">
        <v>4</v>
      </c>
      <c r="E22" s="69" t="s">
        <v>132</v>
      </c>
      <c r="F22" s="70">
        <v>30</v>
      </c>
      <c r="G22" s="67"/>
      <c r="H22" s="71"/>
      <c r="I22" s="72"/>
      <c r="J22" s="72"/>
      <c r="K22" s="34" t="s">
        <v>65</v>
      </c>
      <c r="L22" s="79">
        <v>22</v>
      </c>
      <c r="M22" s="79"/>
      <c r="N22" s="74"/>
      <c r="O22" s="81" t="s">
        <v>586</v>
      </c>
      <c r="P22" s="83">
        <v>44004.4590625</v>
      </c>
      <c r="Q22" s="81" t="s">
        <v>593</v>
      </c>
      <c r="R22" s="81"/>
      <c r="S22" s="81"/>
      <c r="T22" s="81" t="s">
        <v>699</v>
      </c>
      <c r="U22" s="81"/>
      <c r="V22" s="84" t="str">
        <f>HYPERLINK("http://pbs.twimg.com/profile_images/747149568920395776/ZRrsHHsO_normal.jpg")</f>
        <v>http://pbs.twimg.com/profile_images/747149568920395776/ZRrsHHsO_normal.jpg</v>
      </c>
      <c r="W22" s="83">
        <v>44004.4590625</v>
      </c>
      <c r="X22" s="87">
        <v>44004</v>
      </c>
      <c r="Y22" s="89" t="s">
        <v>743</v>
      </c>
      <c r="Z22" s="84" t="str">
        <f>HYPERLINK("https://twitter.com/sin_nl_org/status/1275020971867607040")</f>
        <v>https://twitter.com/sin_nl_org/status/1275020971867607040</v>
      </c>
      <c r="AA22" s="81"/>
      <c r="AB22" s="81"/>
      <c r="AC22" s="89" t="s">
        <v>952</v>
      </c>
      <c r="AD22" s="81"/>
      <c r="AE22" s="81" t="b">
        <v>0</v>
      </c>
      <c r="AF22" s="81">
        <v>0</v>
      </c>
      <c r="AG22" s="89" t="s">
        <v>1149</v>
      </c>
      <c r="AH22" s="81" t="b">
        <v>0</v>
      </c>
      <c r="AI22" s="81" t="s">
        <v>1150</v>
      </c>
      <c r="AJ22" s="81"/>
      <c r="AK22" s="89" t="s">
        <v>1149</v>
      </c>
      <c r="AL22" s="81" t="b">
        <v>0</v>
      </c>
      <c r="AM22" s="81">
        <v>8</v>
      </c>
      <c r="AN22" s="89" t="s">
        <v>1102</v>
      </c>
      <c r="AO22" s="81" t="s">
        <v>1165</v>
      </c>
      <c r="AP22" s="81" t="b">
        <v>0</v>
      </c>
      <c r="AQ22" s="89" t="s">
        <v>1102</v>
      </c>
      <c r="AR22" s="81" t="s">
        <v>325</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8">
        <v>2</v>
      </c>
      <c r="BG22" s="49">
        <v>5.405405405405405</v>
      </c>
      <c r="BH22" s="48">
        <v>0</v>
      </c>
      <c r="BI22" s="49">
        <v>0</v>
      </c>
      <c r="BJ22" s="48">
        <v>0</v>
      </c>
      <c r="BK22" s="49">
        <v>0</v>
      </c>
      <c r="BL22" s="48">
        <v>35</v>
      </c>
      <c r="BM22" s="49">
        <v>94.5945945945946</v>
      </c>
      <c r="BN22" s="48">
        <v>37</v>
      </c>
    </row>
    <row r="23" spans="1:66" ht="15">
      <c r="A23" s="66" t="s">
        <v>377</v>
      </c>
      <c r="B23" s="66" t="s">
        <v>377</v>
      </c>
      <c r="C23" s="67" t="s">
        <v>3149</v>
      </c>
      <c r="D23" s="68">
        <v>4</v>
      </c>
      <c r="E23" s="69" t="s">
        <v>132</v>
      </c>
      <c r="F23" s="70">
        <v>30</v>
      </c>
      <c r="G23" s="67"/>
      <c r="H23" s="71"/>
      <c r="I23" s="72"/>
      <c r="J23" s="72"/>
      <c r="K23" s="34" t="s">
        <v>65</v>
      </c>
      <c r="L23" s="79">
        <v>23</v>
      </c>
      <c r="M23" s="79"/>
      <c r="N23" s="74"/>
      <c r="O23" s="81" t="s">
        <v>325</v>
      </c>
      <c r="P23" s="83">
        <v>44004.46111111111</v>
      </c>
      <c r="Q23" s="81" t="s">
        <v>594</v>
      </c>
      <c r="R23" s="81"/>
      <c r="S23" s="81"/>
      <c r="T23" s="81" t="s">
        <v>700</v>
      </c>
      <c r="U23" s="81"/>
      <c r="V23" s="84" t="str">
        <f>HYPERLINK("http://pbs.twimg.com/profile_images/1270351092841398278/RPOWrWMl_normal.jpg")</f>
        <v>http://pbs.twimg.com/profile_images/1270351092841398278/RPOWrWMl_normal.jpg</v>
      </c>
      <c r="W23" s="83">
        <v>44004.46111111111</v>
      </c>
      <c r="X23" s="87">
        <v>44004</v>
      </c>
      <c r="Y23" s="89" t="s">
        <v>744</v>
      </c>
      <c r="Z23" s="84" t="str">
        <f>HYPERLINK("https://twitter.com/realmiguelroca/status/1275021717862309888")</f>
        <v>https://twitter.com/realmiguelroca/status/1275021717862309888</v>
      </c>
      <c r="AA23" s="81"/>
      <c r="AB23" s="81"/>
      <c r="AC23" s="89" t="s">
        <v>953</v>
      </c>
      <c r="AD23" s="81"/>
      <c r="AE23" s="81" t="b">
        <v>0</v>
      </c>
      <c r="AF23" s="81">
        <v>1</v>
      </c>
      <c r="AG23" s="89" t="s">
        <v>1149</v>
      </c>
      <c r="AH23" s="81" t="b">
        <v>0</v>
      </c>
      <c r="AI23" s="81" t="s">
        <v>1150</v>
      </c>
      <c r="AJ23" s="81"/>
      <c r="AK23" s="89" t="s">
        <v>1149</v>
      </c>
      <c r="AL23" s="81" t="b">
        <v>0</v>
      </c>
      <c r="AM23" s="81">
        <v>0</v>
      </c>
      <c r="AN23" s="89" t="s">
        <v>1149</v>
      </c>
      <c r="AO23" s="81" t="s">
        <v>1176</v>
      </c>
      <c r="AP23" s="81" t="b">
        <v>0</v>
      </c>
      <c r="AQ23" s="89" t="s">
        <v>953</v>
      </c>
      <c r="AR23" s="81" t="s">
        <v>325</v>
      </c>
      <c r="AS23" s="81">
        <v>0</v>
      </c>
      <c r="AT23" s="81">
        <v>0</v>
      </c>
      <c r="AU23" s="81"/>
      <c r="AV23" s="81"/>
      <c r="AW23" s="81"/>
      <c r="AX23" s="81"/>
      <c r="AY23" s="81"/>
      <c r="AZ23" s="81"/>
      <c r="BA23" s="81"/>
      <c r="BB23" s="81"/>
      <c r="BC23">
        <v>1</v>
      </c>
      <c r="BD23" s="80" t="str">
        <f>REPLACE(INDEX(GroupVertices[Group],MATCH(Edges[[#This Row],[Vertex 1]],GroupVertices[Vertex],0)),1,1,"")</f>
        <v>8</v>
      </c>
      <c r="BE23" s="80" t="str">
        <f>REPLACE(INDEX(GroupVertices[Group],MATCH(Edges[[#This Row],[Vertex 2]],GroupVertices[Vertex],0)),1,1,"")</f>
        <v>8</v>
      </c>
      <c r="BF23" s="48">
        <v>2</v>
      </c>
      <c r="BG23" s="49">
        <v>4.3478260869565215</v>
      </c>
      <c r="BH23" s="48">
        <v>2</v>
      </c>
      <c r="BI23" s="49">
        <v>4.3478260869565215</v>
      </c>
      <c r="BJ23" s="48">
        <v>0</v>
      </c>
      <c r="BK23" s="49">
        <v>0</v>
      </c>
      <c r="BL23" s="48">
        <v>42</v>
      </c>
      <c r="BM23" s="49">
        <v>91.30434782608695</v>
      </c>
      <c r="BN23" s="48">
        <v>46</v>
      </c>
    </row>
    <row r="24" spans="1:66" ht="15">
      <c r="A24" s="66" t="s">
        <v>378</v>
      </c>
      <c r="B24" s="66" t="s">
        <v>513</v>
      </c>
      <c r="C24" s="67" t="s">
        <v>3149</v>
      </c>
      <c r="D24" s="68">
        <v>4</v>
      </c>
      <c r="E24" s="69" t="s">
        <v>132</v>
      </c>
      <c r="F24" s="70">
        <v>30</v>
      </c>
      <c r="G24" s="67"/>
      <c r="H24" s="71"/>
      <c r="I24" s="72"/>
      <c r="J24" s="72"/>
      <c r="K24" s="34" t="s">
        <v>65</v>
      </c>
      <c r="L24" s="79">
        <v>24</v>
      </c>
      <c r="M24" s="79"/>
      <c r="N24" s="74"/>
      <c r="O24" s="81" t="s">
        <v>588</v>
      </c>
      <c r="P24" s="83">
        <v>44004.46533564815</v>
      </c>
      <c r="Q24" s="81" t="s">
        <v>595</v>
      </c>
      <c r="R24" s="81"/>
      <c r="S24" s="81"/>
      <c r="T24" s="81"/>
      <c r="U24" s="81"/>
      <c r="V24" s="84" t="str">
        <f>HYPERLINK("http://pbs.twimg.com/profile_images/1231540206341410816/siroPAMQ_normal.jpg")</f>
        <v>http://pbs.twimg.com/profile_images/1231540206341410816/siroPAMQ_normal.jpg</v>
      </c>
      <c r="W24" s="83">
        <v>44004.46533564815</v>
      </c>
      <c r="X24" s="87">
        <v>44004</v>
      </c>
      <c r="Y24" s="89" t="s">
        <v>745</v>
      </c>
      <c r="Z24" s="84" t="str">
        <f>HYPERLINK("https://twitter.com/annkempster/status/1275023248477040647")</f>
        <v>https://twitter.com/annkempster/status/1275023248477040647</v>
      </c>
      <c r="AA24" s="81"/>
      <c r="AB24" s="81"/>
      <c r="AC24" s="89" t="s">
        <v>954</v>
      </c>
      <c r="AD24" s="81"/>
      <c r="AE24" s="81" t="b">
        <v>0</v>
      </c>
      <c r="AF24" s="81">
        <v>0</v>
      </c>
      <c r="AG24" s="89" t="s">
        <v>1149</v>
      </c>
      <c r="AH24" s="81" t="b">
        <v>0</v>
      </c>
      <c r="AI24" s="81" t="s">
        <v>1150</v>
      </c>
      <c r="AJ24" s="81"/>
      <c r="AK24" s="89" t="s">
        <v>1149</v>
      </c>
      <c r="AL24" s="81" t="b">
        <v>0</v>
      </c>
      <c r="AM24" s="81">
        <v>37</v>
      </c>
      <c r="AN24" s="89" t="s">
        <v>1142</v>
      </c>
      <c r="AO24" s="81" t="s">
        <v>1175</v>
      </c>
      <c r="AP24" s="81" t="b">
        <v>0</v>
      </c>
      <c r="AQ24" s="89" t="s">
        <v>1142</v>
      </c>
      <c r="AR24" s="81" t="s">
        <v>325</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8"/>
      <c r="BG24" s="49"/>
      <c r="BH24" s="48"/>
      <c r="BI24" s="49"/>
      <c r="BJ24" s="48"/>
      <c r="BK24" s="49"/>
      <c r="BL24" s="48"/>
      <c r="BM24" s="49"/>
      <c r="BN24" s="48"/>
    </row>
    <row r="25" spans="1:66" ht="15">
      <c r="A25" s="66" t="s">
        <v>378</v>
      </c>
      <c r="B25" s="66" t="s">
        <v>514</v>
      </c>
      <c r="C25" s="67" t="s">
        <v>3149</v>
      </c>
      <c r="D25" s="68">
        <v>4</v>
      </c>
      <c r="E25" s="69" t="s">
        <v>132</v>
      </c>
      <c r="F25" s="70">
        <v>30</v>
      </c>
      <c r="G25" s="67"/>
      <c r="H25" s="71"/>
      <c r="I25" s="72"/>
      <c r="J25" s="72"/>
      <c r="K25" s="34" t="s">
        <v>65</v>
      </c>
      <c r="L25" s="79">
        <v>25</v>
      </c>
      <c r="M25" s="79"/>
      <c r="N25" s="74"/>
      <c r="O25" s="81" t="s">
        <v>586</v>
      </c>
      <c r="P25" s="83">
        <v>44004.46533564815</v>
      </c>
      <c r="Q25" s="81" t="s">
        <v>595</v>
      </c>
      <c r="R25" s="81"/>
      <c r="S25" s="81"/>
      <c r="T25" s="81"/>
      <c r="U25" s="81"/>
      <c r="V25" s="84" t="str">
        <f>HYPERLINK("http://pbs.twimg.com/profile_images/1231540206341410816/siroPAMQ_normal.jpg")</f>
        <v>http://pbs.twimg.com/profile_images/1231540206341410816/siroPAMQ_normal.jpg</v>
      </c>
      <c r="W25" s="83">
        <v>44004.46533564815</v>
      </c>
      <c r="X25" s="87">
        <v>44004</v>
      </c>
      <c r="Y25" s="89" t="s">
        <v>745</v>
      </c>
      <c r="Z25" s="84" t="str">
        <f>HYPERLINK("https://twitter.com/annkempster/status/1275023248477040647")</f>
        <v>https://twitter.com/annkempster/status/1275023248477040647</v>
      </c>
      <c r="AA25" s="81"/>
      <c r="AB25" s="81"/>
      <c r="AC25" s="89" t="s">
        <v>954</v>
      </c>
      <c r="AD25" s="81"/>
      <c r="AE25" s="81" t="b">
        <v>0</v>
      </c>
      <c r="AF25" s="81">
        <v>0</v>
      </c>
      <c r="AG25" s="89" t="s">
        <v>1149</v>
      </c>
      <c r="AH25" s="81" t="b">
        <v>0</v>
      </c>
      <c r="AI25" s="81" t="s">
        <v>1150</v>
      </c>
      <c r="AJ25" s="81"/>
      <c r="AK25" s="89" t="s">
        <v>1149</v>
      </c>
      <c r="AL25" s="81" t="b">
        <v>0</v>
      </c>
      <c r="AM25" s="81">
        <v>37</v>
      </c>
      <c r="AN25" s="89" t="s">
        <v>1142</v>
      </c>
      <c r="AO25" s="81" t="s">
        <v>1175</v>
      </c>
      <c r="AP25" s="81" t="b">
        <v>0</v>
      </c>
      <c r="AQ25" s="89" t="s">
        <v>1142</v>
      </c>
      <c r="AR25" s="81" t="s">
        <v>325</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8">
        <v>3</v>
      </c>
      <c r="BG25" s="49">
        <v>7.5</v>
      </c>
      <c r="BH25" s="48">
        <v>0</v>
      </c>
      <c r="BI25" s="49">
        <v>0</v>
      </c>
      <c r="BJ25" s="48">
        <v>0</v>
      </c>
      <c r="BK25" s="49">
        <v>0</v>
      </c>
      <c r="BL25" s="48">
        <v>37</v>
      </c>
      <c r="BM25" s="49">
        <v>92.5</v>
      </c>
      <c r="BN25" s="48">
        <v>40</v>
      </c>
    </row>
    <row r="26" spans="1:66" ht="15">
      <c r="A26" s="66" t="s">
        <v>379</v>
      </c>
      <c r="B26" s="66" t="s">
        <v>513</v>
      </c>
      <c r="C26" s="67" t="s">
        <v>3149</v>
      </c>
      <c r="D26" s="68">
        <v>4</v>
      </c>
      <c r="E26" s="69" t="s">
        <v>132</v>
      </c>
      <c r="F26" s="70">
        <v>30</v>
      </c>
      <c r="G26" s="67"/>
      <c r="H26" s="71"/>
      <c r="I26" s="72"/>
      <c r="J26" s="72"/>
      <c r="K26" s="34" t="s">
        <v>65</v>
      </c>
      <c r="L26" s="79">
        <v>26</v>
      </c>
      <c r="M26" s="79"/>
      <c r="N26" s="74"/>
      <c r="O26" s="81" t="s">
        <v>588</v>
      </c>
      <c r="P26" s="83">
        <v>44004.46613425926</v>
      </c>
      <c r="Q26" s="81" t="s">
        <v>595</v>
      </c>
      <c r="R26" s="81"/>
      <c r="S26" s="81"/>
      <c r="T26" s="81"/>
      <c r="U26" s="81"/>
      <c r="V26" s="84" t="str">
        <f>HYPERLINK("http://pbs.twimg.com/profile_images/1161737606167715840/s3DfExtj_normal.jpg")</f>
        <v>http://pbs.twimg.com/profile_images/1161737606167715840/s3DfExtj_normal.jpg</v>
      </c>
      <c r="W26" s="83">
        <v>44004.46613425926</v>
      </c>
      <c r="X26" s="87">
        <v>44004</v>
      </c>
      <c r="Y26" s="89" t="s">
        <v>746</v>
      </c>
      <c r="Z26" s="84" t="str">
        <f>HYPERLINK("https://twitter.com/jtwentyman/status/1275023535816261634")</f>
        <v>https://twitter.com/jtwentyman/status/1275023535816261634</v>
      </c>
      <c r="AA26" s="81"/>
      <c r="AB26" s="81"/>
      <c r="AC26" s="89" t="s">
        <v>955</v>
      </c>
      <c r="AD26" s="81"/>
      <c r="AE26" s="81" t="b">
        <v>0</v>
      </c>
      <c r="AF26" s="81">
        <v>0</v>
      </c>
      <c r="AG26" s="89" t="s">
        <v>1149</v>
      </c>
      <c r="AH26" s="81" t="b">
        <v>0</v>
      </c>
      <c r="AI26" s="81" t="s">
        <v>1150</v>
      </c>
      <c r="AJ26" s="81"/>
      <c r="AK26" s="89" t="s">
        <v>1149</v>
      </c>
      <c r="AL26" s="81" t="b">
        <v>0</v>
      </c>
      <c r="AM26" s="81">
        <v>37</v>
      </c>
      <c r="AN26" s="89" t="s">
        <v>1142</v>
      </c>
      <c r="AO26" s="81" t="s">
        <v>1165</v>
      </c>
      <c r="AP26" s="81" t="b">
        <v>0</v>
      </c>
      <c r="AQ26" s="89" t="s">
        <v>1142</v>
      </c>
      <c r="AR26" s="81" t="s">
        <v>325</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8"/>
      <c r="BG26" s="49"/>
      <c r="BH26" s="48"/>
      <c r="BI26" s="49"/>
      <c r="BJ26" s="48"/>
      <c r="BK26" s="49"/>
      <c r="BL26" s="48"/>
      <c r="BM26" s="49"/>
      <c r="BN26" s="48"/>
    </row>
    <row r="27" spans="1:66" ht="15">
      <c r="A27" s="66" t="s">
        <v>379</v>
      </c>
      <c r="B27" s="66" t="s">
        <v>514</v>
      </c>
      <c r="C27" s="67" t="s">
        <v>3149</v>
      </c>
      <c r="D27" s="68">
        <v>4</v>
      </c>
      <c r="E27" s="69" t="s">
        <v>132</v>
      </c>
      <c r="F27" s="70">
        <v>30</v>
      </c>
      <c r="G27" s="67"/>
      <c r="H27" s="71"/>
      <c r="I27" s="72"/>
      <c r="J27" s="72"/>
      <c r="K27" s="34" t="s">
        <v>65</v>
      </c>
      <c r="L27" s="79">
        <v>27</v>
      </c>
      <c r="M27" s="79"/>
      <c r="N27" s="74"/>
      <c r="O27" s="81" t="s">
        <v>586</v>
      </c>
      <c r="P27" s="83">
        <v>44004.46613425926</v>
      </c>
      <c r="Q27" s="81" t="s">
        <v>595</v>
      </c>
      <c r="R27" s="81"/>
      <c r="S27" s="81"/>
      <c r="T27" s="81"/>
      <c r="U27" s="81"/>
      <c r="V27" s="84" t="str">
        <f>HYPERLINK("http://pbs.twimg.com/profile_images/1161737606167715840/s3DfExtj_normal.jpg")</f>
        <v>http://pbs.twimg.com/profile_images/1161737606167715840/s3DfExtj_normal.jpg</v>
      </c>
      <c r="W27" s="83">
        <v>44004.46613425926</v>
      </c>
      <c r="X27" s="87">
        <v>44004</v>
      </c>
      <c r="Y27" s="89" t="s">
        <v>746</v>
      </c>
      <c r="Z27" s="84" t="str">
        <f>HYPERLINK("https://twitter.com/jtwentyman/status/1275023535816261634")</f>
        <v>https://twitter.com/jtwentyman/status/1275023535816261634</v>
      </c>
      <c r="AA27" s="81"/>
      <c r="AB27" s="81"/>
      <c r="AC27" s="89" t="s">
        <v>955</v>
      </c>
      <c r="AD27" s="81"/>
      <c r="AE27" s="81" t="b">
        <v>0</v>
      </c>
      <c r="AF27" s="81">
        <v>0</v>
      </c>
      <c r="AG27" s="89" t="s">
        <v>1149</v>
      </c>
      <c r="AH27" s="81" t="b">
        <v>0</v>
      </c>
      <c r="AI27" s="81" t="s">
        <v>1150</v>
      </c>
      <c r="AJ27" s="81"/>
      <c r="AK27" s="89" t="s">
        <v>1149</v>
      </c>
      <c r="AL27" s="81" t="b">
        <v>0</v>
      </c>
      <c r="AM27" s="81">
        <v>37</v>
      </c>
      <c r="AN27" s="89" t="s">
        <v>1142</v>
      </c>
      <c r="AO27" s="81" t="s">
        <v>1165</v>
      </c>
      <c r="AP27" s="81" t="b">
        <v>0</v>
      </c>
      <c r="AQ27" s="89" t="s">
        <v>1142</v>
      </c>
      <c r="AR27" s="81" t="s">
        <v>325</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8">
        <v>3</v>
      </c>
      <c r="BG27" s="49">
        <v>7.5</v>
      </c>
      <c r="BH27" s="48">
        <v>0</v>
      </c>
      <c r="BI27" s="49">
        <v>0</v>
      </c>
      <c r="BJ27" s="48">
        <v>0</v>
      </c>
      <c r="BK27" s="49">
        <v>0</v>
      </c>
      <c r="BL27" s="48">
        <v>37</v>
      </c>
      <c r="BM27" s="49">
        <v>92.5</v>
      </c>
      <c r="BN27" s="48">
        <v>40</v>
      </c>
    </row>
    <row r="28" spans="1:66" ht="15">
      <c r="A28" s="66" t="s">
        <v>380</v>
      </c>
      <c r="B28" s="66" t="s">
        <v>513</v>
      </c>
      <c r="C28" s="67" t="s">
        <v>3149</v>
      </c>
      <c r="D28" s="68">
        <v>4</v>
      </c>
      <c r="E28" s="69" t="s">
        <v>132</v>
      </c>
      <c r="F28" s="70">
        <v>30</v>
      </c>
      <c r="G28" s="67"/>
      <c r="H28" s="71"/>
      <c r="I28" s="72"/>
      <c r="J28" s="72"/>
      <c r="K28" s="34" t="s">
        <v>65</v>
      </c>
      <c r="L28" s="79">
        <v>28</v>
      </c>
      <c r="M28" s="79"/>
      <c r="N28" s="74"/>
      <c r="O28" s="81" t="s">
        <v>588</v>
      </c>
      <c r="P28" s="83">
        <v>44004.46666666667</v>
      </c>
      <c r="Q28" s="81" t="s">
        <v>595</v>
      </c>
      <c r="R28" s="81"/>
      <c r="S28" s="81"/>
      <c r="T28" s="81"/>
      <c r="U28" s="81"/>
      <c r="V28" s="84" t="str">
        <f>HYPERLINK("http://pbs.twimg.com/profile_images/779335654379511808/2be3RZOv_normal.jpg")</f>
        <v>http://pbs.twimg.com/profile_images/779335654379511808/2be3RZOv_normal.jpg</v>
      </c>
      <c r="W28" s="83">
        <v>44004.46666666667</v>
      </c>
      <c r="X28" s="87">
        <v>44004</v>
      </c>
      <c r="Y28" s="89" t="s">
        <v>747</v>
      </c>
      <c r="Z28" s="84" t="str">
        <f>HYPERLINK("https://twitter.com/sihugh/status/1275023729668603911")</f>
        <v>https://twitter.com/sihugh/status/1275023729668603911</v>
      </c>
      <c r="AA28" s="81"/>
      <c r="AB28" s="81"/>
      <c r="AC28" s="89" t="s">
        <v>956</v>
      </c>
      <c r="AD28" s="81"/>
      <c r="AE28" s="81" t="b">
        <v>0</v>
      </c>
      <c r="AF28" s="81">
        <v>0</v>
      </c>
      <c r="AG28" s="89" t="s">
        <v>1149</v>
      </c>
      <c r="AH28" s="81" t="b">
        <v>0</v>
      </c>
      <c r="AI28" s="81" t="s">
        <v>1150</v>
      </c>
      <c r="AJ28" s="81"/>
      <c r="AK28" s="89" t="s">
        <v>1149</v>
      </c>
      <c r="AL28" s="81" t="b">
        <v>0</v>
      </c>
      <c r="AM28" s="81">
        <v>37</v>
      </c>
      <c r="AN28" s="89" t="s">
        <v>1142</v>
      </c>
      <c r="AO28" s="81" t="s">
        <v>1172</v>
      </c>
      <c r="AP28" s="81" t="b">
        <v>0</v>
      </c>
      <c r="AQ28" s="89" t="s">
        <v>1142</v>
      </c>
      <c r="AR28" s="81" t="s">
        <v>325</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8"/>
      <c r="BG28" s="49"/>
      <c r="BH28" s="48"/>
      <c r="BI28" s="49"/>
      <c r="BJ28" s="48"/>
      <c r="BK28" s="49"/>
      <c r="BL28" s="48"/>
      <c r="BM28" s="49"/>
      <c r="BN28" s="48"/>
    </row>
    <row r="29" spans="1:66" ht="15">
      <c r="A29" s="66" t="s">
        <v>380</v>
      </c>
      <c r="B29" s="66" t="s">
        <v>514</v>
      </c>
      <c r="C29" s="67" t="s">
        <v>3149</v>
      </c>
      <c r="D29" s="68">
        <v>4</v>
      </c>
      <c r="E29" s="69" t="s">
        <v>132</v>
      </c>
      <c r="F29" s="70">
        <v>30</v>
      </c>
      <c r="G29" s="67"/>
      <c r="H29" s="71"/>
      <c r="I29" s="72"/>
      <c r="J29" s="72"/>
      <c r="K29" s="34" t="s">
        <v>65</v>
      </c>
      <c r="L29" s="79">
        <v>29</v>
      </c>
      <c r="M29" s="79"/>
      <c r="N29" s="74"/>
      <c r="O29" s="81" t="s">
        <v>586</v>
      </c>
      <c r="P29" s="83">
        <v>44004.46666666667</v>
      </c>
      <c r="Q29" s="81" t="s">
        <v>595</v>
      </c>
      <c r="R29" s="81"/>
      <c r="S29" s="81"/>
      <c r="T29" s="81"/>
      <c r="U29" s="81"/>
      <c r="V29" s="84" t="str">
        <f>HYPERLINK("http://pbs.twimg.com/profile_images/779335654379511808/2be3RZOv_normal.jpg")</f>
        <v>http://pbs.twimg.com/profile_images/779335654379511808/2be3RZOv_normal.jpg</v>
      </c>
      <c r="W29" s="83">
        <v>44004.46666666667</v>
      </c>
      <c r="X29" s="87">
        <v>44004</v>
      </c>
      <c r="Y29" s="89" t="s">
        <v>747</v>
      </c>
      <c r="Z29" s="84" t="str">
        <f>HYPERLINK("https://twitter.com/sihugh/status/1275023729668603911")</f>
        <v>https://twitter.com/sihugh/status/1275023729668603911</v>
      </c>
      <c r="AA29" s="81"/>
      <c r="AB29" s="81"/>
      <c r="AC29" s="89" t="s">
        <v>956</v>
      </c>
      <c r="AD29" s="81"/>
      <c r="AE29" s="81" t="b">
        <v>0</v>
      </c>
      <c r="AF29" s="81">
        <v>0</v>
      </c>
      <c r="AG29" s="89" t="s">
        <v>1149</v>
      </c>
      <c r="AH29" s="81" t="b">
        <v>0</v>
      </c>
      <c r="AI29" s="81" t="s">
        <v>1150</v>
      </c>
      <c r="AJ29" s="81"/>
      <c r="AK29" s="89" t="s">
        <v>1149</v>
      </c>
      <c r="AL29" s="81" t="b">
        <v>0</v>
      </c>
      <c r="AM29" s="81">
        <v>37</v>
      </c>
      <c r="AN29" s="89" t="s">
        <v>1142</v>
      </c>
      <c r="AO29" s="81" t="s">
        <v>1172</v>
      </c>
      <c r="AP29" s="81" t="b">
        <v>0</v>
      </c>
      <c r="AQ29" s="89" t="s">
        <v>1142</v>
      </c>
      <c r="AR29" s="81" t="s">
        <v>325</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8">
        <v>3</v>
      </c>
      <c r="BG29" s="49">
        <v>7.5</v>
      </c>
      <c r="BH29" s="48">
        <v>0</v>
      </c>
      <c r="BI29" s="49">
        <v>0</v>
      </c>
      <c r="BJ29" s="48">
        <v>0</v>
      </c>
      <c r="BK29" s="49">
        <v>0</v>
      </c>
      <c r="BL29" s="48">
        <v>37</v>
      </c>
      <c r="BM29" s="49">
        <v>92.5</v>
      </c>
      <c r="BN29" s="48">
        <v>40</v>
      </c>
    </row>
    <row r="30" spans="1:66" ht="15">
      <c r="A30" s="66" t="s">
        <v>381</v>
      </c>
      <c r="B30" s="66" t="s">
        <v>513</v>
      </c>
      <c r="C30" s="67" t="s">
        <v>3149</v>
      </c>
      <c r="D30" s="68">
        <v>4</v>
      </c>
      <c r="E30" s="69" t="s">
        <v>132</v>
      </c>
      <c r="F30" s="70">
        <v>30</v>
      </c>
      <c r="G30" s="67"/>
      <c r="H30" s="71"/>
      <c r="I30" s="72"/>
      <c r="J30" s="72"/>
      <c r="K30" s="34" t="s">
        <v>65</v>
      </c>
      <c r="L30" s="79">
        <v>30</v>
      </c>
      <c r="M30" s="79"/>
      <c r="N30" s="74"/>
      <c r="O30" s="81" t="s">
        <v>588</v>
      </c>
      <c r="P30" s="83">
        <v>44004.46703703704</v>
      </c>
      <c r="Q30" s="81" t="s">
        <v>595</v>
      </c>
      <c r="R30" s="81"/>
      <c r="S30" s="81"/>
      <c r="T30" s="81"/>
      <c r="U30" s="81"/>
      <c r="V30" s="84" t="str">
        <f>HYPERLINK("http://pbs.twimg.com/profile_images/1215556487868829696/CxKwhFtM_normal.jpg")</f>
        <v>http://pbs.twimg.com/profile_images/1215556487868829696/CxKwhFtM_normal.jpg</v>
      </c>
      <c r="W30" s="83">
        <v>44004.46703703704</v>
      </c>
      <c r="X30" s="87">
        <v>44004</v>
      </c>
      <c r="Y30" s="89" t="s">
        <v>748</v>
      </c>
      <c r="Z30" s="84" t="str">
        <f>HYPERLINK("https://twitter.com/nevali/status/1275023864267968513")</f>
        <v>https://twitter.com/nevali/status/1275023864267968513</v>
      </c>
      <c r="AA30" s="81"/>
      <c r="AB30" s="81"/>
      <c r="AC30" s="89" t="s">
        <v>957</v>
      </c>
      <c r="AD30" s="81"/>
      <c r="AE30" s="81" t="b">
        <v>0</v>
      </c>
      <c r="AF30" s="81">
        <v>0</v>
      </c>
      <c r="AG30" s="89" t="s">
        <v>1149</v>
      </c>
      <c r="AH30" s="81" t="b">
        <v>0</v>
      </c>
      <c r="AI30" s="81" t="s">
        <v>1150</v>
      </c>
      <c r="AJ30" s="81"/>
      <c r="AK30" s="89" t="s">
        <v>1149</v>
      </c>
      <c r="AL30" s="81" t="b">
        <v>0</v>
      </c>
      <c r="AM30" s="81">
        <v>37</v>
      </c>
      <c r="AN30" s="89" t="s">
        <v>1142</v>
      </c>
      <c r="AO30" s="81" t="s">
        <v>1165</v>
      </c>
      <c r="AP30" s="81" t="b">
        <v>0</v>
      </c>
      <c r="AQ30" s="89" t="s">
        <v>1142</v>
      </c>
      <c r="AR30" s="81" t="s">
        <v>325</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8"/>
      <c r="BG30" s="49"/>
      <c r="BH30" s="48"/>
      <c r="BI30" s="49"/>
      <c r="BJ30" s="48"/>
      <c r="BK30" s="49"/>
      <c r="BL30" s="48"/>
      <c r="BM30" s="49"/>
      <c r="BN30" s="48"/>
    </row>
    <row r="31" spans="1:66" ht="15">
      <c r="A31" s="66" t="s">
        <v>381</v>
      </c>
      <c r="B31" s="66" t="s">
        <v>514</v>
      </c>
      <c r="C31" s="67" t="s">
        <v>3149</v>
      </c>
      <c r="D31" s="68">
        <v>4</v>
      </c>
      <c r="E31" s="69" t="s">
        <v>132</v>
      </c>
      <c r="F31" s="70">
        <v>30</v>
      </c>
      <c r="G31" s="67"/>
      <c r="H31" s="71"/>
      <c r="I31" s="72"/>
      <c r="J31" s="72"/>
      <c r="K31" s="34" t="s">
        <v>65</v>
      </c>
      <c r="L31" s="79">
        <v>31</v>
      </c>
      <c r="M31" s="79"/>
      <c r="N31" s="74"/>
      <c r="O31" s="81" t="s">
        <v>586</v>
      </c>
      <c r="P31" s="83">
        <v>44004.46703703704</v>
      </c>
      <c r="Q31" s="81" t="s">
        <v>595</v>
      </c>
      <c r="R31" s="81"/>
      <c r="S31" s="81"/>
      <c r="T31" s="81"/>
      <c r="U31" s="81"/>
      <c r="V31" s="84" t="str">
        <f>HYPERLINK("http://pbs.twimg.com/profile_images/1215556487868829696/CxKwhFtM_normal.jpg")</f>
        <v>http://pbs.twimg.com/profile_images/1215556487868829696/CxKwhFtM_normal.jpg</v>
      </c>
      <c r="W31" s="83">
        <v>44004.46703703704</v>
      </c>
      <c r="X31" s="87">
        <v>44004</v>
      </c>
      <c r="Y31" s="89" t="s">
        <v>748</v>
      </c>
      <c r="Z31" s="84" t="str">
        <f>HYPERLINK("https://twitter.com/nevali/status/1275023864267968513")</f>
        <v>https://twitter.com/nevali/status/1275023864267968513</v>
      </c>
      <c r="AA31" s="81"/>
      <c r="AB31" s="81"/>
      <c r="AC31" s="89" t="s">
        <v>957</v>
      </c>
      <c r="AD31" s="81"/>
      <c r="AE31" s="81" t="b">
        <v>0</v>
      </c>
      <c r="AF31" s="81">
        <v>0</v>
      </c>
      <c r="AG31" s="89" t="s">
        <v>1149</v>
      </c>
      <c r="AH31" s="81" t="b">
        <v>0</v>
      </c>
      <c r="AI31" s="81" t="s">
        <v>1150</v>
      </c>
      <c r="AJ31" s="81"/>
      <c r="AK31" s="89" t="s">
        <v>1149</v>
      </c>
      <c r="AL31" s="81" t="b">
        <v>0</v>
      </c>
      <c r="AM31" s="81">
        <v>37</v>
      </c>
      <c r="AN31" s="89" t="s">
        <v>1142</v>
      </c>
      <c r="AO31" s="81" t="s">
        <v>1165</v>
      </c>
      <c r="AP31" s="81" t="b">
        <v>0</v>
      </c>
      <c r="AQ31" s="89" t="s">
        <v>1142</v>
      </c>
      <c r="AR31" s="81" t="s">
        <v>325</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8">
        <v>3</v>
      </c>
      <c r="BG31" s="49">
        <v>7.5</v>
      </c>
      <c r="BH31" s="48">
        <v>0</v>
      </c>
      <c r="BI31" s="49">
        <v>0</v>
      </c>
      <c r="BJ31" s="48">
        <v>0</v>
      </c>
      <c r="BK31" s="49">
        <v>0</v>
      </c>
      <c r="BL31" s="48">
        <v>37</v>
      </c>
      <c r="BM31" s="49">
        <v>92.5</v>
      </c>
      <c r="BN31" s="48">
        <v>40</v>
      </c>
    </row>
    <row r="32" spans="1:66" ht="15">
      <c r="A32" s="66" t="s">
        <v>382</v>
      </c>
      <c r="B32" s="66" t="s">
        <v>513</v>
      </c>
      <c r="C32" s="67" t="s">
        <v>3149</v>
      </c>
      <c r="D32" s="68">
        <v>4</v>
      </c>
      <c r="E32" s="69" t="s">
        <v>132</v>
      </c>
      <c r="F32" s="70">
        <v>30</v>
      </c>
      <c r="G32" s="67"/>
      <c r="H32" s="71"/>
      <c r="I32" s="72"/>
      <c r="J32" s="72"/>
      <c r="K32" s="34" t="s">
        <v>65</v>
      </c>
      <c r="L32" s="79">
        <v>32</v>
      </c>
      <c r="M32" s="79"/>
      <c r="N32" s="74"/>
      <c r="O32" s="81" t="s">
        <v>588</v>
      </c>
      <c r="P32" s="83">
        <v>44004.467094907406</v>
      </c>
      <c r="Q32" s="81" t="s">
        <v>595</v>
      </c>
      <c r="R32" s="81"/>
      <c r="S32" s="81"/>
      <c r="T32" s="81"/>
      <c r="U32" s="81"/>
      <c r="V32" s="84" t="str">
        <f>HYPERLINK("http://pbs.twimg.com/profile_images/957484678855839746/pZJMD6qw_normal.jpg")</f>
        <v>http://pbs.twimg.com/profile_images/957484678855839746/pZJMD6qw_normal.jpg</v>
      </c>
      <c r="W32" s="83">
        <v>44004.467094907406</v>
      </c>
      <c r="X32" s="87">
        <v>44004</v>
      </c>
      <c r="Y32" s="89" t="s">
        <v>749</v>
      </c>
      <c r="Z32" s="84" t="str">
        <f>HYPERLINK("https://twitter.com/ellenbroad/status/1275023885243527169")</f>
        <v>https://twitter.com/ellenbroad/status/1275023885243527169</v>
      </c>
      <c r="AA32" s="81"/>
      <c r="AB32" s="81"/>
      <c r="AC32" s="89" t="s">
        <v>958</v>
      </c>
      <c r="AD32" s="81"/>
      <c r="AE32" s="81" t="b">
        <v>0</v>
      </c>
      <c r="AF32" s="81">
        <v>0</v>
      </c>
      <c r="AG32" s="89" t="s">
        <v>1149</v>
      </c>
      <c r="AH32" s="81" t="b">
        <v>0</v>
      </c>
      <c r="AI32" s="81" t="s">
        <v>1150</v>
      </c>
      <c r="AJ32" s="81"/>
      <c r="AK32" s="89" t="s">
        <v>1149</v>
      </c>
      <c r="AL32" s="81" t="b">
        <v>0</v>
      </c>
      <c r="AM32" s="81">
        <v>37</v>
      </c>
      <c r="AN32" s="89" t="s">
        <v>1142</v>
      </c>
      <c r="AO32" s="81" t="s">
        <v>1165</v>
      </c>
      <c r="AP32" s="81" t="b">
        <v>0</v>
      </c>
      <c r="AQ32" s="89" t="s">
        <v>1142</v>
      </c>
      <c r="AR32" s="81" t="s">
        <v>325</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8"/>
      <c r="BG32" s="49"/>
      <c r="BH32" s="48"/>
      <c r="BI32" s="49"/>
      <c r="BJ32" s="48"/>
      <c r="BK32" s="49"/>
      <c r="BL32" s="48"/>
      <c r="BM32" s="49"/>
      <c r="BN32" s="48"/>
    </row>
    <row r="33" spans="1:66" ht="15">
      <c r="A33" s="66" t="s">
        <v>382</v>
      </c>
      <c r="B33" s="66" t="s">
        <v>514</v>
      </c>
      <c r="C33" s="67" t="s">
        <v>3149</v>
      </c>
      <c r="D33" s="68">
        <v>4</v>
      </c>
      <c r="E33" s="69" t="s">
        <v>132</v>
      </c>
      <c r="F33" s="70">
        <v>30</v>
      </c>
      <c r="G33" s="67"/>
      <c r="H33" s="71"/>
      <c r="I33" s="72"/>
      <c r="J33" s="72"/>
      <c r="K33" s="34" t="s">
        <v>65</v>
      </c>
      <c r="L33" s="79">
        <v>33</v>
      </c>
      <c r="M33" s="79"/>
      <c r="N33" s="74"/>
      <c r="O33" s="81" t="s">
        <v>586</v>
      </c>
      <c r="P33" s="83">
        <v>44004.467094907406</v>
      </c>
      <c r="Q33" s="81" t="s">
        <v>595</v>
      </c>
      <c r="R33" s="81"/>
      <c r="S33" s="81"/>
      <c r="T33" s="81"/>
      <c r="U33" s="81"/>
      <c r="V33" s="84" t="str">
        <f>HYPERLINK("http://pbs.twimg.com/profile_images/957484678855839746/pZJMD6qw_normal.jpg")</f>
        <v>http://pbs.twimg.com/profile_images/957484678855839746/pZJMD6qw_normal.jpg</v>
      </c>
      <c r="W33" s="83">
        <v>44004.467094907406</v>
      </c>
      <c r="X33" s="87">
        <v>44004</v>
      </c>
      <c r="Y33" s="89" t="s">
        <v>749</v>
      </c>
      <c r="Z33" s="84" t="str">
        <f>HYPERLINK("https://twitter.com/ellenbroad/status/1275023885243527169")</f>
        <v>https://twitter.com/ellenbroad/status/1275023885243527169</v>
      </c>
      <c r="AA33" s="81"/>
      <c r="AB33" s="81"/>
      <c r="AC33" s="89" t="s">
        <v>958</v>
      </c>
      <c r="AD33" s="81"/>
      <c r="AE33" s="81" t="b">
        <v>0</v>
      </c>
      <c r="AF33" s="81">
        <v>0</v>
      </c>
      <c r="AG33" s="89" t="s">
        <v>1149</v>
      </c>
      <c r="AH33" s="81" t="b">
        <v>0</v>
      </c>
      <c r="AI33" s="81" t="s">
        <v>1150</v>
      </c>
      <c r="AJ33" s="81"/>
      <c r="AK33" s="89" t="s">
        <v>1149</v>
      </c>
      <c r="AL33" s="81" t="b">
        <v>0</v>
      </c>
      <c r="AM33" s="81">
        <v>37</v>
      </c>
      <c r="AN33" s="89" t="s">
        <v>1142</v>
      </c>
      <c r="AO33" s="81" t="s">
        <v>1165</v>
      </c>
      <c r="AP33" s="81" t="b">
        <v>0</v>
      </c>
      <c r="AQ33" s="89" t="s">
        <v>1142</v>
      </c>
      <c r="AR33" s="81" t="s">
        <v>325</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8">
        <v>3</v>
      </c>
      <c r="BG33" s="49">
        <v>7.5</v>
      </c>
      <c r="BH33" s="48">
        <v>0</v>
      </c>
      <c r="BI33" s="49">
        <v>0</v>
      </c>
      <c r="BJ33" s="48">
        <v>0</v>
      </c>
      <c r="BK33" s="49">
        <v>0</v>
      </c>
      <c r="BL33" s="48">
        <v>37</v>
      </c>
      <c r="BM33" s="49">
        <v>92.5</v>
      </c>
      <c r="BN33" s="48">
        <v>40</v>
      </c>
    </row>
    <row r="34" spans="1:66" ht="15">
      <c r="A34" s="66" t="s">
        <v>383</v>
      </c>
      <c r="B34" s="66" t="s">
        <v>513</v>
      </c>
      <c r="C34" s="67" t="s">
        <v>3149</v>
      </c>
      <c r="D34" s="68">
        <v>4</v>
      </c>
      <c r="E34" s="69" t="s">
        <v>132</v>
      </c>
      <c r="F34" s="70">
        <v>30</v>
      </c>
      <c r="G34" s="67"/>
      <c r="H34" s="71"/>
      <c r="I34" s="72"/>
      <c r="J34" s="72"/>
      <c r="K34" s="34" t="s">
        <v>65</v>
      </c>
      <c r="L34" s="79">
        <v>34</v>
      </c>
      <c r="M34" s="79"/>
      <c r="N34" s="74"/>
      <c r="O34" s="81" t="s">
        <v>588</v>
      </c>
      <c r="P34" s="83">
        <v>44004.46806712963</v>
      </c>
      <c r="Q34" s="81" t="s">
        <v>595</v>
      </c>
      <c r="R34" s="81"/>
      <c r="S34" s="81"/>
      <c r="T34" s="81"/>
      <c r="U34" s="81"/>
      <c r="V34" s="84" t="str">
        <f>HYPERLINK("http://pbs.twimg.com/profile_images/378800000268650026/fd91606861cc8d50f3885ed3dddd8f15_normal.jpeg")</f>
        <v>http://pbs.twimg.com/profile_images/378800000268650026/fd91606861cc8d50f3885ed3dddd8f15_normal.jpeg</v>
      </c>
      <c r="W34" s="83">
        <v>44004.46806712963</v>
      </c>
      <c r="X34" s="87">
        <v>44004</v>
      </c>
      <c r="Y34" s="89" t="s">
        <v>750</v>
      </c>
      <c r="Z34" s="84" t="str">
        <f>HYPERLINK("https://twitter.com/jargonautical/status/1275024238311849987")</f>
        <v>https://twitter.com/jargonautical/status/1275024238311849987</v>
      </c>
      <c r="AA34" s="81"/>
      <c r="AB34" s="81"/>
      <c r="AC34" s="89" t="s">
        <v>959</v>
      </c>
      <c r="AD34" s="81"/>
      <c r="AE34" s="81" t="b">
        <v>0</v>
      </c>
      <c r="AF34" s="81">
        <v>0</v>
      </c>
      <c r="AG34" s="89" t="s">
        <v>1149</v>
      </c>
      <c r="AH34" s="81" t="b">
        <v>0</v>
      </c>
      <c r="AI34" s="81" t="s">
        <v>1150</v>
      </c>
      <c r="AJ34" s="81"/>
      <c r="AK34" s="89" t="s">
        <v>1149</v>
      </c>
      <c r="AL34" s="81" t="b">
        <v>0</v>
      </c>
      <c r="AM34" s="81">
        <v>37</v>
      </c>
      <c r="AN34" s="89" t="s">
        <v>1142</v>
      </c>
      <c r="AO34" s="81" t="s">
        <v>1172</v>
      </c>
      <c r="AP34" s="81" t="b">
        <v>0</v>
      </c>
      <c r="AQ34" s="89" t="s">
        <v>1142</v>
      </c>
      <c r="AR34" s="81" t="s">
        <v>325</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8"/>
      <c r="BG34" s="49"/>
      <c r="BH34" s="48"/>
      <c r="BI34" s="49"/>
      <c r="BJ34" s="48"/>
      <c r="BK34" s="49"/>
      <c r="BL34" s="48"/>
      <c r="BM34" s="49"/>
      <c r="BN34" s="48"/>
    </row>
    <row r="35" spans="1:66" ht="15">
      <c r="A35" s="66" t="s">
        <v>383</v>
      </c>
      <c r="B35" s="66" t="s">
        <v>514</v>
      </c>
      <c r="C35" s="67" t="s">
        <v>3149</v>
      </c>
      <c r="D35" s="68">
        <v>4</v>
      </c>
      <c r="E35" s="69" t="s">
        <v>132</v>
      </c>
      <c r="F35" s="70">
        <v>30</v>
      </c>
      <c r="G35" s="67"/>
      <c r="H35" s="71"/>
      <c r="I35" s="72"/>
      <c r="J35" s="72"/>
      <c r="K35" s="34" t="s">
        <v>65</v>
      </c>
      <c r="L35" s="79">
        <v>35</v>
      </c>
      <c r="M35" s="79"/>
      <c r="N35" s="74"/>
      <c r="O35" s="81" t="s">
        <v>586</v>
      </c>
      <c r="P35" s="83">
        <v>44004.46806712963</v>
      </c>
      <c r="Q35" s="81" t="s">
        <v>595</v>
      </c>
      <c r="R35" s="81"/>
      <c r="S35" s="81"/>
      <c r="T35" s="81"/>
      <c r="U35" s="81"/>
      <c r="V35" s="84" t="str">
        <f>HYPERLINK("http://pbs.twimg.com/profile_images/378800000268650026/fd91606861cc8d50f3885ed3dddd8f15_normal.jpeg")</f>
        <v>http://pbs.twimg.com/profile_images/378800000268650026/fd91606861cc8d50f3885ed3dddd8f15_normal.jpeg</v>
      </c>
      <c r="W35" s="83">
        <v>44004.46806712963</v>
      </c>
      <c r="X35" s="87">
        <v>44004</v>
      </c>
      <c r="Y35" s="89" t="s">
        <v>750</v>
      </c>
      <c r="Z35" s="84" t="str">
        <f>HYPERLINK("https://twitter.com/jargonautical/status/1275024238311849987")</f>
        <v>https://twitter.com/jargonautical/status/1275024238311849987</v>
      </c>
      <c r="AA35" s="81"/>
      <c r="AB35" s="81"/>
      <c r="AC35" s="89" t="s">
        <v>959</v>
      </c>
      <c r="AD35" s="81"/>
      <c r="AE35" s="81" t="b">
        <v>0</v>
      </c>
      <c r="AF35" s="81">
        <v>0</v>
      </c>
      <c r="AG35" s="89" t="s">
        <v>1149</v>
      </c>
      <c r="AH35" s="81" t="b">
        <v>0</v>
      </c>
      <c r="AI35" s="81" t="s">
        <v>1150</v>
      </c>
      <c r="AJ35" s="81"/>
      <c r="AK35" s="89" t="s">
        <v>1149</v>
      </c>
      <c r="AL35" s="81" t="b">
        <v>0</v>
      </c>
      <c r="AM35" s="81">
        <v>37</v>
      </c>
      <c r="AN35" s="89" t="s">
        <v>1142</v>
      </c>
      <c r="AO35" s="81" t="s">
        <v>1172</v>
      </c>
      <c r="AP35" s="81" t="b">
        <v>0</v>
      </c>
      <c r="AQ35" s="89" t="s">
        <v>1142</v>
      </c>
      <c r="AR35" s="81" t="s">
        <v>325</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8">
        <v>3</v>
      </c>
      <c r="BG35" s="49">
        <v>7.5</v>
      </c>
      <c r="BH35" s="48">
        <v>0</v>
      </c>
      <c r="BI35" s="49">
        <v>0</v>
      </c>
      <c r="BJ35" s="48">
        <v>0</v>
      </c>
      <c r="BK35" s="49">
        <v>0</v>
      </c>
      <c r="BL35" s="48">
        <v>37</v>
      </c>
      <c r="BM35" s="49">
        <v>92.5</v>
      </c>
      <c r="BN35" s="48">
        <v>40</v>
      </c>
    </row>
    <row r="36" spans="1:66" ht="15">
      <c r="A36" s="66" t="s">
        <v>384</v>
      </c>
      <c r="B36" s="66" t="s">
        <v>513</v>
      </c>
      <c r="C36" s="67" t="s">
        <v>3149</v>
      </c>
      <c r="D36" s="68">
        <v>4</v>
      </c>
      <c r="E36" s="69" t="s">
        <v>132</v>
      </c>
      <c r="F36" s="70">
        <v>30</v>
      </c>
      <c r="G36" s="67"/>
      <c r="H36" s="71"/>
      <c r="I36" s="72"/>
      <c r="J36" s="72"/>
      <c r="K36" s="34" t="s">
        <v>65</v>
      </c>
      <c r="L36" s="79">
        <v>36</v>
      </c>
      <c r="M36" s="79"/>
      <c r="N36" s="74"/>
      <c r="O36" s="81" t="s">
        <v>588</v>
      </c>
      <c r="P36" s="83">
        <v>44004.46836805555</v>
      </c>
      <c r="Q36" s="81" t="s">
        <v>595</v>
      </c>
      <c r="R36" s="81"/>
      <c r="S36" s="81"/>
      <c r="T36" s="81"/>
      <c r="U36" s="81"/>
      <c r="V36" s="84" t="str">
        <f>HYPERLINK("http://pbs.twimg.com/profile_images/1231486337032826885/J26kp1W2_normal.jpg")</f>
        <v>http://pbs.twimg.com/profile_images/1231486337032826885/J26kp1W2_normal.jpg</v>
      </c>
      <c r="W36" s="83">
        <v>44004.46836805555</v>
      </c>
      <c r="X36" s="87">
        <v>44004</v>
      </c>
      <c r="Y36" s="89" t="s">
        <v>751</v>
      </c>
      <c r="Z36" s="84" t="str">
        <f>HYPERLINK("https://twitter.com/mets1977/status/1275024347749666820")</f>
        <v>https://twitter.com/mets1977/status/1275024347749666820</v>
      </c>
      <c r="AA36" s="81"/>
      <c r="AB36" s="81"/>
      <c r="AC36" s="89" t="s">
        <v>960</v>
      </c>
      <c r="AD36" s="81"/>
      <c r="AE36" s="81" t="b">
        <v>0</v>
      </c>
      <c r="AF36" s="81">
        <v>0</v>
      </c>
      <c r="AG36" s="89" t="s">
        <v>1149</v>
      </c>
      <c r="AH36" s="81" t="b">
        <v>0</v>
      </c>
      <c r="AI36" s="81" t="s">
        <v>1150</v>
      </c>
      <c r="AJ36" s="81"/>
      <c r="AK36" s="89" t="s">
        <v>1149</v>
      </c>
      <c r="AL36" s="81" t="b">
        <v>0</v>
      </c>
      <c r="AM36" s="81">
        <v>37</v>
      </c>
      <c r="AN36" s="89" t="s">
        <v>1142</v>
      </c>
      <c r="AO36" s="81" t="s">
        <v>1176</v>
      </c>
      <c r="AP36" s="81" t="b">
        <v>0</v>
      </c>
      <c r="AQ36" s="89" t="s">
        <v>1142</v>
      </c>
      <c r="AR36" s="81" t="s">
        <v>325</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8"/>
      <c r="BG36" s="49"/>
      <c r="BH36" s="48"/>
      <c r="BI36" s="49"/>
      <c r="BJ36" s="48"/>
      <c r="BK36" s="49"/>
      <c r="BL36" s="48"/>
      <c r="BM36" s="49"/>
      <c r="BN36" s="48"/>
    </row>
    <row r="37" spans="1:66" ht="15">
      <c r="A37" s="66" t="s">
        <v>384</v>
      </c>
      <c r="B37" s="66" t="s">
        <v>514</v>
      </c>
      <c r="C37" s="67" t="s">
        <v>3149</v>
      </c>
      <c r="D37" s="68">
        <v>4</v>
      </c>
      <c r="E37" s="69" t="s">
        <v>132</v>
      </c>
      <c r="F37" s="70">
        <v>30</v>
      </c>
      <c r="G37" s="67"/>
      <c r="H37" s="71"/>
      <c r="I37" s="72"/>
      <c r="J37" s="72"/>
      <c r="K37" s="34" t="s">
        <v>65</v>
      </c>
      <c r="L37" s="79">
        <v>37</v>
      </c>
      <c r="M37" s="79"/>
      <c r="N37" s="74"/>
      <c r="O37" s="81" t="s">
        <v>586</v>
      </c>
      <c r="P37" s="83">
        <v>44004.46836805555</v>
      </c>
      <c r="Q37" s="81" t="s">
        <v>595</v>
      </c>
      <c r="R37" s="81"/>
      <c r="S37" s="81"/>
      <c r="T37" s="81"/>
      <c r="U37" s="81"/>
      <c r="V37" s="84" t="str">
        <f>HYPERLINK("http://pbs.twimg.com/profile_images/1231486337032826885/J26kp1W2_normal.jpg")</f>
        <v>http://pbs.twimg.com/profile_images/1231486337032826885/J26kp1W2_normal.jpg</v>
      </c>
      <c r="W37" s="83">
        <v>44004.46836805555</v>
      </c>
      <c r="X37" s="87">
        <v>44004</v>
      </c>
      <c r="Y37" s="89" t="s">
        <v>751</v>
      </c>
      <c r="Z37" s="84" t="str">
        <f>HYPERLINK("https://twitter.com/mets1977/status/1275024347749666820")</f>
        <v>https://twitter.com/mets1977/status/1275024347749666820</v>
      </c>
      <c r="AA37" s="81"/>
      <c r="AB37" s="81"/>
      <c r="AC37" s="89" t="s">
        <v>960</v>
      </c>
      <c r="AD37" s="81"/>
      <c r="AE37" s="81" t="b">
        <v>0</v>
      </c>
      <c r="AF37" s="81">
        <v>0</v>
      </c>
      <c r="AG37" s="89" t="s">
        <v>1149</v>
      </c>
      <c r="AH37" s="81" t="b">
        <v>0</v>
      </c>
      <c r="AI37" s="81" t="s">
        <v>1150</v>
      </c>
      <c r="AJ37" s="81"/>
      <c r="AK37" s="89" t="s">
        <v>1149</v>
      </c>
      <c r="AL37" s="81" t="b">
        <v>0</v>
      </c>
      <c r="AM37" s="81">
        <v>37</v>
      </c>
      <c r="AN37" s="89" t="s">
        <v>1142</v>
      </c>
      <c r="AO37" s="81" t="s">
        <v>1176</v>
      </c>
      <c r="AP37" s="81" t="b">
        <v>0</v>
      </c>
      <c r="AQ37" s="89" t="s">
        <v>1142</v>
      </c>
      <c r="AR37" s="81" t="s">
        <v>325</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8">
        <v>3</v>
      </c>
      <c r="BG37" s="49">
        <v>7.5</v>
      </c>
      <c r="BH37" s="48">
        <v>0</v>
      </c>
      <c r="BI37" s="49">
        <v>0</v>
      </c>
      <c r="BJ37" s="48">
        <v>0</v>
      </c>
      <c r="BK37" s="49">
        <v>0</v>
      </c>
      <c r="BL37" s="48">
        <v>37</v>
      </c>
      <c r="BM37" s="49">
        <v>92.5</v>
      </c>
      <c r="BN37" s="48">
        <v>40</v>
      </c>
    </row>
    <row r="38" spans="1:66" ht="15">
      <c r="A38" s="66" t="s">
        <v>385</v>
      </c>
      <c r="B38" s="66" t="s">
        <v>513</v>
      </c>
      <c r="C38" s="67" t="s">
        <v>3149</v>
      </c>
      <c r="D38" s="68">
        <v>4</v>
      </c>
      <c r="E38" s="69" t="s">
        <v>132</v>
      </c>
      <c r="F38" s="70">
        <v>30</v>
      </c>
      <c r="G38" s="67"/>
      <c r="H38" s="71"/>
      <c r="I38" s="72"/>
      <c r="J38" s="72"/>
      <c r="K38" s="34" t="s">
        <v>65</v>
      </c>
      <c r="L38" s="79">
        <v>38</v>
      </c>
      <c r="M38" s="79"/>
      <c r="N38" s="74"/>
      <c r="O38" s="81" t="s">
        <v>588</v>
      </c>
      <c r="P38" s="83">
        <v>44004.47193287037</v>
      </c>
      <c r="Q38" s="81" t="s">
        <v>595</v>
      </c>
      <c r="R38" s="81"/>
      <c r="S38" s="81"/>
      <c r="T38" s="81"/>
      <c r="U38" s="81"/>
      <c r="V38" s="84" t="str">
        <f>HYPERLINK("http://pbs.twimg.com/profile_images/1227314820749418496/ispRUpJU_normal.jpg")</f>
        <v>http://pbs.twimg.com/profile_images/1227314820749418496/ispRUpJU_normal.jpg</v>
      </c>
      <c r="W38" s="83">
        <v>44004.47193287037</v>
      </c>
      <c r="X38" s="87">
        <v>44004</v>
      </c>
      <c r="Y38" s="89" t="s">
        <v>752</v>
      </c>
      <c r="Z38" s="84" t="str">
        <f>HYPERLINK("https://twitter.com/mrj1971/status/1275025637879746560")</f>
        <v>https://twitter.com/mrj1971/status/1275025637879746560</v>
      </c>
      <c r="AA38" s="81"/>
      <c r="AB38" s="81"/>
      <c r="AC38" s="89" t="s">
        <v>961</v>
      </c>
      <c r="AD38" s="81"/>
      <c r="AE38" s="81" t="b">
        <v>0</v>
      </c>
      <c r="AF38" s="81">
        <v>0</v>
      </c>
      <c r="AG38" s="89" t="s">
        <v>1149</v>
      </c>
      <c r="AH38" s="81" t="b">
        <v>0</v>
      </c>
      <c r="AI38" s="81" t="s">
        <v>1150</v>
      </c>
      <c r="AJ38" s="81"/>
      <c r="AK38" s="89" t="s">
        <v>1149</v>
      </c>
      <c r="AL38" s="81" t="b">
        <v>0</v>
      </c>
      <c r="AM38" s="81">
        <v>37</v>
      </c>
      <c r="AN38" s="89" t="s">
        <v>1142</v>
      </c>
      <c r="AO38" s="81" t="s">
        <v>1172</v>
      </c>
      <c r="AP38" s="81" t="b">
        <v>0</v>
      </c>
      <c r="AQ38" s="89" t="s">
        <v>1142</v>
      </c>
      <c r="AR38" s="81" t="s">
        <v>325</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8"/>
      <c r="BG38" s="49"/>
      <c r="BH38" s="48"/>
      <c r="BI38" s="49"/>
      <c r="BJ38" s="48"/>
      <c r="BK38" s="49"/>
      <c r="BL38" s="48"/>
      <c r="BM38" s="49"/>
      <c r="BN38" s="48"/>
    </row>
    <row r="39" spans="1:66" ht="15">
      <c r="A39" s="66" t="s">
        <v>385</v>
      </c>
      <c r="B39" s="66" t="s">
        <v>514</v>
      </c>
      <c r="C39" s="67" t="s">
        <v>3149</v>
      </c>
      <c r="D39" s="68">
        <v>4</v>
      </c>
      <c r="E39" s="69" t="s">
        <v>132</v>
      </c>
      <c r="F39" s="70">
        <v>30</v>
      </c>
      <c r="G39" s="67"/>
      <c r="H39" s="71"/>
      <c r="I39" s="72"/>
      <c r="J39" s="72"/>
      <c r="K39" s="34" t="s">
        <v>65</v>
      </c>
      <c r="L39" s="79">
        <v>39</v>
      </c>
      <c r="M39" s="79"/>
      <c r="N39" s="74"/>
      <c r="O39" s="81" t="s">
        <v>586</v>
      </c>
      <c r="P39" s="83">
        <v>44004.47193287037</v>
      </c>
      <c r="Q39" s="81" t="s">
        <v>595</v>
      </c>
      <c r="R39" s="81"/>
      <c r="S39" s="81"/>
      <c r="T39" s="81"/>
      <c r="U39" s="81"/>
      <c r="V39" s="84" t="str">
        <f>HYPERLINK("http://pbs.twimg.com/profile_images/1227314820749418496/ispRUpJU_normal.jpg")</f>
        <v>http://pbs.twimg.com/profile_images/1227314820749418496/ispRUpJU_normal.jpg</v>
      </c>
      <c r="W39" s="83">
        <v>44004.47193287037</v>
      </c>
      <c r="X39" s="87">
        <v>44004</v>
      </c>
      <c r="Y39" s="89" t="s">
        <v>752</v>
      </c>
      <c r="Z39" s="84" t="str">
        <f>HYPERLINK("https://twitter.com/mrj1971/status/1275025637879746560")</f>
        <v>https://twitter.com/mrj1971/status/1275025637879746560</v>
      </c>
      <c r="AA39" s="81"/>
      <c r="AB39" s="81"/>
      <c r="AC39" s="89" t="s">
        <v>961</v>
      </c>
      <c r="AD39" s="81"/>
      <c r="AE39" s="81" t="b">
        <v>0</v>
      </c>
      <c r="AF39" s="81">
        <v>0</v>
      </c>
      <c r="AG39" s="89" t="s">
        <v>1149</v>
      </c>
      <c r="AH39" s="81" t="b">
        <v>0</v>
      </c>
      <c r="AI39" s="81" t="s">
        <v>1150</v>
      </c>
      <c r="AJ39" s="81"/>
      <c r="AK39" s="89" t="s">
        <v>1149</v>
      </c>
      <c r="AL39" s="81" t="b">
        <v>0</v>
      </c>
      <c r="AM39" s="81">
        <v>37</v>
      </c>
      <c r="AN39" s="89" t="s">
        <v>1142</v>
      </c>
      <c r="AO39" s="81" t="s">
        <v>1172</v>
      </c>
      <c r="AP39" s="81" t="b">
        <v>0</v>
      </c>
      <c r="AQ39" s="89" t="s">
        <v>1142</v>
      </c>
      <c r="AR39" s="81" t="s">
        <v>325</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8">
        <v>3</v>
      </c>
      <c r="BG39" s="49">
        <v>7.5</v>
      </c>
      <c r="BH39" s="48">
        <v>0</v>
      </c>
      <c r="BI39" s="49">
        <v>0</v>
      </c>
      <c r="BJ39" s="48">
        <v>0</v>
      </c>
      <c r="BK39" s="49">
        <v>0</v>
      </c>
      <c r="BL39" s="48">
        <v>37</v>
      </c>
      <c r="BM39" s="49">
        <v>92.5</v>
      </c>
      <c r="BN39" s="48">
        <v>40</v>
      </c>
    </row>
    <row r="40" spans="1:66" ht="15">
      <c r="A40" s="66" t="s">
        <v>386</v>
      </c>
      <c r="B40" s="66" t="s">
        <v>513</v>
      </c>
      <c r="C40" s="67" t="s">
        <v>3149</v>
      </c>
      <c r="D40" s="68">
        <v>4</v>
      </c>
      <c r="E40" s="69" t="s">
        <v>132</v>
      </c>
      <c r="F40" s="70">
        <v>30</v>
      </c>
      <c r="G40" s="67"/>
      <c r="H40" s="71"/>
      <c r="I40" s="72"/>
      <c r="J40" s="72"/>
      <c r="K40" s="34" t="s">
        <v>65</v>
      </c>
      <c r="L40" s="79">
        <v>40</v>
      </c>
      <c r="M40" s="79"/>
      <c r="N40" s="74"/>
      <c r="O40" s="81" t="s">
        <v>588</v>
      </c>
      <c r="P40" s="83">
        <v>44004.47267361111</v>
      </c>
      <c r="Q40" s="81" t="s">
        <v>595</v>
      </c>
      <c r="R40" s="81"/>
      <c r="S40" s="81"/>
      <c r="T40" s="81"/>
      <c r="U40" s="81"/>
      <c r="V40" s="84" t="str">
        <f>HYPERLINK("http://pbs.twimg.com/profile_images/1119172166526885888/kPKCJx4E_normal.png")</f>
        <v>http://pbs.twimg.com/profile_images/1119172166526885888/kPKCJx4E_normal.png</v>
      </c>
      <c r="W40" s="83">
        <v>44004.47267361111</v>
      </c>
      <c r="X40" s="87">
        <v>44004</v>
      </c>
      <c r="Y40" s="89" t="s">
        <v>753</v>
      </c>
      <c r="Z40" s="84" t="str">
        <f>HYPERLINK("https://twitter.com/sophietaysom/status/1275025907619713025")</f>
        <v>https://twitter.com/sophietaysom/status/1275025907619713025</v>
      </c>
      <c r="AA40" s="81"/>
      <c r="AB40" s="81"/>
      <c r="AC40" s="89" t="s">
        <v>962</v>
      </c>
      <c r="AD40" s="81"/>
      <c r="AE40" s="81" t="b">
        <v>0</v>
      </c>
      <c r="AF40" s="81">
        <v>0</v>
      </c>
      <c r="AG40" s="89" t="s">
        <v>1149</v>
      </c>
      <c r="AH40" s="81" t="b">
        <v>0</v>
      </c>
      <c r="AI40" s="81" t="s">
        <v>1150</v>
      </c>
      <c r="AJ40" s="81"/>
      <c r="AK40" s="89" t="s">
        <v>1149</v>
      </c>
      <c r="AL40" s="81" t="b">
        <v>0</v>
      </c>
      <c r="AM40" s="81">
        <v>37</v>
      </c>
      <c r="AN40" s="89" t="s">
        <v>1142</v>
      </c>
      <c r="AO40" s="81" t="s">
        <v>1172</v>
      </c>
      <c r="AP40" s="81" t="b">
        <v>0</v>
      </c>
      <c r="AQ40" s="89" t="s">
        <v>1142</v>
      </c>
      <c r="AR40" s="81" t="s">
        <v>325</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8"/>
      <c r="BG40" s="49"/>
      <c r="BH40" s="48"/>
      <c r="BI40" s="49"/>
      <c r="BJ40" s="48"/>
      <c r="BK40" s="49"/>
      <c r="BL40" s="48"/>
      <c r="BM40" s="49"/>
      <c r="BN40" s="48"/>
    </row>
    <row r="41" spans="1:66" ht="15">
      <c r="A41" s="66" t="s">
        <v>386</v>
      </c>
      <c r="B41" s="66" t="s">
        <v>514</v>
      </c>
      <c r="C41" s="67" t="s">
        <v>3149</v>
      </c>
      <c r="D41" s="68">
        <v>4</v>
      </c>
      <c r="E41" s="69" t="s">
        <v>132</v>
      </c>
      <c r="F41" s="70">
        <v>30</v>
      </c>
      <c r="G41" s="67"/>
      <c r="H41" s="71"/>
      <c r="I41" s="72"/>
      <c r="J41" s="72"/>
      <c r="K41" s="34" t="s">
        <v>65</v>
      </c>
      <c r="L41" s="79">
        <v>41</v>
      </c>
      <c r="M41" s="79"/>
      <c r="N41" s="74"/>
      <c r="O41" s="81" t="s">
        <v>586</v>
      </c>
      <c r="P41" s="83">
        <v>44004.47267361111</v>
      </c>
      <c r="Q41" s="81" t="s">
        <v>595</v>
      </c>
      <c r="R41" s="81"/>
      <c r="S41" s="81"/>
      <c r="T41" s="81"/>
      <c r="U41" s="81"/>
      <c r="V41" s="84" t="str">
        <f>HYPERLINK("http://pbs.twimg.com/profile_images/1119172166526885888/kPKCJx4E_normal.png")</f>
        <v>http://pbs.twimg.com/profile_images/1119172166526885888/kPKCJx4E_normal.png</v>
      </c>
      <c r="W41" s="83">
        <v>44004.47267361111</v>
      </c>
      <c r="X41" s="87">
        <v>44004</v>
      </c>
      <c r="Y41" s="89" t="s">
        <v>753</v>
      </c>
      <c r="Z41" s="84" t="str">
        <f>HYPERLINK("https://twitter.com/sophietaysom/status/1275025907619713025")</f>
        <v>https://twitter.com/sophietaysom/status/1275025907619713025</v>
      </c>
      <c r="AA41" s="81"/>
      <c r="AB41" s="81"/>
      <c r="AC41" s="89" t="s">
        <v>962</v>
      </c>
      <c r="AD41" s="81"/>
      <c r="AE41" s="81" t="b">
        <v>0</v>
      </c>
      <c r="AF41" s="81">
        <v>0</v>
      </c>
      <c r="AG41" s="89" t="s">
        <v>1149</v>
      </c>
      <c r="AH41" s="81" t="b">
        <v>0</v>
      </c>
      <c r="AI41" s="81" t="s">
        <v>1150</v>
      </c>
      <c r="AJ41" s="81"/>
      <c r="AK41" s="89" t="s">
        <v>1149</v>
      </c>
      <c r="AL41" s="81" t="b">
        <v>0</v>
      </c>
      <c r="AM41" s="81">
        <v>37</v>
      </c>
      <c r="AN41" s="89" t="s">
        <v>1142</v>
      </c>
      <c r="AO41" s="81" t="s">
        <v>1172</v>
      </c>
      <c r="AP41" s="81" t="b">
        <v>0</v>
      </c>
      <c r="AQ41" s="89" t="s">
        <v>1142</v>
      </c>
      <c r="AR41" s="81" t="s">
        <v>325</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8">
        <v>3</v>
      </c>
      <c r="BG41" s="49">
        <v>7.5</v>
      </c>
      <c r="BH41" s="48">
        <v>0</v>
      </c>
      <c r="BI41" s="49">
        <v>0</v>
      </c>
      <c r="BJ41" s="48">
        <v>0</v>
      </c>
      <c r="BK41" s="49">
        <v>0</v>
      </c>
      <c r="BL41" s="48">
        <v>37</v>
      </c>
      <c r="BM41" s="49">
        <v>92.5</v>
      </c>
      <c r="BN41" s="48">
        <v>40</v>
      </c>
    </row>
    <row r="42" spans="1:66" ht="15">
      <c r="A42" s="66" t="s">
        <v>387</v>
      </c>
      <c r="B42" s="66" t="s">
        <v>523</v>
      </c>
      <c r="C42" s="67" t="s">
        <v>3149</v>
      </c>
      <c r="D42" s="68">
        <v>4</v>
      </c>
      <c r="E42" s="69" t="s">
        <v>132</v>
      </c>
      <c r="F42" s="70">
        <v>30</v>
      </c>
      <c r="G42" s="67"/>
      <c r="H42" s="71"/>
      <c r="I42" s="72"/>
      <c r="J42" s="72"/>
      <c r="K42" s="34" t="s">
        <v>65</v>
      </c>
      <c r="L42" s="79">
        <v>42</v>
      </c>
      <c r="M42" s="79"/>
      <c r="N42" s="74"/>
      <c r="O42" s="81" t="s">
        <v>588</v>
      </c>
      <c r="P42" s="83">
        <v>44004.48336805555</v>
      </c>
      <c r="Q42" s="81" t="s">
        <v>596</v>
      </c>
      <c r="R42" s="81"/>
      <c r="S42" s="81"/>
      <c r="T42" s="81" t="s">
        <v>701</v>
      </c>
      <c r="U42" s="81"/>
      <c r="V42" s="84" t="str">
        <f>HYPERLINK("http://pbs.twimg.com/profile_images/783046525010206720/2ZGn4mZm_normal.jpg")</f>
        <v>http://pbs.twimg.com/profile_images/783046525010206720/2ZGn4mZm_normal.jpg</v>
      </c>
      <c r="W42" s="83">
        <v>44004.48336805555</v>
      </c>
      <c r="X42" s="87">
        <v>44004</v>
      </c>
      <c r="Y42" s="89" t="s">
        <v>754</v>
      </c>
      <c r="Z42" s="84" t="str">
        <f>HYPERLINK("https://twitter.com/aliciacastroar/status/1275029783324307477")</f>
        <v>https://twitter.com/aliciacastroar/status/1275029783324307477</v>
      </c>
      <c r="AA42" s="81"/>
      <c r="AB42" s="81"/>
      <c r="AC42" s="89" t="s">
        <v>963</v>
      </c>
      <c r="AD42" s="81"/>
      <c r="AE42" s="81" t="b">
        <v>0</v>
      </c>
      <c r="AF42" s="81">
        <v>0</v>
      </c>
      <c r="AG42" s="89" t="s">
        <v>1149</v>
      </c>
      <c r="AH42" s="81" t="b">
        <v>0</v>
      </c>
      <c r="AI42" s="81" t="s">
        <v>1150</v>
      </c>
      <c r="AJ42" s="81"/>
      <c r="AK42" s="89" t="s">
        <v>1149</v>
      </c>
      <c r="AL42" s="81" t="b">
        <v>0</v>
      </c>
      <c r="AM42" s="81">
        <v>4</v>
      </c>
      <c r="AN42" s="89" t="s">
        <v>968</v>
      </c>
      <c r="AO42" s="81" t="s">
        <v>1165</v>
      </c>
      <c r="AP42" s="81" t="b">
        <v>0</v>
      </c>
      <c r="AQ42" s="89" t="s">
        <v>968</v>
      </c>
      <c r="AR42" s="81" t="s">
        <v>325</v>
      </c>
      <c r="AS42" s="81">
        <v>0</v>
      </c>
      <c r="AT42" s="81">
        <v>0</v>
      </c>
      <c r="AU42" s="81"/>
      <c r="AV42" s="81"/>
      <c r="AW42" s="81"/>
      <c r="AX42" s="81"/>
      <c r="AY42" s="81"/>
      <c r="AZ42" s="81"/>
      <c r="BA42" s="81"/>
      <c r="BB42" s="81"/>
      <c r="BC42">
        <v>1</v>
      </c>
      <c r="BD42" s="80" t="str">
        <f>REPLACE(INDEX(GroupVertices[Group],MATCH(Edges[[#This Row],[Vertex 1]],GroupVertices[Vertex],0)),1,1,"")</f>
        <v>14</v>
      </c>
      <c r="BE42" s="80" t="str">
        <f>REPLACE(INDEX(GroupVertices[Group],MATCH(Edges[[#This Row],[Vertex 2]],GroupVertices[Vertex],0)),1,1,"")</f>
        <v>14</v>
      </c>
      <c r="BF42" s="48"/>
      <c r="BG42" s="49"/>
      <c r="BH42" s="48"/>
      <c r="BI42" s="49"/>
      <c r="BJ42" s="48"/>
      <c r="BK42" s="49"/>
      <c r="BL42" s="48"/>
      <c r="BM42" s="49"/>
      <c r="BN42" s="48"/>
    </row>
    <row r="43" spans="1:66" ht="15">
      <c r="A43" s="66" t="s">
        <v>387</v>
      </c>
      <c r="B43" s="66" t="s">
        <v>392</v>
      </c>
      <c r="C43" s="67" t="s">
        <v>3149</v>
      </c>
      <c r="D43" s="68">
        <v>4</v>
      </c>
      <c r="E43" s="69" t="s">
        <v>132</v>
      </c>
      <c r="F43" s="70">
        <v>30</v>
      </c>
      <c r="G43" s="67"/>
      <c r="H43" s="71"/>
      <c r="I43" s="72"/>
      <c r="J43" s="72"/>
      <c r="K43" s="34" t="s">
        <v>65</v>
      </c>
      <c r="L43" s="79">
        <v>43</v>
      </c>
      <c r="M43" s="79"/>
      <c r="N43" s="74"/>
      <c r="O43" s="81" t="s">
        <v>586</v>
      </c>
      <c r="P43" s="83">
        <v>44004.48336805555</v>
      </c>
      <c r="Q43" s="81" t="s">
        <v>596</v>
      </c>
      <c r="R43" s="81"/>
      <c r="S43" s="81"/>
      <c r="T43" s="81" t="s">
        <v>701</v>
      </c>
      <c r="U43" s="81"/>
      <c r="V43" s="84" t="str">
        <f>HYPERLINK("http://pbs.twimg.com/profile_images/783046525010206720/2ZGn4mZm_normal.jpg")</f>
        <v>http://pbs.twimg.com/profile_images/783046525010206720/2ZGn4mZm_normal.jpg</v>
      </c>
      <c r="W43" s="83">
        <v>44004.48336805555</v>
      </c>
      <c r="X43" s="87">
        <v>44004</v>
      </c>
      <c r="Y43" s="89" t="s">
        <v>754</v>
      </c>
      <c r="Z43" s="84" t="str">
        <f>HYPERLINK("https://twitter.com/aliciacastroar/status/1275029783324307477")</f>
        <v>https://twitter.com/aliciacastroar/status/1275029783324307477</v>
      </c>
      <c r="AA43" s="81"/>
      <c r="AB43" s="81"/>
      <c r="AC43" s="89" t="s">
        <v>963</v>
      </c>
      <c r="AD43" s="81"/>
      <c r="AE43" s="81" t="b">
        <v>0</v>
      </c>
      <c r="AF43" s="81">
        <v>0</v>
      </c>
      <c r="AG43" s="89" t="s">
        <v>1149</v>
      </c>
      <c r="AH43" s="81" t="b">
        <v>0</v>
      </c>
      <c r="AI43" s="81" t="s">
        <v>1150</v>
      </c>
      <c r="AJ43" s="81"/>
      <c r="AK43" s="89" t="s">
        <v>1149</v>
      </c>
      <c r="AL43" s="81" t="b">
        <v>0</v>
      </c>
      <c r="AM43" s="81">
        <v>4</v>
      </c>
      <c r="AN43" s="89" t="s">
        <v>968</v>
      </c>
      <c r="AO43" s="81" t="s">
        <v>1165</v>
      </c>
      <c r="AP43" s="81" t="b">
        <v>0</v>
      </c>
      <c r="AQ43" s="89" t="s">
        <v>968</v>
      </c>
      <c r="AR43" s="81" t="s">
        <v>325</v>
      </c>
      <c r="AS43" s="81">
        <v>0</v>
      </c>
      <c r="AT43" s="81">
        <v>0</v>
      </c>
      <c r="AU43" s="81"/>
      <c r="AV43" s="81"/>
      <c r="AW43" s="81"/>
      <c r="AX43" s="81"/>
      <c r="AY43" s="81"/>
      <c r="AZ43" s="81"/>
      <c r="BA43" s="81"/>
      <c r="BB43" s="81"/>
      <c r="BC43">
        <v>1</v>
      </c>
      <c r="BD43" s="80" t="str">
        <f>REPLACE(INDEX(GroupVertices[Group],MATCH(Edges[[#This Row],[Vertex 1]],GroupVertices[Vertex],0)),1,1,"")</f>
        <v>14</v>
      </c>
      <c r="BE43" s="80" t="str">
        <f>REPLACE(INDEX(GroupVertices[Group],MATCH(Edges[[#This Row],[Vertex 2]],GroupVertices[Vertex],0)),1,1,"")</f>
        <v>14</v>
      </c>
      <c r="BF43" s="48">
        <v>0</v>
      </c>
      <c r="BG43" s="49">
        <v>0</v>
      </c>
      <c r="BH43" s="48">
        <v>1</v>
      </c>
      <c r="BI43" s="49">
        <v>4.166666666666667</v>
      </c>
      <c r="BJ43" s="48">
        <v>0</v>
      </c>
      <c r="BK43" s="49">
        <v>0</v>
      </c>
      <c r="BL43" s="48">
        <v>23</v>
      </c>
      <c r="BM43" s="49">
        <v>95.83333333333333</v>
      </c>
      <c r="BN43" s="48">
        <v>24</v>
      </c>
    </row>
    <row r="44" spans="1:66" ht="15">
      <c r="A44" s="66" t="s">
        <v>388</v>
      </c>
      <c r="B44" s="66" t="s">
        <v>497</v>
      </c>
      <c r="C44" s="67" t="s">
        <v>3149</v>
      </c>
      <c r="D44" s="68">
        <v>4</v>
      </c>
      <c r="E44" s="69" t="s">
        <v>132</v>
      </c>
      <c r="F44" s="70">
        <v>30</v>
      </c>
      <c r="G44" s="67"/>
      <c r="H44" s="71"/>
      <c r="I44" s="72"/>
      <c r="J44" s="72"/>
      <c r="K44" s="34" t="s">
        <v>65</v>
      </c>
      <c r="L44" s="79">
        <v>44</v>
      </c>
      <c r="M44" s="79"/>
      <c r="N44" s="74"/>
      <c r="O44" s="81" t="s">
        <v>586</v>
      </c>
      <c r="P44" s="83">
        <v>44004.5087037037</v>
      </c>
      <c r="Q44" s="81" t="s">
        <v>592</v>
      </c>
      <c r="R44" s="81"/>
      <c r="S44" s="81"/>
      <c r="T44" s="81" t="s">
        <v>698</v>
      </c>
      <c r="U44" s="81"/>
      <c r="V44" s="84" t="str">
        <f>HYPERLINK("http://pbs.twimg.com/profile_images/1217745234/For_twet_normal.jpg")</f>
        <v>http://pbs.twimg.com/profile_images/1217745234/For_twet_normal.jpg</v>
      </c>
      <c r="W44" s="83">
        <v>44004.5087037037</v>
      </c>
      <c r="X44" s="87">
        <v>44004</v>
      </c>
      <c r="Y44" s="89" t="s">
        <v>755</v>
      </c>
      <c r="Z44" s="84" t="str">
        <f>HYPERLINK("https://twitter.com/ecarrascobe/status/1275038964655759361")</f>
        <v>https://twitter.com/ecarrascobe/status/1275038964655759361</v>
      </c>
      <c r="AA44" s="81"/>
      <c r="AB44" s="81"/>
      <c r="AC44" s="89" t="s">
        <v>964</v>
      </c>
      <c r="AD44" s="81"/>
      <c r="AE44" s="81" t="b">
        <v>0</v>
      </c>
      <c r="AF44" s="81">
        <v>0</v>
      </c>
      <c r="AG44" s="89" t="s">
        <v>1149</v>
      </c>
      <c r="AH44" s="81" t="b">
        <v>1</v>
      </c>
      <c r="AI44" s="81" t="s">
        <v>1150</v>
      </c>
      <c r="AJ44" s="81"/>
      <c r="AK44" s="89" t="s">
        <v>1160</v>
      </c>
      <c r="AL44" s="81" t="b">
        <v>0</v>
      </c>
      <c r="AM44" s="81">
        <v>7</v>
      </c>
      <c r="AN44" s="89" t="s">
        <v>1119</v>
      </c>
      <c r="AO44" s="81" t="s">
        <v>1176</v>
      </c>
      <c r="AP44" s="81" t="b">
        <v>0</v>
      </c>
      <c r="AQ44" s="89" t="s">
        <v>1119</v>
      </c>
      <c r="AR44" s="81" t="s">
        <v>325</v>
      </c>
      <c r="AS44" s="81">
        <v>0</v>
      </c>
      <c r="AT44" s="81">
        <v>0</v>
      </c>
      <c r="AU44" s="81"/>
      <c r="AV44" s="81"/>
      <c r="AW44" s="81"/>
      <c r="AX44" s="81"/>
      <c r="AY44" s="81"/>
      <c r="AZ44" s="81"/>
      <c r="BA44" s="81"/>
      <c r="BB44" s="81"/>
      <c r="BC44">
        <v>1</v>
      </c>
      <c r="BD44" s="80" t="str">
        <f>REPLACE(INDEX(GroupVertices[Group],MATCH(Edges[[#This Row],[Vertex 1]],GroupVertices[Vertex],0)),1,1,"")</f>
        <v>9</v>
      </c>
      <c r="BE44" s="80" t="str">
        <f>REPLACE(INDEX(GroupVertices[Group],MATCH(Edges[[#This Row],[Vertex 2]],GroupVertices[Vertex],0)),1,1,"")</f>
        <v>9</v>
      </c>
      <c r="BF44" s="48">
        <v>1</v>
      </c>
      <c r="BG44" s="49">
        <v>16.666666666666668</v>
      </c>
      <c r="BH44" s="48">
        <v>0</v>
      </c>
      <c r="BI44" s="49">
        <v>0</v>
      </c>
      <c r="BJ44" s="48">
        <v>0</v>
      </c>
      <c r="BK44" s="49">
        <v>0</v>
      </c>
      <c r="BL44" s="48">
        <v>5</v>
      </c>
      <c r="BM44" s="49">
        <v>83.33333333333333</v>
      </c>
      <c r="BN44" s="48">
        <v>6</v>
      </c>
    </row>
    <row r="45" spans="1:66" ht="15">
      <c r="A45" s="66" t="s">
        <v>389</v>
      </c>
      <c r="B45" s="66" t="s">
        <v>513</v>
      </c>
      <c r="C45" s="67" t="s">
        <v>3149</v>
      </c>
      <c r="D45" s="68">
        <v>4</v>
      </c>
      <c r="E45" s="69" t="s">
        <v>132</v>
      </c>
      <c r="F45" s="70">
        <v>30</v>
      </c>
      <c r="G45" s="67"/>
      <c r="H45" s="71"/>
      <c r="I45" s="72"/>
      <c r="J45" s="72"/>
      <c r="K45" s="34" t="s">
        <v>65</v>
      </c>
      <c r="L45" s="79">
        <v>45</v>
      </c>
      <c r="M45" s="79"/>
      <c r="N45" s="74"/>
      <c r="O45" s="81" t="s">
        <v>588</v>
      </c>
      <c r="P45" s="83">
        <v>44004.51230324074</v>
      </c>
      <c r="Q45" s="81" t="s">
        <v>595</v>
      </c>
      <c r="R45" s="81"/>
      <c r="S45" s="81"/>
      <c r="T45" s="81"/>
      <c r="U45" s="81"/>
      <c r="V45" s="84" t="str">
        <f>HYPERLINK("http://pbs.twimg.com/profile_images/1181222482612817921/Y8P69F8B_normal.jpg")</f>
        <v>http://pbs.twimg.com/profile_images/1181222482612817921/Y8P69F8B_normal.jpg</v>
      </c>
      <c r="W45" s="83">
        <v>44004.51230324074</v>
      </c>
      <c r="X45" s="87">
        <v>44004</v>
      </c>
      <c r="Y45" s="89" t="s">
        <v>756</v>
      </c>
      <c r="Z45" s="84" t="str">
        <f>HYPERLINK("https://twitter.com/joesb/status/1275040268186726400")</f>
        <v>https://twitter.com/joesb/status/1275040268186726400</v>
      </c>
      <c r="AA45" s="81"/>
      <c r="AB45" s="81"/>
      <c r="AC45" s="89" t="s">
        <v>965</v>
      </c>
      <c r="AD45" s="81"/>
      <c r="AE45" s="81" t="b">
        <v>0</v>
      </c>
      <c r="AF45" s="81">
        <v>0</v>
      </c>
      <c r="AG45" s="89" t="s">
        <v>1149</v>
      </c>
      <c r="AH45" s="81" t="b">
        <v>0</v>
      </c>
      <c r="AI45" s="81" t="s">
        <v>1150</v>
      </c>
      <c r="AJ45" s="81"/>
      <c r="AK45" s="89" t="s">
        <v>1149</v>
      </c>
      <c r="AL45" s="81" t="b">
        <v>0</v>
      </c>
      <c r="AM45" s="81">
        <v>37</v>
      </c>
      <c r="AN45" s="89" t="s">
        <v>1142</v>
      </c>
      <c r="AO45" s="81" t="s">
        <v>1165</v>
      </c>
      <c r="AP45" s="81" t="b">
        <v>0</v>
      </c>
      <c r="AQ45" s="89" t="s">
        <v>1142</v>
      </c>
      <c r="AR45" s="81" t="s">
        <v>325</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8"/>
      <c r="BG45" s="49"/>
      <c r="BH45" s="48"/>
      <c r="BI45" s="49"/>
      <c r="BJ45" s="48"/>
      <c r="BK45" s="49"/>
      <c r="BL45" s="48"/>
      <c r="BM45" s="49"/>
      <c r="BN45" s="48"/>
    </row>
    <row r="46" spans="1:66" ht="15">
      <c r="A46" s="66" t="s">
        <v>389</v>
      </c>
      <c r="B46" s="66" t="s">
        <v>514</v>
      </c>
      <c r="C46" s="67" t="s">
        <v>3149</v>
      </c>
      <c r="D46" s="68">
        <v>4</v>
      </c>
      <c r="E46" s="69" t="s">
        <v>132</v>
      </c>
      <c r="F46" s="70">
        <v>30</v>
      </c>
      <c r="G46" s="67"/>
      <c r="H46" s="71"/>
      <c r="I46" s="72"/>
      <c r="J46" s="72"/>
      <c r="K46" s="34" t="s">
        <v>65</v>
      </c>
      <c r="L46" s="79">
        <v>46</v>
      </c>
      <c r="M46" s="79"/>
      <c r="N46" s="74"/>
      <c r="O46" s="81" t="s">
        <v>586</v>
      </c>
      <c r="P46" s="83">
        <v>44004.51230324074</v>
      </c>
      <c r="Q46" s="81" t="s">
        <v>595</v>
      </c>
      <c r="R46" s="81"/>
      <c r="S46" s="81"/>
      <c r="T46" s="81"/>
      <c r="U46" s="81"/>
      <c r="V46" s="84" t="str">
        <f>HYPERLINK("http://pbs.twimg.com/profile_images/1181222482612817921/Y8P69F8B_normal.jpg")</f>
        <v>http://pbs.twimg.com/profile_images/1181222482612817921/Y8P69F8B_normal.jpg</v>
      </c>
      <c r="W46" s="83">
        <v>44004.51230324074</v>
      </c>
      <c r="X46" s="87">
        <v>44004</v>
      </c>
      <c r="Y46" s="89" t="s">
        <v>756</v>
      </c>
      <c r="Z46" s="84" t="str">
        <f>HYPERLINK("https://twitter.com/joesb/status/1275040268186726400")</f>
        <v>https://twitter.com/joesb/status/1275040268186726400</v>
      </c>
      <c r="AA46" s="81"/>
      <c r="AB46" s="81"/>
      <c r="AC46" s="89" t="s">
        <v>965</v>
      </c>
      <c r="AD46" s="81"/>
      <c r="AE46" s="81" t="b">
        <v>0</v>
      </c>
      <c r="AF46" s="81">
        <v>0</v>
      </c>
      <c r="AG46" s="89" t="s">
        <v>1149</v>
      </c>
      <c r="AH46" s="81" t="b">
        <v>0</v>
      </c>
      <c r="AI46" s="81" t="s">
        <v>1150</v>
      </c>
      <c r="AJ46" s="81"/>
      <c r="AK46" s="89" t="s">
        <v>1149</v>
      </c>
      <c r="AL46" s="81" t="b">
        <v>0</v>
      </c>
      <c r="AM46" s="81">
        <v>37</v>
      </c>
      <c r="AN46" s="89" t="s">
        <v>1142</v>
      </c>
      <c r="AO46" s="81" t="s">
        <v>1165</v>
      </c>
      <c r="AP46" s="81" t="b">
        <v>0</v>
      </c>
      <c r="AQ46" s="89" t="s">
        <v>1142</v>
      </c>
      <c r="AR46" s="81" t="s">
        <v>325</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8">
        <v>3</v>
      </c>
      <c r="BG46" s="49">
        <v>7.5</v>
      </c>
      <c r="BH46" s="48">
        <v>0</v>
      </c>
      <c r="BI46" s="49">
        <v>0</v>
      </c>
      <c r="BJ46" s="48">
        <v>0</v>
      </c>
      <c r="BK46" s="49">
        <v>0</v>
      </c>
      <c r="BL46" s="48">
        <v>37</v>
      </c>
      <c r="BM46" s="49">
        <v>92.5</v>
      </c>
      <c r="BN46" s="48">
        <v>40</v>
      </c>
    </row>
    <row r="47" spans="1:66" ht="15">
      <c r="A47" s="66" t="s">
        <v>390</v>
      </c>
      <c r="B47" s="66" t="s">
        <v>524</v>
      </c>
      <c r="C47" s="67" t="s">
        <v>3149</v>
      </c>
      <c r="D47" s="68">
        <v>4</v>
      </c>
      <c r="E47" s="69" t="s">
        <v>132</v>
      </c>
      <c r="F47" s="70">
        <v>30</v>
      </c>
      <c r="G47" s="67"/>
      <c r="H47" s="71"/>
      <c r="I47" s="72"/>
      <c r="J47" s="72"/>
      <c r="K47" s="34" t="s">
        <v>65</v>
      </c>
      <c r="L47" s="79">
        <v>47</v>
      </c>
      <c r="M47" s="79"/>
      <c r="N47" s="74"/>
      <c r="O47" s="81" t="s">
        <v>588</v>
      </c>
      <c r="P47" s="83">
        <v>44004.512719907405</v>
      </c>
      <c r="Q47" s="81" t="s">
        <v>597</v>
      </c>
      <c r="R47" s="81"/>
      <c r="S47" s="81"/>
      <c r="T47" s="81" t="s">
        <v>699</v>
      </c>
      <c r="U47" s="81"/>
      <c r="V47" s="84" t="str">
        <f>HYPERLINK("http://pbs.twimg.com/profile_images/1249468566811934725/02Zw7Jf6_normal.jpg")</f>
        <v>http://pbs.twimg.com/profile_images/1249468566811934725/02Zw7Jf6_normal.jpg</v>
      </c>
      <c r="W47" s="83">
        <v>44004.512719907405</v>
      </c>
      <c r="X47" s="87">
        <v>44004</v>
      </c>
      <c r="Y47" s="89" t="s">
        <v>757</v>
      </c>
      <c r="Z47" s="84" t="str">
        <f>HYPERLINK("https://twitter.com/fvas/status/1275040417747173377")</f>
        <v>https://twitter.com/fvas/status/1275040417747173377</v>
      </c>
      <c r="AA47" s="81"/>
      <c r="AB47" s="81"/>
      <c r="AC47" s="89" t="s">
        <v>966</v>
      </c>
      <c r="AD47" s="81"/>
      <c r="AE47" s="81" t="b">
        <v>0</v>
      </c>
      <c r="AF47" s="81">
        <v>0</v>
      </c>
      <c r="AG47" s="89" t="s">
        <v>1149</v>
      </c>
      <c r="AH47" s="81" t="b">
        <v>0</v>
      </c>
      <c r="AI47" s="81" t="s">
        <v>1150</v>
      </c>
      <c r="AJ47" s="81"/>
      <c r="AK47" s="89" t="s">
        <v>1149</v>
      </c>
      <c r="AL47" s="81" t="b">
        <v>0</v>
      </c>
      <c r="AM47" s="81">
        <v>6</v>
      </c>
      <c r="AN47" s="89" t="s">
        <v>1124</v>
      </c>
      <c r="AO47" s="81" t="s">
        <v>1176</v>
      </c>
      <c r="AP47" s="81" t="b">
        <v>0</v>
      </c>
      <c r="AQ47" s="89" t="s">
        <v>1124</v>
      </c>
      <c r="AR47" s="81" t="s">
        <v>325</v>
      </c>
      <c r="AS47" s="81">
        <v>0</v>
      </c>
      <c r="AT47" s="81">
        <v>0</v>
      </c>
      <c r="AU47" s="81"/>
      <c r="AV47" s="81"/>
      <c r="AW47" s="81"/>
      <c r="AX47" s="81"/>
      <c r="AY47" s="81"/>
      <c r="AZ47" s="81"/>
      <c r="BA47" s="81"/>
      <c r="BB47" s="81"/>
      <c r="BC47">
        <v>1</v>
      </c>
      <c r="BD47" s="80" t="str">
        <f>REPLACE(INDEX(GroupVertices[Group],MATCH(Edges[[#This Row],[Vertex 1]],GroupVertices[Vertex],0)),1,1,"")</f>
        <v>5</v>
      </c>
      <c r="BE47" s="80" t="str">
        <f>REPLACE(INDEX(GroupVertices[Group],MATCH(Edges[[#This Row],[Vertex 2]],GroupVertices[Vertex],0)),1,1,"")</f>
        <v>5</v>
      </c>
      <c r="BF47" s="48"/>
      <c r="BG47" s="49"/>
      <c r="BH47" s="48"/>
      <c r="BI47" s="49"/>
      <c r="BJ47" s="48"/>
      <c r="BK47" s="49"/>
      <c r="BL47" s="48"/>
      <c r="BM47" s="49"/>
      <c r="BN47" s="48"/>
    </row>
    <row r="48" spans="1:66" ht="15">
      <c r="A48" s="66" t="s">
        <v>390</v>
      </c>
      <c r="B48" s="66" t="s">
        <v>525</v>
      </c>
      <c r="C48" s="67" t="s">
        <v>3149</v>
      </c>
      <c r="D48" s="68">
        <v>4</v>
      </c>
      <c r="E48" s="69" t="s">
        <v>132</v>
      </c>
      <c r="F48" s="70">
        <v>30</v>
      </c>
      <c r="G48" s="67"/>
      <c r="H48" s="71"/>
      <c r="I48" s="72"/>
      <c r="J48" s="72"/>
      <c r="K48" s="34" t="s">
        <v>65</v>
      </c>
      <c r="L48" s="79">
        <v>48</v>
      </c>
      <c r="M48" s="79"/>
      <c r="N48" s="74"/>
      <c r="O48" s="81" t="s">
        <v>588</v>
      </c>
      <c r="P48" s="83">
        <v>44004.512719907405</v>
      </c>
      <c r="Q48" s="81" t="s">
        <v>597</v>
      </c>
      <c r="R48" s="81"/>
      <c r="S48" s="81"/>
      <c r="T48" s="81" t="s">
        <v>699</v>
      </c>
      <c r="U48" s="81"/>
      <c r="V48" s="84" t="str">
        <f>HYPERLINK("http://pbs.twimg.com/profile_images/1249468566811934725/02Zw7Jf6_normal.jpg")</f>
        <v>http://pbs.twimg.com/profile_images/1249468566811934725/02Zw7Jf6_normal.jpg</v>
      </c>
      <c r="W48" s="83">
        <v>44004.512719907405</v>
      </c>
      <c r="X48" s="87">
        <v>44004</v>
      </c>
      <c r="Y48" s="89" t="s">
        <v>757</v>
      </c>
      <c r="Z48" s="84" t="str">
        <f>HYPERLINK("https://twitter.com/fvas/status/1275040417747173377")</f>
        <v>https://twitter.com/fvas/status/1275040417747173377</v>
      </c>
      <c r="AA48" s="81"/>
      <c r="AB48" s="81"/>
      <c r="AC48" s="89" t="s">
        <v>966</v>
      </c>
      <c r="AD48" s="81"/>
      <c r="AE48" s="81" t="b">
        <v>0</v>
      </c>
      <c r="AF48" s="81">
        <v>0</v>
      </c>
      <c r="AG48" s="89" t="s">
        <v>1149</v>
      </c>
      <c r="AH48" s="81" t="b">
        <v>0</v>
      </c>
      <c r="AI48" s="81" t="s">
        <v>1150</v>
      </c>
      <c r="AJ48" s="81"/>
      <c r="AK48" s="89" t="s">
        <v>1149</v>
      </c>
      <c r="AL48" s="81" t="b">
        <v>0</v>
      </c>
      <c r="AM48" s="81">
        <v>6</v>
      </c>
      <c r="AN48" s="89" t="s">
        <v>1124</v>
      </c>
      <c r="AO48" s="81" t="s">
        <v>1176</v>
      </c>
      <c r="AP48" s="81" t="b">
        <v>0</v>
      </c>
      <c r="AQ48" s="89" t="s">
        <v>1124</v>
      </c>
      <c r="AR48" s="81" t="s">
        <v>325</v>
      </c>
      <c r="AS48" s="81">
        <v>0</v>
      </c>
      <c r="AT48" s="81">
        <v>0</v>
      </c>
      <c r="AU48" s="81"/>
      <c r="AV48" s="81"/>
      <c r="AW48" s="81"/>
      <c r="AX48" s="81"/>
      <c r="AY48" s="81"/>
      <c r="AZ48" s="81"/>
      <c r="BA48" s="81"/>
      <c r="BB48" s="81"/>
      <c r="BC48">
        <v>1</v>
      </c>
      <c r="BD48" s="80" t="str">
        <f>REPLACE(INDEX(GroupVertices[Group],MATCH(Edges[[#This Row],[Vertex 1]],GroupVertices[Vertex],0)),1,1,"")</f>
        <v>5</v>
      </c>
      <c r="BE48" s="80" t="str">
        <f>REPLACE(INDEX(GroupVertices[Group],MATCH(Edges[[#This Row],[Vertex 2]],GroupVertices[Vertex],0)),1,1,"")</f>
        <v>5</v>
      </c>
      <c r="BF48" s="48">
        <v>2</v>
      </c>
      <c r="BG48" s="49">
        <v>5.555555555555555</v>
      </c>
      <c r="BH48" s="48">
        <v>0</v>
      </c>
      <c r="BI48" s="49">
        <v>0</v>
      </c>
      <c r="BJ48" s="48">
        <v>0</v>
      </c>
      <c r="BK48" s="49">
        <v>0</v>
      </c>
      <c r="BL48" s="48">
        <v>34</v>
      </c>
      <c r="BM48" s="49">
        <v>94.44444444444444</v>
      </c>
      <c r="BN48" s="48">
        <v>36</v>
      </c>
    </row>
    <row r="49" spans="1:66" ht="15">
      <c r="A49" s="66" t="s">
        <v>390</v>
      </c>
      <c r="B49" s="66" t="s">
        <v>482</v>
      </c>
      <c r="C49" s="67" t="s">
        <v>3149</v>
      </c>
      <c r="D49" s="68">
        <v>4</v>
      </c>
      <c r="E49" s="69" t="s">
        <v>132</v>
      </c>
      <c r="F49" s="70">
        <v>30</v>
      </c>
      <c r="G49" s="67"/>
      <c r="H49" s="71"/>
      <c r="I49" s="72"/>
      <c r="J49" s="72"/>
      <c r="K49" s="34" t="s">
        <v>65</v>
      </c>
      <c r="L49" s="79">
        <v>49</v>
      </c>
      <c r="M49" s="79"/>
      <c r="N49" s="74"/>
      <c r="O49" s="81" t="s">
        <v>586</v>
      </c>
      <c r="P49" s="83">
        <v>44004.512719907405</v>
      </c>
      <c r="Q49" s="81" t="s">
        <v>597</v>
      </c>
      <c r="R49" s="81"/>
      <c r="S49" s="81"/>
      <c r="T49" s="81" t="s">
        <v>699</v>
      </c>
      <c r="U49" s="81"/>
      <c r="V49" s="84" t="str">
        <f>HYPERLINK("http://pbs.twimg.com/profile_images/1249468566811934725/02Zw7Jf6_normal.jpg")</f>
        <v>http://pbs.twimg.com/profile_images/1249468566811934725/02Zw7Jf6_normal.jpg</v>
      </c>
      <c r="W49" s="83">
        <v>44004.512719907405</v>
      </c>
      <c r="X49" s="87">
        <v>44004</v>
      </c>
      <c r="Y49" s="89" t="s">
        <v>757</v>
      </c>
      <c r="Z49" s="84" t="str">
        <f>HYPERLINK("https://twitter.com/fvas/status/1275040417747173377")</f>
        <v>https://twitter.com/fvas/status/1275040417747173377</v>
      </c>
      <c r="AA49" s="81"/>
      <c r="AB49" s="81"/>
      <c r="AC49" s="89" t="s">
        <v>966</v>
      </c>
      <c r="AD49" s="81"/>
      <c r="AE49" s="81" t="b">
        <v>0</v>
      </c>
      <c r="AF49" s="81">
        <v>0</v>
      </c>
      <c r="AG49" s="89" t="s">
        <v>1149</v>
      </c>
      <c r="AH49" s="81" t="b">
        <v>0</v>
      </c>
      <c r="AI49" s="81" t="s">
        <v>1150</v>
      </c>
      <c r="AJ49" s="81"/>
      <c r="AK49" s="89" t="s">
        <v>1149</v>
      </c>
      <c r="AL49" s="81" t="b">
        <v>0</v>
      </c>
      <c r="AM49" s="81">
        <v>6</v>
      </c>
      <c r="AN49" s="89" t="s">
        <v>1124</v>
      </c>
      <c r="AO49" s="81" t="s">
        <v>1176</v>
      </c>
      <c r="AP49" s="81" t="b">
        <v>0</v>
      </c>
      <c r="AQ49" s="89" t="s">
        <v>1124</v>
      </c>
      <c r="AR49" s="81" t="s">
        <v>325</v>
      </c>
      <c r="AS49" s="81">
        <v>0</v>
      </c>
      <c r="AT49" s="81">
        <v>0</v>
      </c>
      <c r="AU49" s="81"/>
      <c r="AV49" s="81"/>
      <c r="AW49" s="81"/>
      <c r="AX49" s="81"/>
      <c r="AY49" s="81"/>
      <c r="AZ49" s="81"/>
      <c r="BA49" s="81"/>
      <c r="BB49" s="81"/>
      <c r="BC49">
        <v>1</v>
      </c>
      <c r="BD49" s="80" t="str">
        <f>REPLACE(INDEX(GroupVertices[Group],MATCH(Edges[[#This Row],[Vertex 1]],GroupVertices[Vertex],0)),1,1,"")</f>
        <v>5</v>
      </c>
      <c r="BE49" s="80" t="str">
        <f>REPLACE(INDEX(GroupVertices[Group],MATCH(Edges[[#This Row],[Vertex 2]],GroupVertices[Vertex],0)),1,1,"")</f>
        <v>5</v>
      </c>
      <c r="BF49" s="48"/>
      <c r="BG49" s="49"/>
      <c r="BH49" s="48"/>
      <c r="BI49" s="49"/>
      <c r="BJ49" s="48"/>
      <c r="BK49" s="49"/>
      <c r="BL49" s="48"/>
      <c r="BM49" s="49"/>
      <c r="BN49" s="48"/>
    </row>
    <row r="50" spans="1:66" ht="15">
      <c r="A50" s="66" t="s">
        <v>391</v>
      </c>
      <c r="B50" s="66" t="s">
        <v>513</v>
      </c>
      <c r="C50" s="67" t="s">
        <v>3149</v>
      </c>
      <c r="D50" s="68">
        <v>4</v>
      </c>
      <c r="E50" s="69" t="s">
        <v>132</v>
      </c>
      <c r="F50" s="70">
        <v>30</v>
      </c>
      <c r="G50" s="67"/>
      <c r="H50" s="71"/>
      <c r="I50" s="72"/>
      <c r="J50" s="72"/>
      <c r="K50" s="34" t="s">
        <v>65</v>
      </c>
      <c r="L50" s="79">
        <v>50</v>
      </c>
      <c r="M50" s="79"/>
      <c r="N50" s="74"/>
      <c r="O50" s="81" t="s">
        <v>588</v>
      </c>
      <c r="P50" s="83">
        <v>44004.520636574074</v>
      </c>
      <c r="Q50" s="81" t="s">
        <v>595</v>
      </c>
      <c r="R50" s="81"/>
      <c r="S50" s="81"/>
      <c r="T50" s="81"/>
      <c r="U50" s="81"/>
      <c r="V50" s="84" t="str">
        <f>HYPERLINK("http://pbs.twimg.com/profile_images/1175825868532461569/L1ohgpWh_normal.jpg")</f>
        <v>http://pbs.twimg.com/profile_images/1175825868532461569/L1ohgpWh_normal.jpg</v>
      </c>
      <c r="W50" s="83">
        <v>44004.520636574074</v>
      </c>
      <c r="X50" s="87">
        <v>44004</v>
      </c>
      <c r="Y50" s="89" t="s">
        <v>758</v>
      </c>
      <c r="Z50" s="84" t="str">
        <f>HYPERLINK("https://twitter.com/dasbarrett/status/1275043286978375685")</f>
        <v>https://twitter.com/dasbarrett/status/1275043286978375685</v>
      </c>
      <c r="AA50" s="81"/>
      <c r="AB50" s="81"/>
      <c r="AC50" s="89" t="s">
        <v>967</v>
      </c>
      <c r="AD50" s="81"/>
      <c r="AE50" s="81" t="b">
        <v>0</v>
      </c>
      <c r="AF50" s="81">
        <v>0</v>
      </c>
      <c r="AG50" s="89" t="s">
        <v>1149</v>
      </c>
      <c r="AH50" s="81" t="b">
        <v>0</v>
      </c>
      <c r="AI50" s="81" t="s">
        <v>1150</v>
      </c>
      <c r="AJ50" s="81"/>
      <c r="AK50" s="89" t="s">
        <v>1149</v>
      </c>
      <c r="AL50" s="81" t="b">
        <v>0</v>
      </c>
      <c r="AM50" s="81">
        <v>37</v>
      </c>
      <c r="AN50" s="89" t="s">
        <v>1142</v>
      </c>
      <c r="AO50" s="81" t="s">
        <v>1165</v>
      </c>
      <c r="AP50" s="81" t="b">
        <v>0</v>
      </c>
      <c r="AQ50" s="89" t="s">
        <v>1142</v>
      </c>
      <c r="AR50" s="81" t="s">
        <v>325</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8"/>
      <c r="BG50" s="49"/>
      <c r="BH50" s="48"/>
      <c r="BI50" s="49"/>
      <c r="BJ50" s="48"/>
      <c r="BK50" s="49"/>
      <c r="BL50" s="48"/>
      <c r="BM50" s="49"/>
      <c r="BN50" s="48"/>
    </row>
    <row r="51" spans="1:66" ht="15">
      <c r="A51" s="66" t="s">
        <v>391</v>
      </c>
      <c r="B51" s="66" t="s">
        <v>514</v>
      </c>
      <c r="C51" s="67" t="s">
        <v>3149</v>
      </c>
      <c r="D51" s="68">
        <v>4</v>
      </c>
      <c r="E51" s="69" t="s">
        <v>132</v>
      </c>
      <c r="F51" s="70">
        <v>30</v>
      </c>
      <c r="G51" s="67"/>
      <c r="H51" s="71"/>
      <c r="I51" s="72"/>
      <c r="J51" s="72"/>
      <c r="K51" s="34" t="s">
        <v>65</v>
      </c>
      <c r="L51" s="79">
        <v>51</v>
      </c>
      <c r="M51" s="79"/>
      <c r="N51" s="74"/>
      <c r="O51" s="81" t="s">
        <v>586</v>
      </c>
      <c r="P51" s="83">
        <v>44004.520636574074</v>
      </c>
      <c r="Q51" s="81" t="s">
        <v>595</v>
      </c>
      <c r="R51" s="81"/>
      <c r="S51" s="81"/>
      <c r="T51" s="81"/>
      <c r="U51" s="81"/>
      <c r="V51" s="84" t="str">
        <f>HYPERLINK("http://pbs.twimg.com/profile_images/1175825868532461569/L1ohgpWh_normal.jpg")</f>
        <v>http://pbs.twimg.com/profile_images/1175825868532461569/L1ohgpWh_normal.jpg</v>
      </c>
      <c r="W51" s="83">
        <v>44004.520636574074</v>
      </c>
      <c r="X51" s="87">
        <v>44004</v>
      </c>
      <c r="Y51" s="89" t="s">
        <v>758</v>
      </c>
      <c r="Z51" s="84" t="str">
        <f>HYPERLINK("https://twitter.com/dasbarrett/status/1275043286978375685")</f>
        <v>https://twitter.com/dasbarrett/status/1275043286978375685</v>
      </c>
      <c r="AA51" s="81"/>
      <c r="AB51" s="81"/>
      <c r="AC51" s="89" t="s">
        <v>967</v>
      </c>
      <c r="AD51" s="81"/>
      <c r="AE51" s="81" t="b">
        <v>0</v>
      </c>
      <c r="AF51" s="81">
        <v>0</v>
      </c>
      <c r="AG51" s="89" t="s">
        <v>1149</v>
      </c>
      <c r="AH51" s="81" t="b">
        <v>0</v>
      </c>
      <c r="AI51" s="81" t="s">
        <v>1150</v>
      </c>
      <c r="AJ51" s="81"/>
      <c r="AK51" s="89" t="s">
        <v>1149</v>
      </c>
      <c r="AL51" s="81" t="b">
        <v>0</v>
      </c>
      <c r="AM51" s="81">
        <v>37</v>
      </c>
      <c r="AN51" s="89" t="s">
        <v>1142</v>
      </c>
      <c r="AO51" s="81" t="s">
        <v>1165</v>
      </c>
      <c r="AP51" s="81" t="b">
        <v>0</v>
      </c>
      <c r="AQ51" s="89" t="s">
        <v>1142</v>
      </c>
      <c r="AR51" s="81" t="s">
        <v>325</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8">
        <v>3</v>
      </c>
      <c r="BG51" s="49">
        <v>7.5</v>
      </c>
      <c r="BH51" s="48">
        <v>0</v>
      </c>
      <c r="BI51" s="49">
        <v>0</v>
      </c>
      <c r="BJ51" s="48">
        <v>0</v>
      </c>
      <c r="BK51" s="49">
        <v>0</v>
      </c>
      <c r="BL51" s="48">
        <v>37</v>
      </c>
      <c r="BM51" s="49">
        <v>92.5</v>
      </c>
      <c r="BN51" s="48">
        <v>40</v>
      </c>
    </row>
    <row r="52" spans="1:66" ht="15">
      <c r="A52" s="66" t="s">
        <v>392</v>
      </c>
      <c r="B52" s="66" t="s">
        <v>523</v>
      </c>
      <c r="C52" s="67" t="s">
        <v>3149</v>
      </c>
      <c r="D52" s="68">
        <v>4</v>
      </c>
      <c r="E52" s="69" t="s">
        <v>132</v>
      </c>
      <c r="F52" s="70">
        <v>30</v>
      </c>
      <c r="G52" s="67"/>
      <c r="H52" s="71"/>
      <c r="I52" s="72"/>
      <c r="J52" s="72"/>
      <c r="K52" s="34" t="s">
        <v>65</v>
      </c>
      <c r="L52" s="79">
        <v>52</v>
      </c>
      <c r="M52" s="79"/>
      <c r="N52" s="74"/>
      <c r="O52" s="81" t="s">
        <v>587</v>
      </c>
      <c r="P52" s="83">
        <v>44000.57202546296</v>
      </c>
      <c r="Q52" s="81" t="s">
        <v>596</v>
      </c>
      <c r="R52" s="84" t="str">
        <f>HYPERLINK("https://www.theguardian.com/world/2020/jun/18/covid-19-excess-death-rates-more-than-twice-uk-average-for-19-english-councils")</f>
        <v>https://www.theguardian.com/world/2020/jun/18/covid-19-excess-death-rates-more-than-twice-uk-average-for-19-english-councils</v>
      </c>
      <c r="S52" s="81" t="s">
        <v>677</v>
      </c>
      <c r="T52" s="81" t="s">
        <v>702</v>
      </c>
      <c r="U52" s="84" t="str">
        <f>HYPERLINK("https://pbs.twimg.com/media/EazHnIGXkAEoFx1.jpg")</f>
        <v>https://pbs.twimg.com/media/EazHnIGXkAEoFx1.jpg</v>
      </c>
      <c r="V52" s="84" t="str">
        <f>HYPERLINK("https://pbs.twimg.com/media/EazHnIGXkAEoFx1.jpg")</f>
        <v>https://pbs.twimg.com/media/EazHnIGXkAEoFx1.jpg</v>
      </c>
      <c r="W52" s="83">
        <v>44000.57202546296</v>
      </c>
      <c r="X52" s="87">
        <v>44000</v>
      </c>
      <c r="Y52" s="89" t="s">
        <v>759</v>
      </c>
      <c r="Z52" s="84" t="str">
        <f>HYPERLINK("https://twitter.com/cijournalism/status/1273612357369987074")</f>
        <v>https://twitter.com/cijournalism/status/1273612357369987074</v>
      </c>
      <c r="AA52" s="81"/>
      <c r="AB52" s="81"/>
      <c r="AC52" s="89" t="s">
        <v>968</v>
      </c>
      <c r="AD52" s="81"/>
      <c r="AE52" s="81" t="b">
        <v>0</v>
      </c>
      <c r="AF52" s="81">
        <v>3</v>
      </c>
      <c r="AG52" s="89" t="s">
        <v>1149</v>
      </c>
      <c r="AH52" s="81" t="b">
        <v>0</v>
      </c>
      <c r="AI52" s="81" t="s">
        <v>1150</v>
      </c>
      <c r="AJ52" s="81"/>
      <c r="AK52" s="89" t="s">
        <v>1149</v>
      </c>
      <c r="AL52" s="81" t="b">
        <v>0</v>
      </c>
      <c r="AM52" s="81">
        <v>4</v>
      </c>
      <c r="AN52" s="89" t="s">
        <v>1149</v>
      </c>
      <c r="AO52" s="81" t="s">
        <v>1172</v>
      </c>
      <c r="AP52" s="81" t="b">
        <v>0</v>
      </c>
      <c r="AQ52" s="89" t="s">
        <v>968</v>
      </c>
      <c r="AR52" s="81" t="s">
        <v>586</v>
      </c>
      <c r="AS52" s="81">
        <v>0</v>
      </c>
      <c r="AT52" s="81">
        <v>0</v>
      </c>
      <c r="AU52" s="81"/>
      <c r="AV52" s="81"/>
      <c r="AW52" s="81"/>
      <c r="AX52" s="81"/>
      <c r="AY52" s="81"/>
      <c r="AZ52" s="81"/>
      <c r="BA52" s="81"/>
      <c r="BB52" s="81"/>
      <c r="BC52">
        <v>1</v>
      </c>
      <c r="BD52" s="80" t="str">
        <f>REPLACE(INDEX(GroupVertices[Group],MATCH(Edges[[#This Row],[Vertex 1]],GroupVertices[Vertex],0)),1,1,"")</f>
        <v>14</v>
      </c>
      <c r="BE52" s="80" t="str">
        <f>REPLACE(INDEX(GroupVertices[Group],MATCH(Edges[[#This Row],[Vertex 2]],GroupVertices[Vertex],0)),1,1,"")</f>
        <v>14</v>
      </c>
      <c r="BF52" s="48">
        <v>0</v>
      </c>
      <c r="BG52" s="49">
        <v>0</v>
      </c>
      <c r="BH52" s="48">
        <v>1</v>
      </c>
      <c r="BI52" s="49">
        <v>4.166666666666667</v>
      </c>
      <c r="BJ52" s="48">
        <v>0</v>
      </c>
      <c r="BK52" s="49">
        <v>0</v>
      </c>
      <c r="BL52" s="48">
        <v>23</v>
      </c>
      <c r="BM52" s="49">
        <v>95.83333333333333</v>
      </c>
      <c r="BN52" s="48">
        <v>24</v>
      </c>
    </row>
    <row r="53" spans="1:66" ht="15">
      <c r="A53" s="66" t="s">
        <v>393</v>
      </c>
      <c r="B53" s="66" t="s">
        <v>523</v>
      </c>
      <c r="C53" s="67" t="s">
        <v>3149</v>
      </c>
      <c r="D53" s="68">
        <v>4</v>
      </c>
      <c r="E53" s="69" t="s">
        <v>132</v>
      </c>
      <c r="F53" s="70">
        <v>30</v>
      </c>
      <c r="G53" s="67"/>
      <c r="H53" s="71"/>
      <c r="I53" s="72"/>
      <c r="J53" s="72"/>
      <c r="K53" s="34" t="s">
        <v>65</v>
      </c>
      <c r="L53" s="79">
        <v>53</v>
      </c>
      <c r="M53" s="79"/>
      <c r="N53" s="74"/>
      <c r="O53" s="81" t="s">
        <v>588</v>
      </c>
      <c r="P53" s="83">
        <v>44004.53255787037</v>
      </c>
      <c r="Q53" s="81" t="s">
        <v>596</v>
      </c>
      <c r="R53" s="81"/>
      <c r="S53" s="81"/>
      <c r="T53" s="81" t="s">
        <v>701</v>
      </c>
      <c r="U53" s="81"/>
      <c r="V53" s="84" t="str">
        <f>HYPERLINK("http://pbs.twimg.com/profile_images/911891391/paaaaaaaaaa_normal.jpg")</f>
        <v>http://pbs.twimg.com/profile_images/911891391/paaaaaaaaaa_normal.jpg</v>
      </c>
      <c r="W53" s="83">
        <v>44004.53255787037</v>
      </c>
      <c r="X53" s="87">
        <v>44004</v>
      </c>
      <c r="Y53" s="89" t="s">
        <v>760</v>
      </c>
      <c r="Z53" s="84" t="str">
        <f>HYPERLINK("https://twitter.com/marcelodgr67/status/1275047608617242625")</f>
        <v>https://twitter.com/marcelodgr67/status/1275047608617242625</v>
      </c>
      <c r="AA53" s="81"/>
      <c r="AB53" s="81"/>
      <c r="AC53" s="89" t="s">
        <v>969</v>
      </c>
      <c r="AD53" s="81"/>
      <c r="AE53" s="81" t="b">
        <v>0</v>
      </c>
      <c r="AF53" s="81">
        <v>0</v>
      </c>
      <c r="AG53" s="89" t="s">
        <v>1149</v>
      </c>
      <c r="AH53" s="81" t="b">
        <v>0</v>
      </c>
      <c r="AI53" s="81" t="s">
        <v>1150</v>
      </c>
      <c r="AJ53" s="81"/>
      <c r="AK53" s="89" t="s">
        <v>1149</v>
      </c>
      <c r="AL53" s="81" t="b">
        <v>0</v>
      </c>
      <c r="AM53" s="81">
        <v>4</v>
      </c>
      <c r="AN53" s="89" t="s">
        <v>968</v>
      </c>
      <c r="AO53" s="81" t="s">
        <v>1176</v>
      </c>
      <c r="AP53" s="81" t="b">
        <v>0</v>
      </c>
      <c r="AQ53" s="89" t="s">
        <v>968</v>
      </c>
      <c r="AR53" s="81" t="s">
        <v>325</v>
      </c>
      <c r="AS53" s="81">
        <v>0</v>
      </c>
      <c r="AT53" s="81">
        <v>0</v>
      </c>
      <c r="AU53" s="81"/>
      <c r="AV53" s="81"/>
      <c r="AW53" s="81"/>
      <c r="AX53" s="81"/>
      <c r="AY53" s="81"/>
      <c r="AZ53" s="81"/>
      <c r="BA53" s="81"/>
      <c r="BB53" s="81"/>
      <c r="BC53">
        <v>1</v>
      </c>
      <c r="BD53" s="80" t="str">
        <f>REPLACE(INDEX(GroupVertices[Group],MATCH(Edges[[#This Row],[Vertex 1]],GroupVertices[Vertex],0)),1,1,"")</f>
        <v>14</v>
      </c>
      <c r="BE53" s="80" t="str">
        <f>REPLACE(INDEX(GroupVertices[Group],MATCH(Edges[[#This Row],[Vertex 2]],GroupVertices[Vertex],0)),1,1,"")</f>
        <v>14</v>
      </c>
      <c r="BF53" s="48"/>
      <c r="BG53" s="49"/>
      <c r="BH53" s="48"/>
      <c r="BI53" s="49"/>
      <c r="BJ53" s="48"/>
      <c r="BK53" s="49"/>
      <c r="BL53" s="48"/>
      <c r="BM53" s="49"/>
      <c r="BN53" s="48"/>
    </row>
    <row r="54" spans="1:66" ht="15">
      <c r="A54" s="66" t="s">
        <v>393</v>
      </c>
      <c r="B54" s="66" t="s">
        <v>392</v>
      </c>
      <c r="C54" s="67" t="s">
        <v>3149</v>
      </c>
      <c r="D54" s="68">
        <v>4</v>
      </c>
      <c r="E54" s="69" t="s">
        <v>132</v>
      </c>
      <c r="F54" s="70">
        <v>30</v>
      </c>
      <c r="G54" s="67"/>
      <c r="H54" s="71"/>
      <c r="I54" s="72"/>
      <c r="J54" s="72"/>
      <c r="K54" s="34" t="s">
        <v>65</v>
      </c>
      <c r="L54" s="79">
        <v>54</v>
      </c>
      <c r="M54" s="79"/>
      <c r="N54" s="74"/>
      <c r="O54" s="81" t="s">
        <v>586</v>
      </c>
      <c r="P54" s="83">
        <v>44004.53255787037</v>
      </c>
      <c r="Q54" s="81" t="s">
        <v>596</v>
      </c>
      <c r="R54" s="81"/>
      <c r="S54" s="81"/>
      <c r="T54" s="81" t="s">
        <v>701</v>
      </c>
      <c r="U54" s="81"/>
      <c r="V54" s="84" t="str">
        <f>HYPERLINK("http://pbs.twimg.com/profile_images/911891391/paaaaaaaaaa_normal.jpg")</f>
        <v>http://pbs.twimg.com/profile_images/911891391/paaaaaaaaaa_normal.jpg</v>
      </c>
      <c r="W54" s="83">
        <v>44004.53255787037</v>
      </c>
      <c r="X54" s="87">
        <v>44004</v>
      </c>
      <c r="Y54" s="89" t="s">
        <v>760</v>
      </c>
      <c r="Z54" s="84" t="str">
        <f>HYPERLINK("https://twitter.com/marcelodgr67/status/1275047608617242625")</f>
        <v>https://twitter.com/marcelodgr67/status/1275047608617242625</v>
      </c>
      <c r="AA54" s="81"/>
      <c r="AB54" s="81"/>
      <c r="AC54" s="89" t="s">
        <v>969</v>
      </c>
      <c r="AD54" s="81"/>
      <c r="AE54" s="81" t="b">
        <v>0</v>
      </c>
      <c r="AF54" s="81">
        <v>0</v>
      </c>
      <c r="AG54" s="89" t="s">
        <v>1149</v>
      </c>
      <c r="AH54" s="81" t="b">
        <v>0</v>
      </c>
      <c r="AI54" s="81" t="s">
        <v>1150</v>
      </c>
      <c r="AJ54" s="81"/>
      <c r="AK54" s="89" t="s">
        <v>1149</v>
      </c>
      <c r="AL54" s="81" t="b">
        <v>0</v>
      </c>
      <c r="AM54" s="81">
        <v>4</v>
      </c>
      <c r="AN54" s="89" t="s">
        <v>968</v>
      </c>
      <c r="AO54" s="81" t="s">
        <v>1176</v>
      </c>
      <c r="AP54" s="81" t="b">
        <v>0</v>
      </c>
      <c r="AQ54" s="89" t="s">
        <v>968</v>
      </c>
      <c r="AR54" s="81" t="s">
        <v>325</v>
      </c>
      <c r="AS54" s="81">
        <v>0</v>
      </c>
      <c r="AT54" s="81">
        <v>0</v>
      </c>
      <c r="AU54" s="81"/>
      <c r="AV54" s="81"/>
      <c r="AW54" s="81"/>
      <c r="AX54" s="81"/>
      <c r="AY54" s="81"/>
      <c r="AZ54" s="81"/>
      <c r="BA54" s="81"/>
      <c r="BB54" s="81"/>
      <c r="BC54">
        <v>1</v>
      </c>
      <c r="BD54" s="80" t="str">
        <f>REPLACE(INDEX(GroupVertices[Group],MATCH(Edges[[#This Row],[Vertex 1]],GroupVertices[Vertex],0)),1,1,"")</f>
        <v>14</v>
      </c>
      <c r="BE54" s="80" t="str">
        <f>REPLACE(INDEX(GroupVertices[Group],MATCH(Edges[[#This Row],[Vertex 2]],GroupVertices[Vertex],0)),1,1,"")</f>
        <v>14</v>
      </c>
      <c r="BF54" s="48">
        <v>0</v>
      </c>
      <c r="BG54" s="49">
        <v>0</v>
      </c>
      <c r="BH54" s="48">
        <v>1</v>
      </c>
      <c r="BI54" s="49">
        <v>4.166666666666667</v>
      </c>
      <c r="BJ54" s="48">
        <v>0</v>
      </c>
      <c r="BK54" s="49">
        <v>0</v>
      </c>
      <c r="BL54" s="48">
        <v>23</v>
      </c>
      <c r="BM54" s="49">
        <v>95.83333333333333</v>
      </c>
      <c r="BN54" s="48">
        <v>24</v>
      </c>
    </row>
    <row r="55" spans="1:66" ht="15">
      <c r="A55" s="66" t="s">
        <v>394</v>
      </c>
      <c r="B55" s="66" t="s">
        <v>524</v>
      </c>
      <c r="C55" s="67" t="s">
        <v>3149</v>
      </c>
      <c r="D55" s="68">
        <v>4</v>
      </c>
      <c r="E55" s="69" t="s">
        <v>132</v>
      </c>
      <c r="F55" s="70">
        <v>30</v>
      </c>
      <c r="G55" s="67"/>
      <c r="H55" s="71"/>
      <c r="I55" s="72"/>
      <c r="J55" s="72"/>
      <c r="K55" s="34" t="s">
        <v>65</v>
      </c>
      <c r="L55" s="79">
        <v>55</v>
      </c>
      <c r="M55" s="79"/>
      <c r="N55" s="74"/>
      <c r="O55" s="81" t="s">
        <v>588</v>
      </c>
      <c r="P55" s="83">
        <v>44004.53498842593</v>
      </c>
      <c r="Q55" s="81" t="s">
        <v>597</v>
      </c>
      <c r="R55" s="81"/>
      <c r="S55" s="81"/>
      <c r="T55" s="81" t="s">
        <v>699</v>
      </c>
      <c r="U55" s="81"/>
      <c r="V55" s="84" t="str">
        <f>HYPERLINK("http://pbs.twimg.com/profile_images/1180539516811124736/U0w4DB3S_normal.jpg")</f>
        <v>http://pbs.twimg.com/profile_images/1180539516811124736/U0w4DB3S_normal.jpg</v>
      </c>
      <c r="W55" s="83">
        <v>44004.53498842593</v>
      </c>
      <c r="X55" s="87">
        <v>44004</v>
      </c>
      <c r="Y55" s="89" t="s">
        <v>761</v>
      </c>
      <c r="Z55" s="84" t="str">
        <f>HYPERLINK("https://twitter.com/anaserranot/status/1275048486891855873")</f>
        <v>https://twitter.com/anaserranot/status/1275048486891855873</v>
      </c>
      <c r="AA55" s="81"/>
      <c r="AB55" s="81"/>
      <c r="AC55" s="89" t="s">
        <v>970</v>
      </c>
      <c r="AD55" s="81"/>
      <c r="AE55" s="81" t="b">
        <v>0</v>
      </c>
      <c r="AF55" s="81">
        <v>0</v>
      </c>
      <c r="AG55" s="89" t="s">
        <v>1149</v>
      </c>
      <c r="AH55" s="81" t="b">
        <v>0</v>
      </c>
      <c r="AI55" s="81" t="s">
        <v>1150</v>
      </c>
      <c r="AJ55" s="81"/>
      <c r="AK55" s="89" t="s">
        <v>1149</v>
      </c>
      <c r="AL55" s="81" t="b">
        <v>0</v>
      </c>
      <c r="AM55" s="81">
        <v>6</v>
      </c>
      <c r="AN55" s="89" t="s">
        <v>1124</v>
      </c>
      <c r="AO55" s="81" t="s">
        <v>1165</v>
      </c>
      <c r="AP55" s="81" t="b">
        <v>0</v>
      </c>
      <c r="AQ55" s="89" t="s">
        <v>1124</v>
      </c>
      <c r="AR55" s="81" t="s">
        <v>325</v>
      </c>
      <c r="AS55" s="81">
        <v>0</v>
      </c>
      <c r="AT55" s="81">
        <v>0</v>
      </c>
      <c r="AU55" s="81"/>
      <c r="AV55" s="81"/>
      <c r="AW55" s="81"/>
      <c r="AX55" s="81"/>
      <c r="AY55" s="81"/>
      <c r="AZ55" s="81"/>
      <c r="BA55" s="81"/>
      <c r="BB55" s="81"/>
      <c r="BC55">
        <v>1</v>
      </c>
      <c r="BD55" s="80" t="str">
        <f>REPLACE(INDEX(GroupVertices[Group],MATCH(Edges[[#This Row],[Vertex 1]],GroupVertices[Vertex],0)),1,1,"")</f>
        <v>5</v>
      </c>
      <c r="BE55" s="80" t="str">
        <f>REPLACE(INDEX(GroupVertices[Group],MATCH(Edges[[#This Row],[Vertex 2]],GroupVertices[Vertex],0)),1,1,"")</f>
        <v>5</v>
      </c>
      <c r="BF55" s="48"/>
      <c r="BG55" s="49"/>
      <c r="BH55" s="48"/>
      <c r="BI55" s="49"/>
      <c r="BJ55" s="48"/>
      <c r="BK55" s="49"/>
      <c r="BL55" s="48"/>
      <c r="BM55" s="49"/>
      <c r="BN55" s="48"/>
    </row>
    <row r="56" spans="1:66" ht="15">
      <c r="A56" s="66" t="s">
        <v>394</v>
      </c>
      <c r="B56" s="66" t="s">
        <v>525</v>
      </c>
      <c r="C56" s="67" t="s">
        <v>3149</v>
      </c>
      <c r="D56" s="68">
        <v>4</v>
      </c>
      <c r="E56" s="69" t="s">
        <v>132</v>
      </c>
      <c r="F56" s="70">
        <v>30</v>
      </c>
      <c r="G56" s="67"/>
      <c r="H56" s="71"/>
      <c r="I56" s="72"/>
      <c r="J56" s="72"/>
      <c r="K56" s="34" t="s">
        <v>65</v>
      </c>
      <c r="L56" s="79">
        <v>56</v>
      </c>
      <c r="M56" s="79"/>
      <c r="N56" s="74"/>
      <c r="O56" s="81" t="s">
        <v>588</v>
      </c>
      <c r="P56" s="83">
        <v>44004.53498842593</v>
      </c>
      <c r="Q56" s="81" t="s">
        <v>597</v>
      </c>
      <c r="R56" s="81"/>
      <c r="S56" s="81"/>
      <c r="T56" s="81" t="s">
        <v>699</v>
      </c>
      <c r="U56" s="81"/>
      <c r="V56" s="84" t="str">
        <f>HYPERLINK("http://pbs.twimg.com/profile_images/1180539516811124736/U0w4DB3S_normal.jpg")</f>
        <v>http://pbs.twimg.com/profile_images/1180539516811124736/U0w4DB3S_normal.jpg</v>
      </c>
      <c r="W56" s="83">
        <v>44004.53498842593</v>
      </c>
      <c r="X56" s="87">
        <v>44004</v>
      </c>
      <c r="Y56" s="89" t="s">
        <v>761</v>
      </c>
      <c r="Z56" s="84" t="str">
        <f>HYPERLINK("https://twitter.com/anaserranot/status/1275048486891855873")</f>
        <v>https://twitter.com/anaserranot/status/1275048486891855873</v>
      </c>
      <c r="AA56" s="81"/>
      <c r="AB56" s="81"/>
      <c r="AC56" s="89" t="s">
        <v>970</v>
      </c>
      <c r="AD56" s="81"/>
      <c r="AE56" s="81" t="b">
        <v>0</v>
      </c>
      <c r="AF56" s="81">
        <v>0</v>
      </c>
      <c r="AG56" s="89" t="s">
        <v>1149</v>
      </c>
      <c r="AH56" s="81" t="b">
        <v>0</v>
      </c>
      <c r="AI56" s="81" t="s">
        <v>1150</v>
      </c>
      <c r="AJ56" s="81"/>
      <c r="AK56" s="89" t="s">
        <v>1149</v>
      </c>
      <c r="AL56" s="81" t="b">
        <v>0</v>
      </c>
      <c r="AM56" s="81">
        <v>6</v>
      </c>
      <c r="AN56" s="89" t="s">
        <v>1124</v>
      </c>
      <c r="AO56" s="81" t="s">
        <v>1165</v>
      </c>
      <c r="AP56" s="81" t="b">
        <v>0</v>
      </c>
      <c r="AQ56" s="89" t="s">
        <v>1124</v>
      </c>
      <c r="AR56" s="81" t="s">
        <v>325</v>
      </c>
      <c r="AS56" s="81">
        <v>0</v>
      </c>
      <c r="AT56" s="81">
        <v>0</v>
      </c>
      <c r="AU56" s="81"/>
      <c r="AV56" s="81"/>
      <c r="AW56" s="81"/>
      <c r="AX56" s="81"/>
      <c r="AY56" s="81"/>
      <c r="AZ56" s="81"/>
      <c r="BA56" s="81"/>
      <c r="BB56" s="81"/>
      <c r="BC56">
        <v>1</v>
      </c>
      <c r="BD56" s="80" t="str">
        <f>REPLACE(INDEX(GroupVertices[Group],MATCH(Edges[[#This Row],[Vertex 1]],GroupVertices[Vertex],0)),1,1,"")</f>
        <v>5</v>
      </c>
      <c r="BE56" s="80" t="str">
        <f>REPLACE(INDEX(GroupVertices[Group],MATCH(Edges[[#This Row],[Vertex 2]],GroupVertices[Vertex],0)),1,1,"")</f>
        <v>5</v>
      </c>
      <c r="BF56" s="48"/>
      <c r="BG56" s="49"/>
      <c r="BH56" s="48"/>
      <c r="BI56" s="49"/>
      <c r="BJ56" s="48"/>
      <c r="BK56" s="49"/>
      <c r="BL56" s="48"/>
      <c r="BM56" s="49"/>
      <c r="BN56" s="48"/>
    </row>
    <row r="57" spans="1:66" ht="15">
      <c r="A57" s="66" t="s">
        <v>394</v>
      </c>
      <c r="B57" s="66" t="s">
        <v>482</v>
      </c>
      <c r="C57" s="67" t="s">
        <v>3149</v>
      </c>
      <c r="D57" s="68">
        <v>4</v>
      </c>
      <c r="E57" s="69" t="s">
        <v>132</v>
      </c>
      <c r="F57" s="70">
        <v>30</v>
      </c>
      <c r="G57" s="67"/>
      <c r="H57" s="71"/>
      <c r="I57" s="72"/>
      <c r="J57" s="72"/>
      <c r="K57" s="34" t="s">
        <v>65</v>
      </c>
      <c r="L57" s="79">
        <v>57</v>
      </c>
      <c r="M57" s="79"/>
      <c r="N57" s="74"/>
      <c r="O57" s="81" t="s">
        <v>586</v>
      </c>
      <c r="P57" s="83">
        <v>44004.53498842593</v>
      </c>
      <c r="Q57" s="81" t="s">
        <v>597</v>
      </c>
      <c r="R57" s="81"/>
      <c r="S57" s="81"/>
      <c r="T57" s="81" t="s">
        <v>699</v>
      </c>
      <c r="U57" s="81"/>
      <c r="V57" s="84" t="str">
        <f>HYPERLINK("http://pbs.twimg.com/profile_images/1180539516811124736/U0w4DB3S_normal.jpg")</f>
        <v>http://pbs.twimg.com/profile_images/1180539516811124736/U0w4DB3S_normal.jpg</v>
      </c>
      <c r="W57" s="83">
        <v>44004.53498842593</v>
      </c>
      <c r="X57" s="87">
        <v>44004</v>
      </c>
      <c r="Y57" s="89" t="s">
        <v>761</v>
      </c>
      <c r="Z57" s="84" t="str">
        <f>HYPERLINK("https://twitter.com/anaserranot/status/1275048486891855873")</f>
        <v>https://twitter.com/anaserranot/status/1275048486891855873</v>
      </c>
      <c r="AA57" s="81"/>
      <c r="AB57" s="81"/>
      <c r="AC57" s="89" t="s">
        <v>970</v>
      </c>
      <c r="AD57" s="81"/>
      <c r="AE57" s="81" t="b">
        <v>0</v>
      </c>
      <c r="AF57" s="81">
        <v>0</v>
      </c>
      <c r="AG57" s="89" t="s">
        <v>1149</v>
      </c>
      <c r="AH57" s="81" t="b">
        <v>0</v>
      </c>
      <c r="AI57" s="81" t="s">
        <v>1150</v>
      </c>
      <c r="AJ57" s="81"/>
      <c r="AK57" s="89" t="s">
        <v>1149</v>
      </c>
      <c r="AL57" s="81" t="b">
        <v>0</v>
      </c>
      <c r="AM57" s="81">
        <v>6</v>
      </c>
      <c r="AN57" s="89" t="s">
        <v>1124</v>
      </c>
      <c r="AO57" s="81" t="s">
        <v>1165</v>
      </c>
      <c r="AP57" s="81" t="b">
        <v>0</v>
      </c>
      <c r="AQ57" s="89" t="s">
        <v>1124</v>
      </c>
      <c r="AR57" s="81" t="s">
        <v>325</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8">
        <v>2</v>
      </c>
      <c r="BG57" s="49">
        <v>5.555555555555555</v>
      </c>
      <c r="BH57" s="48">
        <v>0</v>
      </c>
      <c r="BI57" s="49">
        <v>0</v>
      </c>
      <c r="BJ57" s="48">
        <v>0</v>
      </c>
      <c r="BK57" s="49">
        <v>0</v>
      </c>
      <c r="BL57" s="48">
        <v>34</v>
      </c>
      <c r="BM57" s="49">
        <v>94.44444444444444</v>
      </c>
      <c r="BN57" s="48">
        <v>36</v>
      </c>
    </row>
    <row r="58" spans="1:66" ht="15">
      <c r="A58" s="66" t="s">
        <v>395</v>
      </c>
      <c r="B58" s="66" t="s">
        <v>513</v>
      </c>
      <c r="C58" s="67" t="s">
        <v>3149</v>
      </c>
      <c r="D58" s="68">
        <v>4</v>
      </c>
      <c r="E58" s="69" t="s">
        <v>132</v>
      </c>
      <c r="F58" s="70">
        <v>30</v>
      </c>
      <c r="G58" s="67"/>
      <c r="H58" s="71"/>
      <c r="I58" s="72"/>
      <c r="J58" s="72"/>
      <c r="K58" s="34" t="s">
        <v>65</v>
      </c>
      <c r="L58" s="79">
        <v>58</v>
      </c>
      <c r="M58" s="79"/>
      <c r="N58" s="74"/>
      <c r="O58" s="81" t="s">
        <v>588</v>
      </c>
      <c r="P58" s="83">
        <v>44004.536944444444</v>
      </c>
      <c r="Q58" s="81" t="s">
        <v>595</v>
      </c>
      <c r="R58" s="81"/>
      <c r="S58" s="81"/>
      <c r="T58" s="81"/>
      <c r="U58" s="81"/>
      <c r="V58" s="84" t="str">
        <f>HYPERLINK("http://pbs.twimg.com/profile_images/1018391950406373376/oAMTohyh_normal.jpg")</f>
        <v>http://pbs.twimg.com/profile_images/1018391950406373376/oAMTohyh_normal.jpg</v>
      </c>
      <c r="W58" s="83">
        <v>44004.536944444444</v>
      </c>
      <c r="X58" s="87">
        <v>44004</v>
      </c>
      <c r="Y58" s="89" t="s">
        <v>762</v>
      </c>
      <c r="Z58" s="84" t="str">
        <f>HYPERLINK("https://twitter.com/jeremy_morley/status/1275049198547763204")</f>
        <v>https://twitter.com/jeremy_morley/status/1275049198547763204</v>
      </c>
      <c r="AA58" s="81"/>
      <c r="AB58" s="81"/>
      <c r="AC58" s="89" t="s">
        <v>971</v>
      </c>
      <c r="AD58" s="81"/>
      <c r="AE58" s="81" t="b">
        <v>0</v>
      </c>
      <c r="AF58" s="81">
        <v>0</v>
      </c>
      <c r="AG58" s="89" t="s">
        <v>1149</v>
      </c>
      <c r="AH58" s="81" t="b">
        <v>0</v>
      </c>
      <c r="AI58" s="81" t="s">
        <v>1150</v>
      </c>
      <c r="AJ58" s="81"/>
      <c r="AK58" s="89" t="s">
        <v>1149</v>
      </c>
      <c r="AL58" s="81" t="b">
        <v>0</v>
      </c>
      <c r="AM58" s="81">
        <v>37</v>
      </c>
      <c r="AN58" s="89" t="s">
        <v>1142</v>
      </c>
      <c r="AO58" s="81" t="s">
        <v>1165</v>
      </c>
      <c r="AP58" s="81" t="b">
        <v>0</v>
      </c>
      <c r="AQ58" s="89" t="s">
        <v>1142</v>
      </c>
      <c r="AR58" s="81" t="s">
        <v>325</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8"/>
      <c r="BG58" s="49"/>
      <c r="BH58" s="48"/>
      <c r="BI58" s="49"/>
      <c r="BJ58" s="48"/>
      <c r="BK58" s="49"/>
      <c r="BL58" s="48"/>
      <c r="BM58" s="49"/>
      <c r="BN58" s="48"/>
    </row>
    <row r="59" spans="1:66" ht="15">
      <c r="A59" s="66" t="s">
        <v>395</v>
      </c>
      <c r="B59" s="66" t="s">
        <v>514</v>
      </c>
      <c r="C59" s="67" t="s">
        <v>3149</v>
      </c>
      <c r="D59" s="68">
        <v>4</v>
      </c>
      <c r="E59" s="69" t="s">
        <v>132</v>
      </c>
      <c r="F59" s="70">
        <v>30</v>
      </c>
      <c r="G59" s="67"/>
      <c r="H59" s="71"/>
      <c r="I59" s="72"/>
      <c r="J59" s="72"/>
      <c r="K59" s="34" t="s">
        <v>65</v>
      </c>
      <c r="L59" s="79">
        <v>59</v>
      </c>
      <c r="M59" s="79"/>
      <c r="N59" s="74"/>
      <c r="O59" s="81" t="s">
        <v>586</v>
      </c>
      <c r="P59" s="83">
        <v>44004.536944444444</v>
      </c>
      <c r="Q59" s="81" t="s">
        <v>595</v>
      </c>
      <c r="R59" s="81"/>
      <c r="S59" s="81"/>
      <c r="T59" s="81"/>
      <c r="U59" s="81"/>
      <c r="V59" s="84" t="str">
        <f>HYPERLINK("http://pbs.twimg.com/profile_images/1018391950406373376/oAMTohyh_normal.jpg")</f>
        <v>http://pbs.twimg.com/profile_images/1018391950406373376/oAMTohyh_normal.jpg</v>
      </c>
      <c r="W59" s="83">
        <v>44004.536944444444</v>
      </c>
      <c r="X59" s="87">
        <v>44004</v>
      </c>
      <c r="Y59" s="89" t="s">
        <v>762</v>
      </c>
      <c r="Z59" s="84" t="str">
        <f>HYPERLINK("https://twitter.com/jeremy_morley/status/1275049198547763204")</f>
        <v>https://twitter.com/jeremy_morley/status/1275049198547763204</v>
      </c>
      <c r="AA59" s="81"/>
      <c r="AB59" s="81"/>
      <c r="AC59" s="89" t="s">
        <v>971</v>
      </c>
      <c r="AD59" s="81"/>
      <c r="AE59" s="81" t="b">
        <v>0</v>
      </c>
      <c r="AF59" s="81">
        <v>0</v>
      </c>
      <c r="AG59" s="89" t="s">
        <v>1149</v>
      </c>
      <c r="AH59" s="81" t="b">
        <v>0</v>
      </c>
      <c r="AI59" s="81" t="s">
        <v>1150</v>
      </c>
      <c r="AJ59" s="81"/>
      <c r="AK59" s="89" t="s">
        <v>1149</v>
      </c>
      <c r="AL59" s="81" t="b">
        <v>0</v>
      </c>
      <c r="AM59" s="81">
        <v>37</v>
      </c>
      <c r="AN59" s="89" t="s">
        <v>1142</v>
      </c>
      <c r="AO59" s="81" t="s">
        <v>1165</v>
      </c>
      <c r="AP59" s="81" t="b">
        <v>0</v>
      </c>
      <c r="AQ59" s="89" t="s">
        <v>1142</v>
      </c>
      <c r="AR59" s="81" t="s">
        <v>325</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8">
        <v>3</v>
      </c>
      <c r="BG59" s="49">
        <v>7.5</v>
      </c>
      <c r="BH59" s="48">
        <v>0</v>
      </c>
      <c r="BI59" s="49">
        <v>0</v>
      </c>
      <c r="BJ59" s="48">
        <v>0</v>
      </c>
      <c r="BK59" s="49">
        <v>0</v>
      </c>
      <c r="BL59" s="48">
        <v>37</v>
      </c>
      <c r="BM59" s="49">
        <v>92.5</v>
      </c>
      <c r="BN59" s="48">
        <v>40</v>
      </c>
    </row>
    <row r="60" spans="1:66" ht="15">
      <c r="A60" s="66" t="s">
        <v>396</v>
      </c>
      <c r="B60" s="66" t="s">
        <v>513</v>
      </c>
      <c r="C60" s="67" t="s">
        <v>3149</v>
      </c>
      <c r="D60" s="68">
        <v>4</v>
      </c>
      <c r="E60" s="69" t="s">
        <v>132</v>
      </c>
      <c r="F60" s="70">
        <v>30</v>
      </c>
      <c r="G60" s="67"/>
      <c r="H60" s="71"/>
      <c r="I60" s="72"/>
      <c r="J60" s="72"/>
      <c r="K60" s="34" t="s">
        <v>65</v>
      </c>
      <c r="L60" s="79">
        <v>60</v>
      </c>
      <c r="M60" s="79"/>
      <c r="N60" s="74"/>
      <c r="O60" s="81" t="s">
        <v>588</v>
      </c>
      <c r="P60" s="83">
        <v>44004.55709490741</v>
      </c>
      <c r="Q60" s="81" t="s">
        <v>595</v>
      </c>
      <c r="R60" s="81"/>
      <c r="S60" s="81"/>
      <c r="T60" s="81"/>
      <c r="U60" s="81"/>
      <c r="V60" s="84" t="str">
        <f>HYPERLINK("http://pbs.twimg.com/profile_images/1035175023437336576/PlWu55Xt_normal.jpg")</f>
        <v>http://pbs.twimg.com/profile_images/1035175023437336576/PlWu55Xt_normal.jpg</v>
      </c>
      <c r="W60" s="83">
        <v>44004.55709490741</v>
      </c>
      <c r="X60" s="87">
        <v>44004</v>
      </c>
      <c r="Y60" s="89" t="s">
        <v>763</v>
      </c>
      <c r="Z60" s="84" t="str">
        <f>HYPERLINK("https://twitter.com/jenit/status/1275056500394921984")</f>
        <v>https://twitter.com/jenit/status/1275056500394921984</v>
      </c>
      <c r="AA60" s="81"/>
      <c r="AB60" s="81"/>
      <c r="AC60" s="89" t="s">
        <v>972</v>
      </c>
      <c r="AD60" s="81"/>
      <c r="AE60" s="81" t="b">
        <v>0</v>
      </c>
      <c r="AF60" s="81">
        <v>0</v>
      </c>
      <c r="AG60" s="89" t="s">
        <v>1149</v>
      </c>
      <c r="AH60" s="81" t="b">
        <v>0</v>
      </c>
      <c r="AI60" s="81" t="s">
        <v>1150</v>
      </c>
      <c r="AJ60" s="81"/>
      <c r="AK60" s="89" t="s">
        <v>1149</v>
      </c>
      <c r="AL60" s="81" t="b">
        <v>0</v>
      </c>
      <c r="AM60" s="81">
        <v>37</v>
      </c>
      <c r="AN60" s="89" t="s">
        <v>1142</v>
      </c>
      <c r="AO60" s="81" t="s">
        <v>1176</v>
      </c>
      <c r="AP60" s="81" t="b">
        <v>0</v>
      </c>
      <c r="AQ60" s="89" t="s">
        <v>1142</v>
      </c>
      <c r="AR60" s="81" t="s">
        <v>325</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8"/>
      <c r="BG60" s="49"/>
      <c r="BH60" s="48"/>
      <c r="BI60" s="49"/>
      <c r="BJ60" s="48"/>
      <c r="BK60" s="49"/>
      <c r="BL60" s="48"/>
      <c r="BM60" s="49"/>
      <c r="BN60" s="48"/>
    </row>
    <row r="61" spans="1:66" ht="15">
      <c r="A61" s="66" t="s">
        <v>396</v>
      </c>
      <c r="B61" s="66" t="s">
        <v>514</v>
      </c>
      <c r="C61" s="67" t="s">
        <v>3149</v>
      </c>
      <c r="D61" s="68">
        <v>4</v>
      </c>
      <c r="E61" s="69" t="s">
        <v>132</v>
      </c>
      <c r="F61" s="70">
        <v>30</v>
      </c>
      <c r="G61" s="67"/>
      <c r="H61" s="71"/>
      <c r="I61" s="72"/>
      <c r="J61" s="72"/>
      <c r="K61" s="34" t="s">
        <v>65</v>
      </c>
      <c r="L61" s="79">
        <v>61</v>
      </c>
      <c r="M61" s="79"/>
      <c r="N61" s="74"/>
      <c r="O61" s="81" t="s">
        <v>586</v>
      </c>
      <c r="P61" s="83">
        <v>44004.55709490741</v>
      </c>
      <c r="Q61" s="81" t="s">
        <v>595</v>
      </c>
      <c r="R61" s="81"/>
      <c r="S61" s="81"/>
      <c r="T61" s="81"/>
      <c r="U61" s="81"/>
      <c r="V61" s="84" t="str">
        <f>HYPERLINK("http://pbs.twimg.com/profile_images/1035175023437336576/PlWu55Xt_normal.jpg")</f>
        <v>http://pbs.twimg.com/profile_images/1035175023437336576/PlWu55Xt_normal.jpg</v>
      </c>
      <c r="W61" s="83">
        <v>44004.55709490741</v>
      </c>
      <c r="X61" s="87">
        <v>44004</v>
      </c>
      <c r="Y61" s="89" t="s">
        <v>763</v>
      </c>
      <c r="Z61" s="84" t="str">
        <f>HYPERLINK("https://twitter.com/jenit/status/1275056500394921984")</f>
        <v>https://twitter.com/jenit/status/1275056500394921984</v>
      </c>
      <c r="AA61" s="81"/>
      <c r="AB61" s="81"/>
      <c r="AC61" s="89" t="s">
        <v>972</v>
      </c>
      <c r="AD61" s="81"/>
      <c r="AE61" s="81" t="b">
        <v>0</v>
      </c>
      <c r="AF61" s="81">
        <v>0</v>
      </c>
      <c r="AG61" s="89" t="s">
        <v>1149</v>
      </c>
      <c r="AH61" s="81" t="b">
        <v>0</v>
      </c>
      <c r="AI61" s="81" t="s">
        <v>1150</v>
      </c>
      <c r="AJ61" s="81"/>
      <c r="AK61" s="89" t="s">
        <v>1149</v>
      </c>
      <c r="AL61" s="81" t="b">
        <v>0</v>
      </c>
      <c r="AM61" s="81">
        <v>37</v>
      </c>
      <c r="AN61" s="89" t="s">
        <v>1142</v>
      </c>
      <c r="AO61" s="81" t="s">
        <v>1176</v>
      </c>
      <c r="AP61" s="81" t="b">
        <v>0</v>
      </c>
      <c r="AQ61" s="89" t="s">
        <v>1142</v>
      </c>
      <c r="AR61" s="81" t="s">
        <v>325</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8">
        <v>3</v>
      </c>
      <c r="BG61" s="49">
        <v>7.5</v>
      </c>
      <c r="BH61" s="48">
        <v>0</v>
      </c>
      <c r="BI61" s="49">
        <v>0</v>
      </c>
      <c r="BJ61" s="48">
        <v>0</v>
      </c>
      <c r="BK61" s="49">
        <v>0</v>
      </c>
      <c r="BL61" s="48">
        <v>37</v>
      </c>
      <c r="BM61" s="49">
        <v>92.5</v>
      </c>
      <c r="BN61" s="48">
        <v>40</v>
      </c>
    </row>
    <row r="62" spans="1:66" ht="15">
      <c r="A62" s="66" t="s">
        <v>397</v>
      </c>
      <c r="B62" s="66" t="s">
        <v>524</v>
      </c>
      <c r="C62" s="67" t="s">
        <v>3149</v>
      </c>
      <c r="D62" s="68">
        <v>4</v>
      </c>
      <c r="E62" s="69" t="s">
        <v>132</v>
      </c>
      <c r="F62" s="70">
        <v>30</v>
      </c>
      <c r="G62" s="67"/>
      <c r="H62" s="71"/>
      <c r="I62" s="72"/>
      <c r="J62" s="72"/>
      <c r="K62" s="34" t="s">
        <v>65</v>
      </c>
      <c r="L62" s="79">
        <v>62</v>
      </c>
      <c r="M62" s="79"/>
      <c r="N62" s="74"/>
      <c r="O62" s="81" t="s">
        <v>588</v>
      </c>
      <c r="P62" s="83">
        <v>44004.568773148145</v>
      </c>
      <c r="Q62" s="81" t="s">
        <v>597</v>
      </c>
      <c r="R62" s="81"/>
      <c r="S62" s="81"/>
      <c r="T62" s="81" t="s">
        <v>699</v>
      </c>
      <c r="U62" s="81"/>
      <c r="V62" s="84" t="str">
        <f>HYPERLINK("http://pbs.twimg.com/profile_images/1042441961368629249/OZo_zt9b_normal.jpg")</f>
        <v>http://pbs.twimg.com/profile_images/1042441961368629249/OZo_zt9b_normal.jpg</v>
      </c>
      <c r="W62" s="83">
        <v>44004.568773148145</v>
      </c>
      <c r="X62" s="87">
        <v>44004</v>
      </c>
      <c r="Y62" s="89" t="s">
        <v>764</v>
      </c>
      <c r="Z62" s="84" t="str">
        <f>HYPERLINK("https://twitter.com/susanagarayoa/status/1275060730555842561")</f>
        <v>https://twitter.com/susanagarayoa/status/1275060730555842561</v>
      </c>
      <c r="AA62" s="81"/>
      <c r="AB62" s="81"/>
      <c r="AC62" s="89" t="s">
        <v>973</v>
      </c>
      <c r="AD62" s="81"/>
      <c r="AE62" s="81" t="b">
        <v>0</v>
      </c>
      <c r="AF62" s="81">
        <v>0</v>
      </c>
      <c r="AG62" s="89" t="s">
        <v>1149</v>
      </c>
      <c r="AH62" s="81" t="b">
        <v>0</v>
      </c>
      <c r="AI62" s="81" t="s">
        <v>1150</v>
      </c>
      <c r="AJ62" s="81"/>
      <c r="AK62" s="89" t="s">
        <v>1149</v>
      </c>
      <c r="AL62" s="81" t="b">
        <v>0</v>
      </c>
      <c r="AM62" s="81">
        <v>6</v>
      </c>
      <c r="AN62" s="89" t="s">
        <v>1124</v>
      </c>
      <c r="AO62" s="81" t="s">
        <v>1165</v>
      </c>
      <c r="AP62" s="81" t="b">
        <v>0</v>
      </c>
      <c r="AQ62" s="89" t="s">
        <v>1124</v>
      </c>
      <c r="AR62" s="81" t="s">
        <v>325</v>
      </c>
      <c r="AS62" s="81">
        <v>0</v>
      </c>
      <c r="AT62" s="81">
        <v>0</v>
      </c>
      <c r="AU62" s="81"/>
      <c r="AV62" s="81"/>
      <c r="AW62" s="81"/>
      <c r="AX62" s="81"/>
      <c r="AY62" s="81"/>
      <c r="AZ62" s="81"/>
      <c r="BA62" s="81"/>
      <c r="BB62" s="81"/>
      <c r="BC62">
        <v>1</v>
      </c>
      <c r="BD62" s="80" t="str">
        <f>REPLACE(INDEX(GroupVertices[Group],MATCH(Edges[[#This Row],[Vertex 1]],GroupVertices[Vertex],0)),1,1,"")</f>
        <v>5</v>
      </c>
      <c r="BE62" s="80" t="str">
        <f>REPLACE(INDEX(GroupVertices[Group],MATCH(Edges[[#This Row],[Vertex 2]],GroupVertices[Vertex],0)),1,1,"")</f>
        <v>5</v>
      </c>
      <c r="BF62" s="48"/>
      <c r="BG62" s="49"/>
      <c r="BH62" s="48"/>
      <c r="BI62" s="49"/>
      <c r="BJ62" s="48"/>
      <c r="BK62" s="49"/>
      <c r="BL62" s="48"/>
      <c r="BM62" s="49"/>
      <c r="BN62" s="48"/>
    </row>
    <row r="63" spans="1:66" ht="15">
      <c r="A63" s="66" t="s">
        <v>397</v>
      </c>
      <c r="B63" s="66" t="s">
        <v>525</v>
      </c>
      <c r="C63" s="67" t="s">
        <v>3149</v>
      </c>
      <c r="D63" s="68">
        <v>4</v>
      </c>
      <c r="E63" s="69" t="s">
        <v>132</v>
      </c>
      <c r="F63" s="70">
        <v>30</v>
      </c>
      <c r="G63" s="67"/>
      <c r="H63" s="71"/>
      <c r="I63" s="72"/>
      <c r="J63" s="72"/>
      <c r="K63" s="34" t="s">
        <v>65</v>
      </c>
      <c r="L63" s="79">
        <v>63</v>
      </c>
      <c r="M63" s="79"/>
      <c r="N63" s="74"/>
      <c r="O63" s="81" t="s">
        <v>588</v>
      </c>
      <c r="P63" s="83">
        <v>44004.568773148145</v>
      </c>
      <c r="Q63" s="81" t="s">
        <v>597</v>
      </c>
      <c r="R63" s="81"/>
      <c r="S63" s="81"/>
      <c r="T63" s="81" t="s">
        <v>699</v>
      </c>
      <c r="U63" s="81"/>
      <c r="V63" s="84" t="str">
        <f>HYPERLINK("http://pbs.twimg.com/profile_images/1042441961368629249/OZo_zt9b_normal.jpg")</f>
        <v>http://pbs.twimg.com/profile_images/1042441961368629249/OZo_zt9b_normal.jpg</v>
      </c>
      <c r="W63" s="83">
        <v>44004.568773148145</v>
      </c>
      <c r="X63" s="87">
        <v>44004</v>
      </c>
      <c r="Y63" s="89" t="s">
        <v>764</v>
      </c>
      <c r="Z63" s="84" t="str">
        <f>HYPERLINK("https://twitter.com/susanagarayoa/status/1275060730555842561")</f>
        <v>https://twitter.com/susanagarayoa/status/1275060730555842561</v>
      </c>
      <c r="AA63" s="81"/>
      <c r="AB63" s="81"/>
      <c r="AC63" s="89" t="s">
        <v>973</v>
      </c>
      <c r="AD63" s="81"/>
      <c r="AE63" s="81" t="b">
        <v>0</v>
      </c>
      <c r="AF63" s="81">
        <v>0</v>
      </c>
      <c r="AG63" s="89" t="s">
        <v>1149</v>
      </c>
      <c r="AH63" s="81" t="b">
        <v>0</v>
      </c>
      <c r="AI63" s="81" t="s">
        <v>1150</v>
      </c>
      <c r="AJ63" s="81"/>
      <c r="AK63" s="89" t="s">
        <v>1149</v>
      </c>
      <c r="AL63" s="81" t="b">
        <v>0</v>
      </c>
      <c r="AM63" s="81">
        <v>6</v>
      </c>
      <c r="AN63" s="89" t="s">
        <v>1124</v>
      </c>
      <c r="AO63" s="81" t="s">
        <v>1165</v>
      </c>
      <c r="AP63" s="81" t="b">
        <v>0</v>
      </c>
      <c r="AQ63" s="89" t="s">
        <v>1124</v>
      </c>
      <c r="AR63" s="81" t="s">
        <v>325</v>
      </c>
      <c r="AS63" s="81">
        <v>0</v>
      </c>
      <c r="AT63" s="81">
        <v>0</v>
      </c>
      <c r="AU63" s="81"/>
      <c r="AV63" s="81"/>
      <c r="AW63" s="81"/>
      <c r="AX63" s="81"/>
      <c r="AY63" s="81"/>
      <c r="AZ63" s="81"/>
      <c r="BA63" s="81"/>
      <c r="BB63" s="81"/>
      <c r="BC63">
        <v>1</v>
      </c>
      <c r="BD63" s="80" t="str">
        <f>REPLACE(INDEX(GroupVertices[Group],MATCH(Edges[[#This Row],[Vertex 1]],GroupVertices[Vertex],0)),1,1,"")</f>
        <v>5</v>
      </c>
      <c r="BE63" s="80" t="str">
        <f>REPLACE(INDEX(GroupVertices[Group],MATCH(Edges[[#This Row],[Vertex 2]],GroupVertices[Vertex],0)),1,1,"")</f>
        <v>5</v>
      </c>
      <c r="BF63" s="48"/>
      <c r="BG63" s="49"/>
      <c r="BH63" s="48"/>
      <c r="BI63" s="49"/>
      <c r="BJ63" s="48"/>
      <c r="BK63" s="49"/>
      <c r="BL63" s="48"/>
      <c r="BM63" s="49"/>
      <c r="BN63" s="48"/>
    </row>
    <row r="64" spans="1:66" ht="15">
      <c r="A64" s="66" t="s">
        <v>397</v>
      </c>
      <c r="B64" s="66" t="s">
        <v>482</v>
      </c>
      <c r="C64" s="67" t="s">
        <v>3149</v>
      </c>
      <c r="D64" s="68">
        <v>4</v>
      </c>
      <c r="E64" s="69" t="s">
        <v>132</v>
      </c>
      <c r="F64" s="70">
        <v>30</v>
      </c>
      <c r="G64" s="67"/>
      <c r="H64" s="71"/>
      <c r="I64" s="72"/>
      <c r="J64" s="72"/>
      <c r="K64" s="34" t="s">
        <v>65</v>
      </c>
      <c r="L64" s="79">
        <v>64</v>
      </c>
      <c r="M64" s="79"/>
      <c r="N64" s="74"/>
      <c r="O64" s="81" t="s">
        <v>586</v>
      </c>
      <c r="P64" s="83">
        <v>44004.568773148145</v>
      </c>
      <c r="Q64" s="81" t="s">
        <v>597</v>
      </c>
      <c r="R64" s="81"/>
      <c r="S64" s="81"/>
      <c r="T64" s="81" t="s">
        <v>699</v>
      </c>
      <c r="U64" s="81"/>
      <c r="V64" s="84" t="str">
        <f>HYPERLINK("http://pbs.twimg.com/profile_images/1042441961368629249/OZo_zt9b_normal.jpg")</f>
        <v>http://pbs.twimg.com/profile_images/1042441961368629249/OZo_zt9b_normal.jpg</v>
      </c>
      <c r="W64" s="83">
        <v>44004.568773148145</v>
      </c>
      <c r="X64" s="87">
        <v>44004</v>
      </c>
      <c r="Y64" s="89" t="s">
        <v>764</v>
      </c>
      <c r="Z64" s="84" t="str">
        <f>HYPERLINK("https://twitter.com/susanagarayoa/status/1275060730555842561")</f>
        <v>https://twitter.com/susanagarayoa/status/1275060730555842561</v>
      </c>
      <c r="AA64" s="81"/>
      <c r="AB64" s="81"/>
      <c r="AC64" s="89" t="s">
        <v>973</v>
      </c>
      <c r="AD64" s="81"/>
      <c r="AE64" s="81" t="b">
        <v>0</v>
      </c>
      <c r="AF64" s="81">
        <v>0</v>
      </c>
      <c r="AG64" s="89" t="s">
        <v>1149</v>
      </c>
      <c r="AH64" s="81" t="b">
        <v>0</v>
      </c>
      <c r="AI64" s="81" t="s">
        <v>1150</v>
      </c>
      <c r="AJ64" s="81"/>
      <c r="AK64" s="89" t="s">
        <v>1149</v>
      </c>
      <c r="AL64" s="81" t="b">
        <v>0</v>
      </c>
      <c r="AM64" s="81">
        <v>6</v>
      </c>
      <c r="AN64" s="89" t="s">
        <v>1124</v>
      </c>
      <c r="AO64" s="81" t="s">
        <v>1165</v>
      </c>
      <c r="AP64" s="81" t="b">
        <v>0</v>
      </c>
      <c r="AQ64" s="89" t="s">
        <v>1124</v>
      </c>
      <c r="AR64" s="81" t="s">
        <v>325</v>
      </c>
      <c r="AS64" s="81">
        <v>0</v>
      </c>
      <c r="AT64" s="81">
        <v>0</v>
      </c>
      <c r="AU64" s="81"/>
      <c r="AV64" s="81"/>
      <c r="AW64" s="81"/>
      <c r="AX64" s="81"/>
      <c r="AY64" s="81"/>
      <c r="AZ64" s="81"/>
      <c r="BA64" s="81"/>
      <c r="BB64" s="81"/>
      <c r="BC64">
        <v>1</v>
      </c>
      <c r="BD64" s="80" t="str">
        <f>REPLACE(INDEX(GroupVertices[Group],MATCH(Edges[[#This Row],[Vertex 1]],GroupVertices[Vertex],0)),1,1,"")</f>
        <v>5</v>
      </c>
      <c r="BE64" s="80" t="str">
        <f>REPLACE(INDEX(GroupVertices[Group],MATCH(Edges[[#This Row],[Vertex 2]],GroupVertices[Vertex],0)),1,1,"")</f>
        <v>5</v>
      </c>
      <c r="BF64" s="48">
        <v>2</v>
      </c>
      <c r="BG64" s="49">
        <v>5.555555555555555</v>
      </c>
      <c r="BH64" s="48">
        <v>0</v>
      </c>
      <c r="BI64" s="49">
        <v>0</v>
      </c>
      <c r="BJ64" s="48">
        <v>0</v>
      </c>
      <c r="BK64" s="49">
        <v>0</v>
      </c>
      <c r="BL64" s="48">
        <v>34</v>
      </c>
      <c r="BM64" s="49">
        <v>94.44444444444444</v>
      </c>
      <c r="BN64" s="48">
        <v>36</v>
      </c>
    </row>
    <row r="65" spans="1:66" ht="15">
      <c r="A65" s="66" t="s">
        <v>398</v>
      </c>
      <c r="B65" s="66" t="s">
        <v>526</v>
      </c>
      <c r="C65" s="67" t="s">
        <v>3149</v>
      </c>
      <c r="D65" s="68">
        <v>4</v>
      </c>
      <c r="E65" s="69" t="s">
        <v>132</v>
      </c>
      <c r="F65" s="70">
        <v>30</v>
      </c>
      <c r="G65" s="67"/>
      <c r="H65" s="71"/>
      <c r="I65" s="72"/>
      <c r="J65" s="72"/>
      <c r="K65" s="34" t="s">
        <v>65</v>
      </c>
      <c r="L65" s="79">
        <v>65</v>
      </c>
      <c r="M65" s="79"/>
      <c r="N65" s="74"/>
      <c r="O65" s="81" t="s">
        <v>587</v>
      </c>
      <c r="P65" s="83">
        <v>44004.57572916667</v>
      </c>
      <c r="Q65" s="81" t="s">
        <v>598</v>
      </c>
      <c r="R65" s="84" t="str">
        <f>HYPERLINK("https://interactive.aljazeera.com/aje/2020/saving-the-nile/index.html")</f>
        <v>https://interactive.aljazeera.com/aje/2020/saving-the-nile/index.html</v>
      </c>
      <c r="S65" s="81" t="s">
        <v>678</v>
      </c>
      <c r="T65" s="81" t="s">
        <v>703</v>
      </c>
      <c r="U65" s="81"/>
      <c r="V65" s="84" t="str">
        <f>HYPERLINK("http://pbs.twimg.com/profile_images/1023052984811438080/R5xMoijf_normal.jpg")</f>
        <v>http://pbs.twimg.com/profile_images/1023052984811438080/R5xMoijf_normal.jpg</v>
      </c>
      <c r="W65" s="83">
        <v>44004.57572916667</v>
      </c>
      <c r="X65" s="87">
        <v>44004</v>
      </c>
      <c r="Y65" s="89" t="s">
        <v>765</v>
      </c>
      <c r="Z65" s="84" t="str">
        <f>HYPERLINK("https://twitter.com/hlutwama/status/1275063253047992324")</f>
        <v>https://twitter.com/hlutwama/status/1275063253047992324</v>
      </c>
      <c r="AA65" s="81"/>
      <c r="AB65" s="81"/>
      <c r="AC65" s="89" t="s">
        <v>974</v>
      </c>
      <c r="AD65" s="81"/>
      <c r="AE65" s="81" t="b">
        <v>0</v>
      </c>
      <c r="AF65" s="81">
        <v>1</v>
      </c>
      <c r="AG65" s="89" t="s">
        <v>1149</v>
      </c>
      <c r="AH65" s="81" t="b">
        <v>0</v>
      </c>
      <c r="AI65" s="81" t="s">
        <v>1150</v>
      </c>
      <c r="AJ65" s="81"/>
      <c r="AK65" s="89" t="s">
        <v>1149</v>
      </c>
      <c r="AL65" s="81" t="b">
        <v>0</v>
      </c>
      <c r="AM65" s="81">
        <v>0</v>
      </c>
      <c r="AN65" s="89" t="s">
        <v>1149</v>
      </c>
      <c r="AO65" s="81" t="s">
        <v>1172</v>
      </c>
      <c r="AP65" s="81" t="b">
        <v>0</v>
      </c>
      <c r="AQ65" s="89" t="s">
        <v>974</v>
      </c>
      <c r="AR65" s="81" t="s">
        <v>325</v>
      </c>
      <c r="AS65" s="81">
        <v>0</v>
      </c>
      <c r="AT65" s="81">
        <v>0</v>
      </c>
      <c r="AU65" s="81"/>
      <c r="AV65" s="81"/>
      <c r="AW65" s="81"/>
      <c r="AX65" s="81"/>
      <c r="AY65" s="81"/>
      <c r="AZ65" s="81"/>
      <c r="BA65" s="81"/>
      <c r="BB65" s="81"/>
      <c r="BC65">
        <v>1</v>
      </c>
      <c r="BD65" s="80" t="str">
        <f>REPLACE(INDEX(GroupVertices[Group],MATCH(Edges[[#This Row],[Vertex 1]],GroupVertices[Vertex],0)),1,1,"")</f>
        <v>3</v>
      </c>
      <c r="BE65" s="80" t="str">
        <f>REPLACE(INDEX(GroupVertices[Group],MATCH(Edges[[#This Row],[Vertex 2]],GroupVertices[Vertex],0)),1,1,"")</f>
        <v>3</v>
      </c>
      <c r="BF65" s="48"/>
      <c r="BG65" s="49"/>
      <c r="BH65" s="48"/>
      <c r="BI65" s="49"/>
      <c r="BJ65" s="48"/>
      <c r="BK65" s="49"/>
      <c r="BL65" s="48"/>
      <c r="BM65" s="49"/>
      <c r="BN65" s="48"/>
    </row>
    <row r="66" spans="1:66" ht="15">
      <c r="A66" s="66" t="s">
        <v>398</v>
      </c>
      <c r="B66" s="66" t="s">
        <v>527</v>
      </c>
      <c r="C66" s="67" t="s">
        <v>3149</v>
      </c>
      <c r="D66" s="68">
        <v>4</v>
      </c>
      <c r="E66" s="69" t="s">
        <v>132</v>
      </c>
      <c r="F66" s="70">
        <v>30</v>
      </c>
      <c r="G66" s="67"/>
      <c r="H66" s="71"/>
      <c r="I66" s="72"/>
      <c r="J66" s="72"/>
      <c r="K66" s="34" t="s">
        <v>65</v>
      </c>
      <c r="L66" s="79">
        <v>66</v>
      </c>
      <c r="M66" s="79"/>
      <c r="N66" s="74"/>
      <c r="O66" s="81" t="s">
        <v>587</v>
      </c>
      <c r="P66" s="83">
        <v>44004.57572916667</v>
      </c>
      <c r="Q66" s="81" t="s">
        <v>598</v>
      </c>
      <c r="R66" s="84" t="str">
        <f>HYPERLINK("https://interactive.aljazeera.com/aje/2020/saving-the-nile/index.html")</f>
        <v>https://interactive.aljazeera.com/aje/2020/saving-the-nile/index.html</v>
      </c>
      <c r="S66" s="81" t="s">
        <v>678</v>
      </c>
      <c r="T66" s="81" t="s">
        <v>703</v>
      </c>
      <c r="U66" s="81"/>
      <c r="V66" s="84" t="str">
        <f>HYPERLINK("http://pbs.twimg.com/profile_images/1023052984811438080/R5xMoijf_normal.jpg")</f>
        <v>http://pbs.twimg.com/profile_images/1023052984811438080/R5xMoijf_normal.jpg</v>
      </c>
      <c r="W66" s="83">
        <v>44004.57572916667</v>
      </c>
      <c r="X66" s="87">
        <v>44004</v>
      </c>
      <c r="Y66" s="89" t="s">
        <v>765</v>
      </c>
      <c r="Z66" s="84" t="str">
        <f>HYPERLINK("https://twitter.com/hlutwama/status/1275063253047992324")</f>
        <v>https://twitter.com/hlutwama/status/1275063253047992324</v>
      </c>
      <c r="AA66" s="81"/>
      <c r="AB66" s="81"/>
      <c r="AC66" s="89" t="s">
        <v>974</v>
      </c>
      <c r="AD66" s="81"/>
      <c r="AE66" s="81" t="b">
        <v>0</v>
      </c>
      <c r="AF66" s="81">
        <v>1</v>
      </c>
      <c r="AG66" s="89" t="s">
        <v>1149</v>
      </c>
      <c r="AH66" s="81" t="b">
        <v>0</v>
      </c>
      <c r="AI66" s="81" t="s">
        <v>1150</v>
      </c>
      <c r="AJ66" s="81"/>
      <c r="AK66" s="89" t="s">
        <v>1149</v>
      </c>
      <c r="AL66" s="81" t="b">
        <v>0</v>
      </c>
      <c r="AM66" s="81">
        <v>0</v>
      </c>
      <c r="AN66" s="89" t="s">
        <v>1149</v>
      </c>
      <c r="AO66" s="81" t="s">
        <v>1172</v>
      </c>
      <c r="AP66" s="81" t="b">
        <v>0</v>
      </c>
      <c r="AQ66" s="89" t="s">
        <v>974</v>
      </c>
      <c r="AR66" s="81" t="s">
        <v>325</v>
      </c>
      <c r="AS66" s="81">
        <v>0</v>
      </c>
      <c r="AT66" s="81">
        <v>0</v>
      </c>
      <c r="AU66" s="81"/>
      <c r="AV66" s="81"/>
      <c r="AW66" s="81"/>
      <c r="AX66" s="81"/>
      <c r="AY66" s="81"/>
      <c r="AZ66" s="81"/>
      <c r="BA66" s="81"/>
      <c r="BB66" s="81"/>
      <c r="BC66">
        <v>1</v>
      </c>
      <c r="BD66" s="80" t="str">
        <f>REPLACE(INDEX(GroupVertices[Group],MATCH(Edges[[#This Row],[Vertex 1]],GroupVertices[Vertex],0)),1,1,"")</f>
        <v>3</v>
      </c>
      <c r="BE66" s="80" t="str">
        <f>REPLACE(INDEX(GroupVertices[Group],MATCH(Edges[[#This Row],[Vertex 2]],GroupVertices[Vertex],0)),1,1,"")</f>
        <v>3</v>
      </c>
      <c r="BF66" s="48">
        <v>1</v>
      </c>
      <c r="BG66" s="49">
        <v>5.2631578947368425</v>
      </c>
      <c r="BH66" s="48">
        <v>0</v>
      </c>
      <c r="BI66" s="49">
        <v>0</v>
      </c>
      <c r="BJ66" s="48">
        <v>0</v>
      </c>
      <c r="BK66" s="49">
        <v>0</v>
      </c>
      <c r="BL66" s="48">
        <v>18</v>
      </c>
      <c r="BM66" s="49">
        <v>94.73684210526316</v>
      </c>
      <c r="BN66" s="48">
        <v>19</v>
      </c>
    </row>
    <row r="67" spans="1:66" ht="15">
      <c r="A67" s="66" t="s">
        <v>399</v>
      </c>
      <c r="B67" s="66" t="s">
        <v>497</v>
      </c>
      <c r="C67" s="67" t="s">
        <v>3149</v>
      </c>
      <c r="D67" s="68">
        <v>4</v>
      </c>
      <c r="E67" s="69" t="s">
        <v>132</v>
      </c>
      <c r="F67" s="70">
        <v>30</v>
      </c>
      <c r="G67" s="67"/>
      <c r="H67" s="71"/>
      <c r="I67" s="72"/>
      <c r="J67" s="72"/>
      <c r="K67" s="34" t="s">
        <v>65</v>
      </c>
      <c r="L67" s="79">
        <v>67</v>
      </c>
      <c r="M67" s="79"/>
      <c r="N67" s="74"/>
      <c r="O67" s="81" t="s">
        <v>586</v>
      </c>
      <c r="P67" s="83">
        <v>44004.580347222225</v>
      </c>
      <c r="Q67" s="81" t="s">
        <v>592</v>
      </c>
      <c r="R67" s="81"/>
      <c r="S67" s="81"/>
      <c r="T67" s="81" t="s">
        <v>698</v>
      </c>
      <c r="U67" s="81"/>
      <c r="V67" s="84" t="str">
        <f>HYPERLINK("http://pbs.twimg.com/profile_images/378800000573874304/8d69ae96654c67dbde48e40b2b94638d_normal.jpeg")</f>
        <v>http://pbs.twimg.com/profile_images/378800000573874304/8d69ae96654c67dbde48e40b2b94638d_normal.jpeg</v>
      </c>
      <c r="W67" s="83">
        <v>44004.580347222225</v>
      </c>
      <c r="X67" s="87">
        <v>44004</v>
      </c>
      <c r="Y67" s="89" t="s">
        <v>766</v>
      </c>
      <c r="Z67" s="84" t="str">
        <f>HYPERLINK("https://twitter.com/sergiogarciamor/status/1275064927611281409")</f>
        <v>https://twitter.com/sergiogarciamor/status/1275064927611281409</v>
      </c>
      <c r="AA67" s="81"/>
      <c r="AB67" s="81"/>
      <c r="AC67" s="89" t="s">
        <v>975</v>
      </c>
      <c r="AD67" s="81"/>
      <c r="AE67" s="81" t="b">
        <v>0</v>
      </c>
      <c r="AF67" s="81">
        <v>0</v>
      </c>
      <c r="AG67" s="89" t="s">
        <v>1149</v>
      </c>
      <c r="AH67" s="81" t="b">
        <v>1</v>
      </c>
      <c r="AI67" s="81" t="s">
        <v>1150</v>
      </c>
      <c r="AJ67" s="81"/>
      <c r="AK67" s="89" t="s">
        <v>1160</v>
      </c>
      <c r="AL67" s="81" t="b">
        <v>0</v>
      </c>
      <c r="AM67" s="81">
        <v>7</v>
      </c>
      <c r="AN67" s="89" t="s">
        <v>1119</v>
      </c>
      <c r="AO67" s="81" t="s">
        <v>1176</v>
      </c>
      <c r="AP67" s="81" t="b">
        <v>0</v>
      </c>
      <c r="AQ67" s="89" t="s">
        <v>1119</v>
      </c>
      <c r="AR67" s="81" t="s">
        <v>325</v>
      </c>
      <c r="AS67" s="81">
        <v>0</v>
      </c>
      <c r="AT67" s="81">
        <v>0</v>
      </c>
      <c r="AU67" s="81"/>
      <c r="AV67" s="81"/>
      <c r="AW67" s="81"/>
      <c r="AX67" s="81"/>
      <c r="AY67" s="81"/>
      <c r="AZ67" s="81"/>
      <c r="BA67" s="81"/>
      <c r="BB67" s="81"/>
      <c r="BC67">
        <v>1</v>
      </c>
      <c r="BD67" s="80" t="str">
        <f>REPLACE(INDEX(GroupVertices[Group],MATCH(Edges[[#This Row],[Vertex 1]],GroupVertices[Vertex],0)),1,1,"")</f>
        <v>9</v>
      </c>
      <c r="BE67" s="80" t="str">
        <f>REPLACE(INDEX(GroupVertices[Group],MATCH(Edges[[#This Row],[Vertex 2]],GroupVertices[Vertex],0)),1,1,"")</f>
        <v>9</v>
      </c>
      <c r="BF67" s="48">
        <v>1</v>
      </c>
      <c r="BG67" s="49">
        <v>16.666666666666668</v>
      </c>
      <c r="BH67" s="48">
        <v>0</v>
      </c>
      <c r="BI67" s="49">
        <v>0</v>
      </c>
      <c r="BJ67" s="48">
        <v>0</v>
      </c>
      <c r="BK67" s="49">
        <v>0</v>
      </c>
      <c r="BL67" s="48">
        <v>5</v>
      </c>
      <c r="BM67" s="49">
        <v>83.33333333333333</v>
      </c>
      <c r="BN67" s="48">
        <v>6</v>
      </c>
    </row>
    <row r="68" spans="1:66" ht="15">
      <c r="A68" s="66" t="s">
        <v>400</v>
      </c>
      <c r="B68" s="66" t="s">
        <v>526</v>
      </c>
      <c r="C68" s="67" t="s">
        <v>3149</v>
      </c>
      <c r="D68" s="68">
        <v>4</v>
      </c>
      <c r="E68" s="69" t="s">
        <v>132</v>
      </c>
      <c r="F68" s="70">
        <v>30</v>
      </c>
      <c r="G68" s="67"/>
      <c r="H68" s="71"/>
      <c r="I68" s="72"/>
      <c r="J68" s="72"/>
      <c r="K68" s="34" t="s">
        <v>65</v>
      </c>
      <c r="L68" s="79">
        <v>68</v>
      </c>
      <c r="M68" s="79"/>
      <c r="N68" s="74"/>
      <c r="O68" s="81" t="s">
        <v>587</v>
      </c>
      <c r="P68" s="83">
        <v>44004.598715277774</v>
      </c>
      <c r="Q68" s="81" t="s">
        <v>599</v>
      </c>
      <c r="R68" s="84" t="str">
        <f>HYPERLINK("https://interactive.aljazeera.com/aje/2020/saving-the-nile/index.html")</f>
        <v>https://interactive.aljazeera.com/aje/2020/saving-the-nile/index.html</v>
      </c>
      <c r="S68" s="81" t="s">
        <v>678</v>
      </c>
      <c r="T68" s="81" t="s">
        <v>703</v>
      </c>
      <c r="U68" s="81"/>
      <c r="V68" s="84" t="str">
        <f>HYPERLINK("http://abs.twimg.com/sticky/default_profile_images/default_profile_normal.png")</f>
        <v>http://abs.twimg.com/sticky/default_profile_images/default_profile_normal.png</v>
      </c>
      <c r="W68" s="83">
        <v>44004.598715277774</v>
      </c>
      <c r="X68" s="87">
        <v>44004</v>
      </c>
      <c r="Y68" s="89" t="s">
        <v>767</v>
      </c>
      <c r="Z68" s="84" t="str">
        <f>HYPERLINK("https://twitter.com/rorisangshomang/status/1275071583497777153")</f>
        <v>https://twitter.com/rorisangshomang/status/1275071583497777153</v>
      </c>
      <c r="AA68" s="81"/>
      <c r="AB68" s="81"/>
      <c r="AC68" s="89" t="s">
        <v>976</v>
      </c>
      <c r="AD68" s="81"/>
      <c r="AE68" s="81" t="b">
        <v>0</v>
      </c>
      <c r="AF68" s="81">
        <v>0</v>
      </c>
      <c r="AG68" s="89" t="s">
        <v>1149</v>
      </c>
      <c r="AH68" s="81" t="b">
        <v>0</v>
      </c>
      <c r="AI68" s="81" t="s">
        <v>1150</v>
      </c>
      <c r="AJ68" s="81"/>
      <c r="AK68" s="89" t="s">
        <v>1149</v>
      </c>
      <c r="AL68" s="81" t="b">
        <v>0</v>
      </c>
      <c r="AM68" s="81">
        <v>0</v>
      </c>
      <c r="AN68" s="89" t="s">
        <v>1149</v>
      </c>
      <c r="AO68" s="81" t="s">
        <v>1176</v>
      </c>
      <c r="AP68" s="81" t="b">
        <v>0</v>
      </c>
      <c r="AQ68" s="89" t="s">
        <v>976</v>
      </c>
      <c r="AR68" s="81" t="s">
        <v>325</v>
      </c>
      <c r="AS68" s="81">
        <v>0</v>
      </c>
      <c r="AT68" s="81">
        <v>0</v>
      </c>
      <c r="AU68" s="81"/>
      <c r="AV68" s="81"/>
      <c r="AW68" s="81"/>
      <c r="AX68" s="81"/>
      <c r="AY68" s="81"/>
      <c r="AZ68" s="81"/>
      <c r="BA68" s="81"/>
      <c r="BB68" s="81"/>
      <c r="BC68">
        <v>1</v>
      </c>
      <c r="BD68" s="80" t="str">
        <f>REPLACE(INDEX(GroupVertices[Group],MATCH(Edges[[#This Row],[Vertex 1]],GroupVertices[Vertex],0)),1,1,"")</f>
        <v>3</v>
      </c>
      <c r="BE68" s="80" t="str">
        <f>REPLACE(INDEX(GroupVertices[Group],MATCH(Edges[[#This Row],[Vertex 2]],GroupVertices[Vertex],0)),1,1,"")</f>
        <v>3</v>
      </c>
      <c r="BF68" s="48"/>
      <c r="BG68" s="49"/>
      <c r="BH68" s="48"/>
      <c r="BI68" s="49"/>
      <c r="BJ68" s="48"/>
      <c r="BK68" s="49"/>
      <c r="BL68" s="48"/>
      <c r="BM68" s="49"/>
      <c r="BN68" s="48"/>
    </row>
    <row r="69" spans="1:66" ht="15">
      <c r="A69" s="66" t="s">
        <v>400</v>
      </c>
      <c r="B69" s="66" t="s">
        <v>527</v>
      </c>
      <c r="C69" s="67" t="s">
        <v>3149</v>
      </c>
      <c r="D69" s="68">
        <v>4</v>
      </c>
      <c r="E69" s="69" t="s">
        <v>132</v>
      </c>
      <c r="F69" s="70">
        <v>30</v>
      </c>
      <c r="G69" s="67"/>
      <c r="H69" s="71"/>
      <c r="I69" s="72"/>
      <c r="J69" s="72"/>
      <c r="K69" s="34" t="s">
        <v>65</v>
      </c>
      <c r="L69" s="79">
        <v>69</v>
      </c>
      <c r="M69" s="79"/>
      <c r="N69" s="74"/>
      <c r="O69" s="81" t="s">
        <v>587</v>
      </c>
      <c r="P69" s="83">
        <v>44004.598715277774</v>
      </c>
      <c r="Q69" s="81" t="s">
        <v>599</v>
      </c>
      <c r="R69" s="84" t="str">
        <f>HYPERLINK("https://interactive.aljazeera.com/aje/2020/saving-the-nile/index.html")</f>
        <v>https://interactive.aljazeera.com/aje/2020/saving-the-nile/index.html</v>
      </c>
      <c r="S69" s="81" t="s">
        <v>678</v>
      </c>
      <c r="T69" s="81" t="s">
        <v>703</v>
      </c>
      <c r="U69" s="81"/>
      <c r="V69" s="84" t="str">
        <f>HYPERLINK("http://abs.twimg.com/sticky/default_profile_images/default_profile_normal.png")</f>
        <v>http://abs.twimg.com/sticky/default_profile_images/default_profile_normal.png</v>
      </c>
      <c r="W69" s="83">
        <v>44004.598715277774</v>
      </c>
      <c r="X69" s="87">
        <v>44004</v>
      </c>
      <c r="Y69" s="89" t="s">
        <v>767</v>
      </c>
      <c r="Z69" s="84" t="str">
        <f>HYPERLINK("https://twitter.com/rorisangshomang/status/1275071583497777153")</f>
        <v>https://twitter.com/rorisangshomang/status/1275071583497777153</v>
      </c>
      <c r="AA69" s="81"/>
      <c r="AB69" s="81"/>
      <c r="AC69" s="89" t="s">
        <v>976</v>
      </c>
      <c r="AD69" s="81"/>
      <c r="AE69" s="81" t="b">
        <v>0</v>
      </c>
      <c r="AF69" s="81">
        <v>0</v>
      </c>
      <c r="AG69" s="89" t="s">
        <v>1149</v>
      </c>
      <c r="AH69" s="81" t="b">
        <v>0</v>
      </c>
      <c r="AI69" s="81" t="s">
        <v>1150</v>
      </c>
      <c r="AJ69" s="81"/>
      <c r="AK69" s="89" t="s">
        <v>1149</v>
      </c>
      <c r="AL69" s="81" t="b">
        <v>0</v>
      </c>
      <c r="AM69" s="81">
        <v>0</v>
      </c>
      <c r="AN69" s="89" t="s">
        <v>1149</v>
      </c>
      <c r="AO69" s="81" t="s">
        <v>1176</v>
      </c>
      <c r="AP69" s="81" t="b">
        <v>0</v>
      </c>
      <c r="AQ69" s="89" t="s">
        <v>976</v>
      </c>
      <c r="AR69" s="81" t="s">
        <v>325</v>
      </c>
      <c r="AS69" s="81">
        <v>0</v>
      </c>
      <c r="AT69" s="81">
        <v>0</v>
      </c>
      <c r="AU69" s="81"/>
      <c r="AV69" s="81"/>
      <c r="AW69" s="81"/>
      <c r="AX69" s="81"/>
      <c r="AY69" s="81"/>
      <c r="AZ69" s="81"/>
      <c r="BA69" s="81"/>
      <c r="BB69" s="81"/>
      <c r="BC69">
        <v>1</v>
      </c>
      <c r="BD69" s="80" t="str">
        <f>REPLACE(INDEX(GroupVertices[Group],MATCH(Edges[[#This Row],[Vertex 1]],GroupVertices[Vertex],0)),1,1,"")</f>
        <v>3</v>
      </c>
      <c r="BE69" s="80" t="str">
        <f>REPLACE(INDEX(GroupVertices[Group],MATCH(Edges[[#This Row],[Vertex 2]],GroupVertices[Vertex],0)),1,1,"")</f>
        <v>3</v>
      </c>
      <c r="BF69" s="48">
        <v>1</v>
      </c>
      <c r="BG69" s="49">
        <v>5.2631578947368425</v>
      </c>
      <c r="BH69" s="48">
        <v>0</v>
      </c>
      <c r="BI69" s="49">
        <v>0</v>
      </c>
      <c r="BJ69" s="48">
        <v>0</v>
      </c>
      <c r="BK69" s="49">
        <v>0</v>
      </c>
      <c r="BL69" s="48">
        <v>18</v>
      </c>
      <c r="BM69" s="49">
        <v>94.73684210526316</v>
      </c>
      <c r="BN69" s="48">
        <v>19</v>
      </c>
    </row>
    <row r="70" spans="1:66" ht="15">
      <c r="A70" s="66" t="s">
        <v>401</v>
      </c>
      <c r="B70" s="66" t="s">
        <v>526</v>
      </c>
      <c r="C70" s="67" t="s">
        <v>3149</v>
      </c>
      <c r="D70" s="68">
        <v>4</v>
      </c>
      <c r="E70" s="69" t="s">
        <v>132</v>
      </c>
      <c r="F70" s="70">
        <v>30</v>
      </c>
      <c r="G70" s="67"/>
      <c r="H70" s="71"/>
      <c r="I70" s="72"/>
      <c r="J70" s="72"/>
      <c r="K70" s="34" t="s">
        <v>65</v>
      </c>
      <c r="L70" s="79">
        <v>70</v>
      </c>
      <c r="M70" s="79"/>
      <c r="N70" s="74"/>
      <c r="O70" s="81" t="s">
        <v>587</v>
      </c>
      <c r="P70" s="83">
        <v>44004.61444444444</v>
      </c>
      <c r="Q70" s="81" t="s">
        <v>600</v>
      </c>
      <c r="R70" s="84" t="str">
        <f>HYPERLINK("https://interactive.aljazeera.com/aje/2020/saving-the-nile/index.html")</f>
        <v>https://interactive.aljazeera.com/aje/2020/saving-the-nile/index.html</v>
      </c>
      <c r="S70" s="81" t="s">
        <v>678</v>
      </c>
      <c r="T70" s="81" t="s">
        <v>703</v>
      </c>
      <c r="U70" s="81"/>
      <c r="V70" s="84" t="str">
        <f>HYPERLINK("http://pbs.twimg.com/profile_images/1154077318664663041/hcieLb5Z_normal.jpg")</f>
        <v>http://pbs.twimg.com/profile_images/1154077318664663041/hcieLb5Z_normal.jpg</v>
      </c>
      <c r="W70" s="83">
        <v>44004.61444444444</v>
      </c>
      <c r="X70" s="87">
        <v>44004</v>
      </c>
      <c r="Y70" s="89" t="s">
        <v>768</v>
      </c>
      <c r="Z70" s="84" t="str">
        <f>HYPERLINK("https://twitter.com/natalia_ojewska/status/1275077283196227584")</f>
        <v>https://twitter.com/natalia_ojewska/status/1275077283196227584</v>
      </c>
      <c r="AA70" s="81"/>
      <c r="AB70" s="81"/>
      <c r="AC70" s="89" t="s">
        <v>977</v>
      </c>
      <c r="AD70" s="81"/>
      <c r="AE70" s="81" t="b">
        <v>0</v>
      </c>
      <c r="AF70" s="81">
        <v>0</v>
      </c>
      <c r="AG70" s="89" t="s">
        <v>1149</v>
      </c>
      <c r="AH70" s="81" t="b">
        <v>0</v>
      </c>
      <c r="AI70" s="81" t="s">
        <v>1150</v>
      </c>
      <c r="AJ70" s="81"/>
      <c r="AK70" s="89" t="s">
        <v>1149</v>
      </c>
      <c r="AL70" s="81" t="b">
        <v>0</v>
      </c>
      <c r="AM70" s="81">
        <v>0</v>
      </c>
      <c r="AN70" s="89" t="s">
        <v>1149</v>
      </c>
      <c r="AO70" s="81" t="s">
        <v>1172</v>
      </c>
      <c r="AP70" s="81" t="b">
        <v>0</v>
      </c>
      <c r="AQ70" s="89" t="s">
        <v>977</v>
      </c>
      <c r="AR70" s="81" t="s">
        <v>325</v>
      </c>
      <c r="AS70" s="81">
        <v>0</v>
      </c>
      <c r="AT70" s="81">
        <v>0</v>
      </c>
      <c r="AU70" s="81"/>
      <c r="AV70" s="81"/>
      <c r="AW70" s="81"/>
      <c r="AX70" s="81"/>
      <c r="AY70" s="81"/>
      <c r="AZ70" s="81"/>
      <c r="BA70" s="81"/>
      <c r="BB70" s="81"/>
      <c r="BC70">
        <v>1</v>
      </c>
      <c r="BD70" s="80" t="str">
        <f>REPLACE(INDEX(GroupVertices[Group],MATCH(Edges[[#This Row],[Vertex 1]],GroupVertices[Vertex],0)),1,1,"")</f>
        <v>3</v>
      </c>
      <c r="BE70" s="80" t="str">
        <f>REPLACE(INDEX(GroupVertices[Group],MATCH(Edges[[#This Row],[Vertex 2]],GroupVertices[Vertex],0)),1,1,"")</f>
        <v>3</v>
      </c>
      <c r="BF70" s="48"/>
      <c r="BG70" s="49"/>
      <c r="BH70" s="48"/>
      <c r="BI70" s="49"/>
      <c r="BJ70" s="48"/>
      <c r="BK70" s="49"/>
      <c r="BL70" s="48"/>
      <c r="BM70" s="49"/>
      <c r="BN70" s="48"/>
    </row>
    <row r="71" spans="1:66" ht="15">
      <c r="A71" s="66" t="s">
        <v>401</v>
      </c>
      <c r="B71" s="66" t="s">
        <v>527</v>
      </c>
      <c r="C71" s="67" t="s">
        <v>3149</v>
      </c>
      <c r="D71" s="68">
        <v>4</v>
      </c>
      <c r="E71" s="69" t="s">
        <v>132</v>
      </c>
      <c r="F71" s="70">
        <v>30</v>
      </c>
      <c r="G71" s="67"/>
      <c r="H71" s="71"/>
      <c r="I71" s="72"/>
      <c r="J71" s="72"/>
      <c r="K71" s="34" t="s">
        <v>65</v>
      </c>
      <c r="L71" s="79">
        <v>71</v>
      </c>
      <c r="M71" s="79"/>
      <c r="N71" s="74"/>
      <c r="O71" s="81" t="s">
        <v>587</v>
      </c>
      <c r="P71" s="83">
        <v>44004.61444444444</v>
      </c>
      <c r="Q71" s="81" t="s">
        <v>600</v>
      </c>
      <c r="R71" s="84" t="str">
        <f>HYPERLINK("https://interactive.aljazeera.com/aje/2020/saving-the-nile/index.html")</f>
        <v>https://interactive.aljazeera.com/aje/2020/saving-the-nile/index.html</v>
      </c>
      <c r="S71" s="81" t="s">
        <v>678</v>
      </c>
      <c r="T71" s="81" t="s">
        <v>703</v>
      </c>
      <c r="U71" s="81"/>
      <c r="V71" s="84" t="str">
        <f>HYPERLINK("http://pbs.twimg.com/profile_images/1154077318664663041/hcieLb5Z_normal.jpg")</f>
        <v>http://pbs.twimg.com/profile_images/1154077318664663041/hcieLb5Z_normal.jpg</v>
      </c>
      <c r="W71" s="83">
        <v>44004.61444444444</v>
      </c>
      <c r="X71" s="87">
        <v>44004</v>
      </c>
      <c r="Y71" s="89" t="s">
        <v>768</v>
      </c>
      <c r="Z71" s="84" t="str">
        <f>HYPERLINK("https://twitter.com/natalia_ojewska/status/1275077283196227584")</f>
        <v>https://twitter.com/natalia_ojewska/status/1275077283196227584</v>
      </c>
      <c r="AA71" s="81"/>
      <c r="AB71" s="81"/>
      <c r="AC71" s="89" t="s">
        <v>977</v>
      </c>
      <c r="AD71" s="81"/>
      <c r="AE71" s="81" t="b">
        <v>0</v>
      </c>
      <c r="AF71" s="81">
        <v>0</v>
      </c>
      <c r="AG71" s="89" t="s">
        <v>1149</v>
      </c>
      <c r="AH71" s="81" t="b">
        <v>0</v>
      </c>
      <c r="AI71" s="81" t="s">
        <v>1150</v>
      </c>
      <c r="AJ71" s="81"/>
      <c r="AK71" s="89" t="s">
        <v>1149</v>
      </c>
      <c r="AL71" s="81" t="b">
        <v>0</v>
      </c>
      <c r="AM71" s="81">
        <v>0</v>
      </c>
      <c r="AN71" s="89" t="s">
        <v>1149</v>
      </c>
      <c r="AO71" s="81" t="s">
        <v>1172</v>
      </c>
      <c r="AP71" s="81" t="b">
        <v>0</v>
      </c>
      <c r="AQ71" s="89" t="s">
        <v>977</v>
      </c>
      <c r="AR71" s="81" t="s">
        <v>325</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8">
        <v>1</v>
      </c>
      <c r="BG71" s="49">
        <v>5.2631578947368425</v>
      </c>
      <c r="BH71" s="48">
        <v>0</v>
      </c>
      <c r="BI71" s="49">
        <v>0</v>
      </c>
      <c r="BJ71" s="48">
        <v>0</v>
      </c>
      <c r="BK71" s="49">
        <v>0</v>
      </c>
      <c r="BL71" s="48">
        <v>18</v>
      </c>
      <c r="BM71" s="49">
        <v>94.73684210526316</v>
      </c>
      <c r="BN71" s="48">
        <v>19</v>
      </c>
    </row>
    <row r="72" spans="1:66" ht="15">
      <c r="A72" s="66" t="s">
        <v>402</v>
      </c>
      <c r="B72" s="66" t="s">
        <v>528</v>
      </c>
      <c r="C72" s="67" t="s">
        <v>3149</v>
      </c>
      <c r="D72" s="68">
        <v>4</v>
      </c>
      <c r="E72" s="69" t="s">
        <v>132</v>
      </c>
      <c r="F72" s="70">
        <v>30</v>
      </c>
      <c r="G72" s="67"/>
      <c r="H72" s="71"/>
      <c r="I72" s="72"/>
      <c r="J72" s="72"/>
      <c r="K72" s="34" t="s">
        <v>65</v>
      </c>
      <c r="L72" s="79">
        <v>72</v>
      </c>
      <c r="M72" s="79"/>
      <c r="N72" s="74"/>
      <c r="O72" s="81" t="s">
        <v>588</v>
      </c>
      <c r="P72" s="83">
        <v>44004.622511574074</v>
      </c>
      <c r="Q72" s="81" t="s">
        <v>601</v>
      </c>
      <c r="R72" s="81"/>
      <c r="S72" s="81"/>
      <c r="T72" s="81" t="s">
        <v>704</v>
      </c>
      <c r="U72" s="81"/>
      <c r="V72" s="84" t="str">
        <f>HYPERLINK("http://pbs.twimg.com/profile_images/1054905398749265920/6BN7Qsue_normal.jpg")</f>
        <v>http://pbs.twimg.com/profile_images/1054905398749265920/6BN7Qsue_normal.jpg</v>
      </c>
      <c r="W72" s="83">
        <v>44004.622511574074</v>
      </c>
      <c r="X72" s="87">
        <v>44004</v>
      </c>
      <c r="Y72" s="89" t="s">
        <v>769</v>
      </c>
      <c r="Z72" s="84" t="str">
        <f>HYPERLINK("https://twitter.com/_davidmeidinger/status/1275080204541517826")</f>
        <v>https://twitter.com/_davidmeidinger/status/1275080204541517826</v>
      </c>
      <c r="AA72" s="81"/>
      <c r="AB72" s="81"/>
      <c r="AC72" s="89" t="s">
        <v>978</v>
      </c>
      <c r="AD72" s="81"/>
      <c r="AE72" s="81" t="b">
        <v>0</v>
      </c>
      <c r="AF72" s="81">
        <v>0</v>
      </c>
      <c r="AG72" s="89" t="s">
        <v>1149</v>
      </c>
      <c r="AH72" s="81" t="b">
        <v>0</v>
      </c>
      <c r="AI72" s="81" t="s">
        <v>1152</v>
      </c>
      <c r="AJ72" s="81"/>
      <c r="AK72" s="89" t="s">
        <v>1149</v>
      </c>
      <c r="AL72" s="81" t="b">
        <v>0</v>
      </c>
      <c r="AM72" s="81">
        <v>3</v>
      </c>
      <c r="AN72" s="89" t="s">
        <v>1146</v>
      </c>
      <c r="AO72" s="81" t="s">
        <v>1176</v>
      </c>
      <c r="AP72" s="81" t="b">
        <v>0</v>
      </c>
      <c r="AQ72" s="89" t="s">
        <v>1146</v>
      </c>
      <c r="AR72" s="81" t="s">
        <v>325</v>
      </c>
      <c r="AS72" s="81">
        <v>0</v>
      </c>
      <c r="AT72" s="81">
        <v>0</v>
      </c>
      <c r="AU72" s="81"/>
      <c r="AV72" s="81"/>
      <c r="AW72" s="81"/>
      <c r="AX72" s="81"/>
      <c r="AY72" s="81"/>
      <c r="AZ72" s="81"/>
      <c r="BA72" s="81"/>
      <c r="BB72" s="81"/>
      <c r="BC72">
        <v>1</v>
      </c>
      <c r="BD72" s="80" t="str">
        <f>REPLACE(INDEX(GroupVertices[Group],MATCH(Edges[[#This Row],[Vertex 1]],GroupVertices[Vertex],0)),1,1,"")</f>
        <v>10</v>
      </c>
      <c r="BE72" s="80" t="str">
        <f>REPLACE(INDEX(GroupVertices[Group],MATCH(Edges[[#This Row],[Vertex 2]],GroupVertices[Vertex],0)),1,1,"")</f>
        <v>10</v>
      </c>
      <c r="BF72" s="48"/>
      <c r="BG72" s="49"/>
      <c r="BH72" s="48"/>
      <c r="BI72" s="49"/>
      <c r="BJ72" s="48"/>
      <c r="BK72" s="49"/>
      <c r="BL72" s="48"/>
      <c r="BM72" s="49"/>
      <c r="BN72" s="48"/>
    </row>
    <row r="73" spans="1:66" ht="15">
      <c r="A73" s="66" t="s">
        <v>402</v>
      </c>
      <c r="B73" s="66" t="s">
        <v>516</v>
      </c>
      <c r="C73" s="67" t="s">
        <v>3149</v>
      </c>
      <c r="D73" s="68">
        <v>4</v>
      </c>
      <c r="E73" s="69" t="s">
        <v>132</v>
      </c>
      <c r="F73" s="70">
        <v>30</v>
      </c>
      <c r="G73" s="67"/>
      <c r="H73" s="71"/>
      <c r="I73" s="72"/>
      <c r="J73" s="72"/>
      <c r="K73" s="34" t="s">
        <v>65</v>
      </c>
      <c r="L73" s="79">
        <v>73</v>
      </c>
      <c r="M73" s="79"/>
      <c r="N73" s="74"/>
      <c r="O73" s="81" t="s">
        <v>586</v>
      </c>
      <c r="P73" s="83">
        <v>44004.622511574074</v>
      </c>
      <c r="Q73" s="81" t="s">
        <v>601</v>
      </c>
      <c r="R73" s="81"/>
      <c r="S73" s="81"/>
      <c r="T73" s="81" t="s">
        <v>704</v>
      </c>
      <c r="U73" s="81"/>
      <c r="V73" s="84" t="str">
        <f>HYPERLINK("http://pbs.twimg.com/profile_images/1054905398749265920/6BN7Qsue_normal.jpg")</f>
        <v>http://pbs.twimg.com/profile_images/1054905398749265920/6BN7Qsue_normal.jpg</v>
      </c>
      <c r="W73" s="83">
        <v>44004.622511574074</v>
      </c>
      <c r="X73" s="87">
        <v>44004</v>
      </c>
      <c r="Y73" s="89" t="s">
        <v>769</v>
      </c>
      <c r="Z73" s="84" t="str">
        <f>HYPERLINK("https://twitter.com/_davidmeidinger/status/1275080204541517826")</f>
        <v>https://twitter.com/_davidmeidinger/status/1275080204541517826</v>
      </c>
      <c r="AA73" s="81"/>
      <c r="AB73" s="81"/>
      <c r="AC73" s="89" t="s">
        <v>978</v>
      </c>
      <c r="AD73" s="81"/>
      <c r="AE73" s="81" t="b">
        <v>0</v>
      </c>
      <c r="AF73" s="81">
        <v>0</v>
      </c>
      <c r="AG73" s="89" t="s">
        <v>1149</v>
      </c>
      <c r="AH73" s="81" t="b">
        <v>0</v>
      </c>
      <c r="AI73" s="81" t="s">
        <v>1152</v>
      </c>
      <c r="AJ73" s="81"/>
      <c r="AK73" s="89" t="s">
        <v>1149</v>
      </c>
      <c r="AL73" s="81" t="b">
        <v>0</v>
      </c>
      <c r="AM73" s="81">
        <v>3</v>
      </c>
      <c r="AN73" s="89" t="s">
        <v>1146</v>
      </c>
      <c r="AO73" s="81" t="s">
        <v>1176</v>
      </c>
      <c r="AP73" s="81" t="b">
        <v>0</v>
      </c>
      <c r="AQ73" s="89" t="s">
        <v>1146</v>
      </c>
      <c r="AR73" s="81" t="s">
        <v>325</v>
      </c>
      <c r="AS73" s="81">
        <v>0</v>
      </c>
      <c r="AT73" s="81">
        <v>0</v>
      </c>
      <c r="AU73" s="81"/>
      <c r="AV73" s="81"/>
      <c r="AW73" s="81"/>
      <c r="AX73" s="81"/>
      <c r="AY73" s="81"/>
      <c r="AZ73" s="81"/>
      <c r="BA73" s="81"/>
      <c r="BB73" s="81"/>
      <c r="BC73">
        <v>1</v>
      </c>
      <c r="BD73" s="80" t="str">
        <f>REPLACE(INDEX(GroupVertices[Group],MATCH(Edges[[#This Row],[Vertex 1]],GroupVertices[Vertex],0)),1,1,"")</f>
        <v>10</v>
      </c>
      <c r="BE73" s="80" t="str">
        <f>REPLACE(INDEX(GroupVertices[Group],MATCH(Edges[[#This Row],[Vertex 2]],GroupVertices[Vertex],0)),1,1,"")</f>
        <v>10</v>
      </c>
      <c r="BF73" s="48">
        <v>0</v>
      </c>
      <c r="BG73" s="49">
        <v>0</v>
      </c>
      <c r="BH73" s="48">
        <v>2</v>
      </c>
      <c r="BI73" s="49">
        <v>5.128205128205129</v>
      </c>
      <c r="BJ73" s="48">
        <v>0</v>
      </c>
      <c r="BK73" s="49">
        <v>0</v>
      </c>
      <c r="BL73" s="48">
        <v>37</v>
      </c>
      <c r="BM73" s="49">
        <v>94.87179487179488</v>
      </c>
      <c r="BN73" s="48">
        <v>39</v>
      </c>
    </row>
    <row r="74" spans="1:66" ht="15">
      <c r="A74" s="66" t="s">
        <v>403</v>
      </c>
      <c r="B74" s="66" t="s">
        <v>528</v>
      </c>
      <c r="C74" s="67" t="s">
        <v>3149</v>
      </c>
      <c r="D74" s="68">
        <v>4</v>
      </c>
      <c r="E74" s="69" t="s">
        <v>132</v>
      </c>
      <c r="F74" s="70">
        <v>30</v>
      </c>
      <c r="G74" s="67"/>
      <c r="H74" s="71"/>
      <c r="I74" s="72"/>
      <c r="J74" s="72"/>
      <c r="K74" s="34" t="s">
        <v>65</v>
      </c>
      <c r="L74" s="79">
        <v>74</v>
      </c>
      <c r="M74" s="79"/>
      <c r="N74" s="74"/>
      <c r="O74" s="81" t="s">
        <v>588</v>
      </c>
      <c r="P74" s="83">
        <v>44004.623819444445</v>
      </c>
      <c r="Q74" s="81" t="s">
        <v>601</v>
      </c>
      <c r="R74" s="81"/>
      <c r="S74" s="81"/>
      <c r="T74" s="81" t="s">
        <v>704</v>
      </c>
      <c r="U74" s="81"/>
      <c r="V74" s="84" t="str">
        <f>HYPERLINK("http://pbs.twimg.com/profile_images/1031312316430725120/IzOnwH8b_normal.jpg")</f>
        <v>http://pbs.twimg.com/profile_images/1031312316430725120/IzOnwH8b_normal.jpg</v>
      </c>
      <c r="W74" s="83">
        <v>44004.623819444445</v>
      </c>
      <c r="X74" s="87">
        <v>44004</v>
      </c>
      <c r="Y74" s="89" t="s">
        <v>770</v>
      </c>
      <c r="Z74" s="84" t="str">
        <f>HYPERLINK("https://twitter.com/michael_gegg/status/1275080678279794691")</f>
        <v>https://twitter.com/michael_gegg/status/1275080678279794691</v>
      </c>
      <c r="AA74" s="81"/>
      <c r="AB74" s="81"/>
      <c r="AC74" s="89" t="s">
        <v>979</v>
      </c>
      <c r="AD74" s="81"/>
      <c r="AE74" s="81" t="b">
        <v>0</v>
      </c>
      <c r="AF74" s="81">
        <v>0</v>
      </c>
      <c r="AG74" s="89" t="s">
        <v>1149</v>
      </c>
      <c r="AH74" s="81" t="b">
        <v>0</v>
      </c>
      <c r="AI74" s="81" t="s">
        <v>1152</v>
      </c>
      <c r="AJ74" s="81"/>
      <c r="AK74" s="89" t="s">
        <v>1149</v>
      </c>
      <c r="AL74" s="81" t="b">
        <v>0</v>
      </c>
      <c r="AM74" s="81">
        <v>3</v>
      </c>
      <c r="AN74" s="89" t="s">
        <v>1146</v>
      </c>
      <c r="AO74" s="81" t="s">
        <v>1165</v>
      </c>
      <c r="AP74" s="81" t="b">
        <v>0</v>
      </c>
      <c r="AQ74" s="89" t="s">
        <v>1146</v>
      </c>
      <c r="AR74" s="81" t="s">
        <v>325</v>
      </c>
      <c r="AS74" s="81">
        <v>0</v>
      </c>
      <c r="AT74" s="81">
        <v>0</v>
      </c>
      <c r="AU74" s="81"/>
      <c r="AV74" s="81"/>
      <c r="AW74" s="81"/>
      <c r="AX74" s="81"/>
      <c r="AY74" s="81"/>
      <c r="AZ74" s="81"/>
      <c r="BA74" s="81"/>
      <c r="BB74" s="81"/>
      <c r="BC74">
        <v>1</v>
      </c>
      <c r="BD74" s="80" t="str">
        <f>REPLACE(INDEX(GroupVertices[Group],MATCH(Edges[[#This Row],[Vertex 1]],GroupVertices[Vertex],0)),1,1,"")</f>
        <v>10</v>
      </c>
      <c r="BE74" s="80" t="str">
        <f>REPLACE(INDEX(GroupVertices[Group],MATCH(Edges[[#This Row],[Vertex 2]],GroupVertices[Vertex],0)),1,1,"")</f>
        <v>10</v>
      </c>
      <c r="BF74" s="48"/>
      <c r="BG74" s="49"/>
      <c r="BH74" s="48"/>
      <c r="BI74" s="49"/>
      <c r="BJ74" s="48"/>
      <c r="BK74" s="49"/>
      <c r="BL74" s="48"/>
      <c r="BM74" s="49"/>
      <c r="BN74" s="48"/>
    </row>
    <row r="75" spans="1:66" ht="15">
      <c r="A75" s="66" t="s">
        <v>403</v>
      </c>
      <c r="B75" s="66" t="s">
        <v>516</v>
      </c>
      <c r="C75" s="67" t="s">
        <v>3149</v>
      </c>
      <c r="D75" s="68">
        <v>4</v>
      </c>
      <c r="E75" s="69" t="s">
        <v>132</v>
      </c>
      <c r="F75" s="70">
        <v>30</v>
      </c>
      <c r="G75" s="67"/>
      <c r="H75" s="71"/>
      <c r="I75" s="72"/>
      <c r="J75" s="72"/>
      <c r="K75" s="34" t="s">
        <v>65</v>
      </c>
      <c r="L75" s="79">
        <v>75</v>
      </c>
      <c r="M75" s="79"/>
      <c r="N75" s="74"/>
      <c r="O75" s="81" t="s">
        <v>586</v>
      </c>
      <c r="P75" s="83">
        <v>44004.623819444445</v>
      </c>
      <c r="Q75" s="81" t="s">
        <v>601</v>
      </c>
      <c r="R75" s="81"/>
      <c r="S75" s="81"/>
      <c r="T75" s="81" t="s">
        <v>704</v>
      </c>
      <c r="U75" s="81"/>
      <c r="V75" s="84" t="str">
        <f>HYPERLINK("http://pbs.twimg.com/profile_images/1031312316430725120/IzOnwH8b_normal.jpg")</f>
        <v>http://pbs.twimg.com/profile_images/1031312316430725120/IzOnwH8b_normal.jpg</v>
      </c>
      <c r="W75" s="83">
        <v>44004.623819444445</v>
      </c>
      <c r="X75" s="87">
        <v>44004</v>
      </c>
      <c r="Y75" s="89" t="s">
        <v>770</v>
      </c>
      <c r="Z75" s="84" t="str">
        <f>HYPERLINK("https://twitter.com/michael_gegg/status/1275080678279794691")</f>
        <v>https://twitter.com/michael_gegg/status/1275080678279794691</v>
      </c>
      <c r="AA75" s="81"/>
      <c r="AB75" s="81"/>
      <c r="AC75" s="89" t="s">
        <v>979</v>
      </c>
      <c r="AD75" s="81"/>
      <c r="AE75" s="81" t="b">
        <v>0</v>
      </c>
      <c r="AF75" s="81">
        <v>0</v>
      </c>
      <c r="AG75" s="89" t="s">
        <v>1149</v>
      </c>
      <c r="AH75" s="81" t="b">
        <v>0</v>
      </c>
      <c r="AI75" s="81" t="s">
        <v>1152</v>
      </c>
      <c r="AJ75" s="81"/>
      <c r="AK75" s="89" t="s">
        <v>1149</v>
      </c>
      <c r="AL75" s="81" t="b">
        <v>0</v>
      </c>
      <c r="AM75" s="81">
        <v>3</v>
      </c>
      <c r="AN75" s="89" t="s">
        <v>1146</v>
      </c>
      <c r="AO75" s="81" t="s">
        <v>1165</v>
      </c>
      <c r="AP75" s="81" t="b">
        <v>0</v>
      </c>
      <c r="AQ75" s="89" t="s">
        <v>1146</v>
      </c>
      <c r="AR75" s="81" t="s">
        <v>325</v>
      </c>
      <c r="AS75" s="81">
        <v>0</v>
      </c>
      <c r="AT75" s="81">
        <v>0</v>
      </c>
      <c r="AU75" s="81"/>
      <c r="AV75" s="81"/>
      <c r="AW75" s="81"/>
      <c r="AX75" s="81"/>
      <c r="AY75" s="81"/>
      <c r="AZ75" s="81"/>
      <c r="BA75" s="81"/>
      <c r="BB75" s="81"/>
      <c r="BC75">
        <v>1</v>
      </c>
      <c r="BD75" s="80" t="str">
        <f>REPLACE(INDEX(GroupVertices[Group],MATCH(Edges[[#This Row],[Vertex 1]],GroupVertices[Vertex],0)),1,1,"")</f>
        <v>10</v>
      </c>
      <c r="BE75" s="80" t="str">
        <f>REPLACE(INDEX(GroupVertices[Group],MATCH(Edges[[#This Row],[Vertex 2]],GroupVertices[Vertex],0)),1,1,"")</f>
        <v>10</v>
      </c>
      <c r="BF75" s="48">
        <v>0</v>
      </c>
      <c r="BG75" s="49">
        <v>0</v>
      </c>
      <c r="BH75" s="48">
        <v>2</v>
      </c>
      <c r="BI75" s="49">
        <v>5.128205128205129</v>
      </c>
      <c r="BJ75" s="48">
        <v>0</v>
      </c>
      <c r="BK75" s="49">
        <v>0</v>
      </c>
      <c r="BL75" s="48">
        <v>37</v>
      </c>
      <c r="BM75" s="49">
        <v>94.87179487179488</v>
      </c>
      <c r="BN75" s="48">
        <v>39</v>
      </c>
    </row>
    <row r="76" spans="1:66" ht="15">
      <c r="A76" s="66" t="s">
        <v>404</v>
      </c>
      <c r="B76" s="66" t="s">
        <v>529</v>
      </c>
      <c r="C76" s="67" t="s">
        <v>3149</v>
      </c>
      <c r="D76" s="68">
        <v>4</v>
      </c>
      <c r="E76" s="69" t="s">
        <v>132</v>
      </c>
      <c r="F76" s="70">
        <v>30</v>
      </c>
      <c r="G76" s="67"/>
      <c r="H76" s="71"/>
      <c r="I76" s="72"/>
      <c r="J76" s="72"/>
      <c r="K76" s="34" t="s">
        <v>65</v>
      </c>
      <c r="L76" s="79">
        <v>76</v>
      </c>
      <c r="M76" s="79"/>
      <c r="N76" s="74"/>
      <c r="O76" s="81" t="s">
        <v>588</v>
      </c>
      <c r="P76" s="83">
        <v>44004.63253472222</v>
      </c>
      <c r="Q76" s="81" t="s">
        <v>602</v>
      </c>
      <c r="R76" s="81"/>
      <c r="S76" s="81"/>
      <c r="T76" s="81"/>
      <c r="U76" s="81"/>
      <c r="V76" s="84" t="str">
        <f>HYPERLINK("http://pbs.twimg.com/profile_images/1049422406476009472/MXDKrEeP_normal.jpg")</f>
        <v>http://pbs.twimg.com/profile_images/1049422406476009472/MXDKrEeP_normal.jpg</v>
      </c>
      <c r="W76" s="83">
        <v>44004.63253472222</v>
      </c>
      <c r="X76" s="87">
        <v>44004</v>
      </c>
      <c r="Y76" s="89" t="s">
        <v>771</v>
      </c>
      <c r="Z76" s="84" t="str">
        <f>HYPERLINK("https://twitter.com/emielvnh/status/1275083837018603520")</f>
        <v>https://twitter.com/emielvnh/status/1275083837018603520</v>
      </c>
      <c r="AA76" s="81"/>
      <c r="AB76" s="81"/>
      <c r="AC76" s="89" t="s">
        <v>980</v>
      </c>
      <c r="AD76" s="81"/>
      <c r="AE76" s="81" t="b">
        <v>0</v>
      </c>
      <c r="AF76" s="81">
        <v>0</v>
      </c>
      <c r="AG76" s="89" t="s">
        <v>1149</v>
      </c>
      <c r="AH76" s="81" t="b">
        <v>0</v>
      </c>
      <c r="AI76" s="81" t="s">
        <v>1153</v>
      </c>
      <c r="AJ76" s="81"/>
      <c r="AK76" s="89" t="s">
        <v>1149</v>
      </c>
      <c r="AL76" s="81" t="b">
        <v>0</v>
      </c>
      <c r="AM76" s="81">
        <v>3</v>
      </c>
      <c r="AN76" s="89" t="s">
        <v>1108</v>
      </c>
      <c r="AO76" s="81" t="s">
        <v>1176</v>
      </c>
      <c r="AP76" s="81" t="b">
        <v>0</v>
      </c>
      <c r="AQ76" s="89" t="s">
        <v>1108</v>
      </c>
      <c r="AR76" s="81" t="s">
        <v>325</v>
      </c>
      <c r="AS76" s="81">
        <v>0</v>
      </c>
      <c r="AT76" s="81">
        <v>0</v>
      </c>
      <c r="AU76" s="81"/>
      <c r="AV76" s="81"/>
      <c r="AW76" s="81"/>
      <c r="AX76" s="81"/>
      <c r="AY76" s="81"/>
      <c r="AZ76" s="81"/>
      <c r="BA76" s="81"/>
      <c r="BB76" s="81"/>
      <c r="BC76">
        <v>1</v>
      </c>
      <c r="BD76" s="80" t="str">
        <f>REPLACE(INDEX(GroupVertices[Group],MATCH(Edges[[#This Row],[Vertex 1]],GroupVertices[Vertex],0)),1,1,"")</f>
        <v>11</v>
      </c>
      <c r="BE76" s="80" t="str">
        <f>REPLACE(INDEX(GroupVertices[Group],MATCH(Edges[[#This Row],[Vertex 2]],GroupVertices[Vertex],0)),1,1,"")</f>
        <v>11</v>
      </c>
      <c r="BF76" s="48"/>
      <c r="BG76" s="49"/>
      <c r="BH76" s="48"/>
      <c r="BI76" s="49"/>
      <c r="BJ76" s="48"/>
      <c r="BK76" s="49"/>
      <c r="BL76" s="48"/>
      <c r="BM76" s="49"/>
      <c r="BN76" s="48"/>
    </row>
    <row r="77" spans="1:66" ht="15">
      <c r="A77" s="66" t="s">
        <v>404</v>
      </c>
      <c r="B77" s="66" t="s">
        <v>487</v>
      </c>
      <c r="C77" s="67" t="s">
        <v>3149</v>
      </c>
      <c r="D77" s="68">
        <v>4</v>
      </c>
      <c r="E77" s="69" t="s">
        <v>132</v>
      </c>
      <c r="F77" s="70">
        <v>30</v>
      </c>
      <c r="G77" s="67"/>
      <c r="H77" s="71"/>
      <c r="I77" s="72"/>
      <c r="J77" s="72"/>
      <c r="K77" s="34" t="s">
        <v>65</v>
      </c>
      <c r="L77" s="79">
        <v>77</v>
      </c>
      <c r="M77" s="79"/>
      <c r="N77" s="74"/>
      <c r="O77" s="81" t="s">
        <v>586</v>
      </c>
      <c r="P77" s="83">
        <v>44004.63253472222</v>
      </c>
      <c r="Q77" s="81" t="s">
        <v>602</v>
      </c>
      <c r="R77" s="81"/>
      <c r="S77" s="81"/>
      <c r="T77" s="81"/>
      <c r="U77" s="81"/>
      <c r="V77" s="84" t="str">
        <f>HYPERLINK("http://pbs.twimg.com/profile_images/1049422406476009472/MXDKrEeP_normal.jpg")</f>
        <v>http://pbs.twimg.com/profile_images/1049422406476009472/MXDKrEeP_normal.jpg</v>
      </c>
      <c r="W77" s="83">
        <v>44004.63253472222</v>
      </c>
      <c r="X77" s="87">
        <v>44004</v>
      </c>
      <c r="Y77" s="89" t="s">
        <v>771</v>
      </c>
      <c r="Z77" s="84" t="str">
        <f>HYPERLINK("https://twitter.com/emielvnh/status/1275083837018603520")</f>
        <v>https://twitter.com/emielvnh/status/1275083837018603520</v>
      </c>
      <c r="AA77" s="81"/>
      <c r="AB77" s="81"/>
      <c r="AC77" s="89" t="s">
        <v>980</v>
      </c>
      <c r="AD77" s="81"/>
      <c r="AE77" s="81" t="b">
        <v>0</v>
      </c>
      <c r="AF77" s="81">
        <v>0</v>
      </c>
      <c r="AG77" s="89" t="s">
        <v>1149</v>
      </c>
      <c r="AH77" s="81" t="b">
        <v>0</v>
      </c>
      <c r="AI77" s="81" t="s">
        <v>1153</v>
      </c>
      <c r="AJ77" s="81"/>
      <c r="AK77" s="89" t="s">
        <v>1149</v>
      </c>
      <c r="AL77" s="81" t="b">
        <v>0</v>
      </c>
      <c r="AM77" s="81">
        <v>3</v>
      </c>
      <c r="AN77" s="89" t="s">
        <v>1108</v>
      </c>
      <c r="AO77" s="81" t="s">
        <v>1176</v>
      </c>
      <c r="AP77" s="81" t="b">
        <v>0</v>
      </c>
      <c r="AQ77" s="89" t="s">
        <v>1108</v>
      </c>
      <c r="AR77" s="81" t="s">
        <v>325</v>
      </c>
      <c r="AS77" s="81">
        <v>0</v>
      </c>
      <c r="AT77" s="81">
        <v>0</v>
      </c>
      <c r="AU77" s="81"/>
      <c r="AV77" s="81"/>
      <c r="AW77" s="81"/>
      <c r="AX77" s="81"/>
      <c r="AY77" s="81"/>
      <c r="AZ77" s="81"/>
      <c r="BA77" s="81"/>
      <c r="BB77" s="81"/>
      <c r="BC77">
        <v>1</v>
      </c>
      <c r="BD77" s="80" t="str">
        <f>REPLACE(INDEX(GroupVertices[Group],MATCH(Edges[[#This Row],[Vertex 1]],GroupVertices[Vertex],0)),1,1,"")</f>
        <v>11</v>
      </c>
      <c r="BE77" s="80" t="str">
        <f>REPLACE(INDEX(GroupVertices[Group],MATCH(Edges[[#This Row],[Vertex 2]],GroupVertices[Vertex],0)),1,1,"")</f>
        <v>11</v>
      </c>
      <c r="BF77" s="48">
        <v>0</v>
      </c>
      <c r="BG77" s="49">
        <v>0</v>
      </c>
      <c r="BH77" s="48">
        <v>0</v>
      </c>
      <c r="BI77" s="49">
        <v>0</v>
      </c>
      <c r="BJ77" s="48">
        <v>0</v>
      </c>
      <c r="BK77" s="49">
        <v>0</v>
      </c>
      <c r="BL77" s="48">
        <v>33</v>
      </c>
      <c r="BM77" s="49">
        <v>100</v>
      </c>
      <c r="BN77" s="48">
        <v>33</v>
      </c>
    </row>
    <row r="78" spans="1:66" ht="15">
      <c r="A78" s="66" t="s">
        <v>405</v>
      </c>
      <c r="B78" s="66" t="s">
        <v>405</v>
      </c>
      <c r="C78" s="67" t="s">
        <v>3149</v>
      </c>
      <c r="D78" s="68">
        <v>4</v>
      </c>
      <c r="E78" s="69" t="s">
        <v>132</v>
      </c>
      <c r="F78" s="70">
        <v>30</v>
      </c>
      <c r="G78" s="67"/>
      <c r="H78" s="71"/>
      <c r="I78" s="72"/>
      <c r="J78" s="72"/>
      <c r="K78" s="34" t="s">
        <v>65</v>
      </c>
      <c r="L78" s="79">
        <v>78</v>
      </c>
      <c r="M78" s="79"/>
      <c r="N78" s="74"/>
      <c r="O78" s="81" t="s">
        <v>325</v>
      </c>
      <c r="P78" s="83">
        <v>44004.633125</v>
      </c>
      <c r="Q78" s="81" t="s">
        <v>603</v>
      </c>
      <c r="R78" s="81"/>
      <c r="S78" s="81"/>
      <c r="T78" s="81" t="s">
        <v>705</v>
      </c>
      <c r="U78" s="84" t="str">
        <f>HYPERLINK("https://pbs.twimg.com/media/EbICLqEVAAAQBsJ.jpg")</f>
        <v>https://pbs.twimg.com/media/EbICLqEVAAAQBsJ.jpg</v>
      </c>
      <c r="V78" s="84" t="str">
        <f>HYPERLINK("https://pbs.twimg.com/media/EbICLqEVAAAQBsJ.jpg")</f>
        <v>https://pbs.twimg.com/media/EbICLqEVAAAQBsJ.jpg</v>
      </c>
      <c r="W78" s="83">
        <v>44004.633125</v>
      </c>
      <c r="X78" s="87">
        <v>44004</v>
      </c>
      <c r="Y78" s="89" t="s">
        <v>772</v>
      </c>
      <c r="Z78" s="84" t="str">
        <f>HYPERLINK("https://twitter.com/mikaelmusic1/status/1275084049728409601")</f>
        <v>https://twitter.com/mikaelmusic1/status/1275084049728409601</v>
      </c>
      <c r="AA78" s="81"/>
      <c r="AB78" s="81"/>
      <c r="AC78" s="89" t="s">
        <v>981</v>
      </c>
      <c r="AD78" s="81"/>
      <c r="AE78" s="81" t="b">
        <v>0</v>
      </c>
      <c r="AF78" s="81">
        <v>1</v>
      </c>
      <c r="AG78" s="89" t="s">
        <v>1149</v>
      </c>
      <c r="AH78" s="81" t="b">
        <v>0</v>
      </c>
      <c r="AI78" s="81" t="s">
        <v>1154</v>
      </c>
      <c r="AJ78" s="81"/>
      <c r="AK78" s="89" t="s">
        <v>1149</v>
      </c>
      <c r="AL78" s="81" t="b">
        <v>0</v>
      </c>
      <c r="AM78" s="81">
        <v>0</v>
      </c>
      <c r="AN78" s="89" t="s">
        <v>1149</v>
      </c>
      <c r="AO78" s="81" t="s">
        <v>1176</v>
      </c>
      <c r="AP78" s="81" t="b">
        <v>0</v>
      </c>
      <c r="AQ78" s="89" t="s">
        <v>981</v>
      </c>
      <c r="AR78" s="81" t="s">
        <v>325</v>
      </c>
      <c r="AS78" s="81">
        <v>0</v>
      </c>
      <c r="AT78" s="81">
        <v>0</v>
      </c>
      <c r="AU78" s="81"/>
      <c r="AV78" s="81"/>
      <c r="AW78" s="81"/>
      <c r="AX78" s="81"/>
      <c r="AY78" s="81"/>
      <c r="AZ78" s="81"/>
      <c r="BA78" s="81"/>
      <c r="BB78" s="81"/>
      <c r="BC78">
        <v>1</v>
      </c>
      <c r="BD78" s="80" t="str">
        <f>REPLACE(INDEX(GroupVertices[Group],MATCH(Edges[[#This Row],[Vertex 1]],GroupVertices[Vertex],0)),1,1,"")</f>
        <v>8</v>
      </c>
      <c r="BE78" s="80" t="str">
        <f>REPLACE(INDEX(GroupVertices[Group],MATCH(Edges[[#This Row],[Vertex 2]],GroupVertices[Vertex],0)),1,1,"")</f>
        <v>8</v>
      </c>
      <c r="BF78" s="48">
        <v>0</v>
      </c>
      <c r="BG78" s="49">
        <v>0</v>
      </c>
      <c r="BH78" s="48">
        <v>0</v>
      </c>
      <c r="BI78" s="49">
        <v>0</v>
      </c>
      <c r="BJ78" s="48">
        <v>0</v>
      </c>
      <c r="BK78" s="49">
        <v>0</v>
      </c>
      <c r="BL78" s="48">
        <v>23</v>
      </c>
      <c r="BM78" s="49">
        <v>100</v>
      </c>
      <c r="BN78" s="48">
        <v>23</v>
      </c>
    </row>
    <row r="79" spans="1:66" ht="15">
      <c r="A79" s="66" t="s">
        <v>406</v>
      </c>
      <c r="B79" s="66" t="s">
        <v>529</v>
      </c>
      <c r="C79" s="67" t="s">
        <v>3149</v>
      </c>
      <c r="D79" s="68">
        <v>4</v>
      </c>
      <c r="E79" s="69" t="s">
        <v>132</v>
      </c>
      <c r="F79" s="70">
        <v>30</v>
      </c>
      <c r="G79" s="67"/>
      <c r="H79" s="71"/>
      <c r="I79" s="72"/>
      <c r="J79" s="72"/>
      <c r="K79" s="34" t="s">
        <v>65</v>
      </c>
      <c r="L79" s="79">
        <v>79</v>
      </c>
      <c r="M79" s="79"/>
      <c r="N79" s="74"/>
      <c r="O79" s="81" t="s">
        <v>588</v>
      </c>
      <c r="P79" s="83">
        <v>44004.645590277774</v>
      </c>
      <c r="Q79" s="81" t="s">
        <v>602</v>
      </c>
      <c r="R79" s="81"/>
      <c r="S79" s="81"/>
      <c r="T79" s="81"/>
      <c r="U79" s="81"/>
      <c r="V79" s="84" t="str">
        <f>HYPERLINK("http://pbs.twimg.com/profile_images/1245331442130980869/RdGTsJZQ_normal.jpg")</f>
        <v>http://pbs.twimg.com/profile_images/1245331442130980869/RdGTsJZQ_normal.jpg</v>
      </c>
      <c r="W79" s="83">
        <v>44004.645590277774</v>
      </c>
      <c r="X79" s="87">
        <v>44004</v>
      </c>
      <c r="Y79" s="89" t="s">
        <v>773</v>
      </c>
      <c r="Z79" s="84" t="str">
        <f>HYPERLINK("https://twitter.com/alex_vnc_/status/1275088570869571586")</f>
        <v>https://twitter.com/alex_vnc_/status/1275088570869571586</v>
      </c>
      <c r="AA79" s="81"/>
      <c r="AB79" s="81"/>
      <c r="AC79" s="89" t="s">
        <v>982</v>
      </c>
      <c r="AD79" s="81"/>
      <c r="AE79" s="81" t="b">
        <v>0</v>
      </c>
      <c r="AF79" s="81">
        <v>0</v>
      </c>
      <c r="AG79" s="89" t="s">
        <v>1149</v>
      </c>
      <c r="AH79" s="81" t="b">
        <v>0</v>
      </c>
      <c r="AI79" s="81" t="s">
        <v>1153</v>
      </c>
      <c r="AJ79" s="81"/>
      <c r="AK79" s="89" t="s">
        <v>1149</v>
      </c>
      <c r="AL79" s="81" t="b">
        <v>0</v>
      </c>
      <c r="AM79" s="81">
        <v>3</v>
      </c>
      <c r="AN79" s="89" t="s">
        <v>1108</v>
      </c>
      <c r="AO79" s="81" t="s">
        <v>1176</v>
      </c>
      <c r="AP79" s="81" t="b">
        <v>0</v>
      </c>
      <c r="AQ79" s="89" t="s">
        <v>1108</v>
      </c>
      <c r="AR79" s="81" t="s">
        <v>325</v>
      </c>
      <c r="AS79" s="81">
        <v>0</v>
      </c>
      <c r="AT79" s="81">
        <v>0</v>
      </c>
      <c r="AU79" s="81"/>
      <c r="AV79" s="81"/>
      <c r="AW79" s="81"/>
      <c r="AX79" s="81"/>
      <c r="AY79" s="81"/>
      <c r="AZ79" s="81"/>
      <c r="BA79" s="81"/>
      <c r="BB79" s="81"/>
      <c r="BC79">
        <v>1</v>
      </c>
      <c r="BD79" s="80" t="str">
        <f>REPLACE(INDEX(GroupVertices[Group],MATCH(Edges[[#This Row],[Vertex 1]],GroupVertices[Vertex],0)),1,1,"")</f>
        <v>11</v>
      </c>
      <c r="BE79" s="80" t="str">
        <f>REPLACE(INDEX(GroupVertices[Group],MATCH(Edges[[#This Row],[Vertex 2]],GroupVertices[Vertex],0)),1,1,"")</f>
        <v>11</v>
      </c>
      <c r="BF79" s="48"/>
      <c r="BG79" s="49"/>
      <c r="BH79" s="48"/>
      <c r="BI79" s="49"/>
      <c r="BJ79" s="48"/>
      <c r="BK79" s="49"/>
      <c r="BL79" s="48"/>
      <c r="BM79" s="49"/>
      <c r="BN79" s="48"/>
    </row>
    <row r="80" spans="1:66" ht="15">
      <c r="A80" s="66" t="s">
        <v>406</v>
      </c>
      <c r="B80" s="66" t="s">
        <v>487</v>
      </c>
      <c r="C80" s="67" t="s">
        <v>3149</v>
      </c>
      <c r="D80" s="68">
        <v>4</v>
      </c>
      <c r="E80" s="69" t="s">
        <v>132</v>
      </c>
      <c r="F80" s="70">
        <v>30</v>
      </c>
      <c r="G80" s="67"/>
      <c r="H80" s="71"/>
      <c r="I80" s="72"/>
      <c r="J80" s="72"/>
      <c r="K80" s="34" t="s">
        <v>65</v>
      </c>
      <c r="L80" s="79">
        <v>80</v>
      </c>
      <c r="M80" s="79"/>
      <c r="N80" s="74"/>
      <c r="O80" s="81" t="s">
        <v>586</v>
      </c>
      <c r="P80" s="83">
        <v>44004.645590277774</v>
      </c>
      <c r="Q80" s="81" t="s">
        <v>602</v>
      </c>
      <c r="R80" s="81"/>
      <c r="S80" s="81"/>
      <c r="T80" s="81"/>
      <c r="U80" s="81"/>
      <c r="V80" s="84" t="str">
        <f>HYPERLINK("http://pbs.twimg.com/profile_images/1245331442130980869/RdGTsJZQ_normal.jpg")</f>
        <v>http://pbs.twimg.com/profile_images/1245331442130980869/RdGTsJZQ_normal.jpg</v>
      </c>
      <c r="W80" s="83">
        <v>44004.645590277774</v>
      </c>
      <c r="X80" s="87">
        <v>44004</v>
      </c>
      <c r="Y80" s="89" t="s">
        <v>773</v>
      </c>
      <c r="Z80" s="84" t="str">
        <f>HYPERLINK("https://twitter.com/alex_vnc_/status/1275088570869571586")</f>
        <v>https://twitter.com/alex_vnc_/status/1275088570869571586</v>
      </c>
      <c r="AA80" s="81"/>
      <c r="AB80" s="81"/>
      <c r="AC80" s="89" t="s">
        <v>982</v>
      </c>
      <c r="AD80" s="81"/>
      <c r="AE80" s="81" t="b">
        <v>0</v>
      </c>
      <c r="AF80" s="81">
        <v>0</v>
      </c>
      <c r="AG80" s="89" t="s">
        <v>1149</v>
      </c>
      <c r="AH80" s="81" t="b">
        <v>0</v>
      </c>
      <c r="AI80" s="81" t="s">
        <v>1153</v>
      </c>
      <c r="AJ80" s="81"/>
      <c r="AK80" s="89" t="s">
        <v>1149</v>
      </c>
      <c r="AL80" s="81" t="b">
        <v>0</v>
      </c>
      <c r="AM80" s="81">
        <v>3</v>
      </c>
      <c r="AN80" s="89" t="s">
        <v>1108</v>
      </c>
      <c r="AO80" s="81" t="s">
        <v>1176</v>
      </c>
      <c r="AP80" s="81" t="b">
        <v>0</v>
      </c>
      <c r="AQ80" s="89" t="s">
        <v>1108</v>
      </c>
      <c r="AR80" s="81" t="s">
        <v>325</v>
      </c>
      <c r="AS80" s="81">
        <v>0</v>
      </c>
      <c r="AT80" s="81">
        <v>0</v>
      </c>
      <c r="AU80" s="81"/>
      <c r="AV80" s="81"/>
      <c r="AW80" s="81"/>
      <c r="AX80" s="81"/>
      <c r="AY80" s="81"/>
      <c r="AZ80" s="81"/>
      <c r="BA80" s="81"/>
      <c r="BB80" s="81"/>
      <c r="BC80">
        <v>1</v>
      </c>
      <c r="BD80" s="80" t="str">
        <f>REPLACE(INDEX(GroupVertices[Group],MATCH(Edges[[#This Row],[Vertex 1]],GroupVertices[Vertex],0)),1,1,"")</f>
        <v>11</v>
      </c>
      <c r="BE80" s="80" t="str">
        <f>REPLACE(INDEX(GroupVertices[Group],MATCH(Edges[[#This Row],[Vertex 2]],GroupVertices[Vertex],0)),1,1,"")</f>
        <v>11</v>
      </c>
      <c r="BF80" s="48">
        <v>0</v>
      </c>
      <c r="BG80" s="49">
        <v>0</v>
      </c>
      <c r="BH80" s="48">
        <v>0</v>
      </c>
      <c r="BI80" s="49">
        <v>0</v>
      </c>
      <c r="BJ80" s="48">
        <v>0</v>
      </c>
      <c r="BK80" s="49">
        <v>0</v>
      </c>
      <c r="BL80" s="48">
        <v>33</v>
      </c>
      <c r="BM80" s="49">
        <v>100</v>
      </c>
      <c r="BN80" s="48">
        <v>33</v>
      </c>
    </row>
    <row r="81" spans="1:66" ht="15">
      <c r="A81" s="66" t="s">
        <v>407</v>
      </c>
      <c r="B81" s="66" t="s">
        <v>530</v>
      </c>
      <c r="C81" s="67" t="s">
        <v>3149</v>
      </c>
      <c r="D81" s="68">
        <v>4</v>
      </c>
      <c r="E81" s="69" t="s">
        <v>132</v>
      </c>
      <c r="F81" s="70">
        <v>30</v>
      </c>
      <c r="G81" s="67"/>
      <c r="H81" s="71"/>
      <c r="I81" s="72"/>
      <c r="J81" s="72"/>
      <c r="K81" s="34" t="s">
        <v>65</v>
      </c>
      <c r="L81" s="79">
        <v>81</v>
      </c>
      <c r="M81" s="79"/>
      <c r="N81" s="74"/>
      <c r="O81" s="81" t="s">
        <v>588</v>
      </c>
      <c r="P81" s="83">
        <v>44004.64983796296</v>
      </c>
      <c r="Q81" s="81" t="s">
        <v>604</v>
      </c>
      <c r="R81" s="81"/>
      <c r="S81" s="81"/>
      <c r="T81" s="81" t="s">
        <v>706</v>
      </c>
      <c r="U81" s="81"/>
      <c r="V81" s="84" t="str">
        <f>HYPERLINK("http://pbs.twimg.com/profile_images/1188845400595275776/0wa5l7cr_normal.jpg")</f>
        <v>http://pbs.twimg.com/profile_images/1188845400595275776/0wa5l7cr_normal.jpg</v>
      </c>
      <c r="W81" s="83">
        <v>44004.64983796296</v>
      </c>
      <c r="X81" s="87">
        <v>44004</v>
      </c>
      <c r="Y81" s="89" t="s">
        <v>774</v>
      </c>
      <c r="Z81" s="84" t="str">
        <f>HYPERLINK("https://twitter.com/konstantinosant/status/1275090109654859776")</f>
        <v>https://twitter.com/konstantinosant/status/1275090109654859776</v>
      </c>
      <c r="AA81" s="81"/>
      <c r="AB81" s="81"/>
      <c r="AC81" s="89" t="s">
        <v>983</v>
      </c>
      <c r="AD81" s="81"/>
      <c r="AE81" s="81" t="b">
        <v>0</v>
      </c>
      <c r="AF81" s="81">
        <v>0</v>
      </c>
      <c r="AG81" s="89" t="s">
        <v>1149</v>
      </c>
      <c r="AH81" s="81" t="b">
        <v>0</v>
      </c>
      <c r="AI81" s="81" t="s">
        <v>1150</v>
      </c>
      <c r="AJ81" s="81"/>
      <c r="AK81" s="89" t="s">
        <v>1149</v>
      </c>
      <c r="AL81" s="81" t="b">
        <v>0</v>
      </c>
      <c r="AM81" s="81">
        <v>3</v>
      </c>
      <c r="AN81" s="89" t="s">
        <v>996</v>
      </c>
      <c r="AO81" s="81" t="s">
        <v>1176</v>
      </c>
      <c r="AP81" s="81" t="b">
        <v>0</v>
      </c>
      <c r="AQ81" s="89" t="s">
        <v>996</v>
      </c>
      <c r="AR81" s="81" t="s">
        <v>325</v>
      </c>
      <c r="AS81" s="81">
        <v>0</v>
      </c>
      <c r="AT81" s="81">
        <v>0</v>
      </c>
      <c r="AU81" s="81"/>
      <c r="AV81" s="81"/>
      <c r="AW81" s="81"/>
      <c r="AX81" s="81"/>
      <c r="AY81" s="81"/>
      <c r="AZ81" s="81"/>
      <c r="BA81" s="81"/>
      <c r="BB81" s="81"/>
      <c r="BC81">
        <v>1</v>
      </c>
      <c r="BD81" s="80" t="str">
        <f>REPLACE(INDEX(GroupVertices[Group],MATCH(Edges[[#This Row],[Vertex 1]],GroupVertices[Vertex],0)),1,1,"")</f>
        <v>12</v>
      </c>
      <c r="BE81" s="80" t="str">
        <f>REPLACE(INDEX(GroupVertices[Group],MATCH(Edges[[#This Row],[Vertex 2]],GroupVertices[Vertex],0)),1,1,"")</f>
        <v>12</v>
      </c>
      <c r="BF81" s="48"/>
      <c r="BG81" s="49"/>
      <c r="BH81" s="48"/>
      <c r="BI81" s="49"/>
      <c r="BJ81" s="48"/>
      <c r="BK81" s="49"/>
      <c r="BL81" s="48"/>
      <c r="BM81" s="49"/>
      <c r="BN81" s="48"/>
    </row>
    <row r="82" spans="1:66" ht="15">
      <c r="A82" s="66" t="s">
        <v>407</v>
      </c>
      <c r="B82" s="66" t="s">
        <v>420</v>
      </c>
      <c r="C82" s="67" t="s">
        <v>3149</v>
      </c>
      <c r="D82" s="68">
        <v>4</v>
      </c>
      <c r="E82" s="69" t="s">
        <v>132</v>
      </c>
      <c r="F82" s="70">
        <v>30</v>
      </c>
      <c r="G82" s="67"/>
      <c r="H82" s="71"/>
      <c r="I82" s="72"/>
      <c r="J82" s="72"/>
      <c r="K82" s="34" t="s">
        <v>65</v>
      </c>
      <c r="L82" s="79">
        <v>82</v>
      </c>
      <c r="M82" s="79"/>
      <c r="N82" s="74"/>
      <c r="O82" s="81" t="s">
        <v>586</v>
      </c>
      <c r="P82" s="83">
        <v>44004.64983796296</v>
      </c>
      <c r="Q82" s="81" t="s">
        <v>604</v>
      </c>
      <c r="R82" s="81"/>
      <c r="S82" s="81"/>
      <c r="T82" s="81" t="s">
        <v>706</v>
      </c>
      <c r="U82" s="81"/>
      <c r="V82" s="84" t="str">
        <f>HYPERLINK("http://pbs.twimg.com/profile_images/1188845400595275776/0wa5l7cr_normal.jpg")</f>
        <v>http://pbs.twimg.com/profile_images/1188845400595275776/0wa5l7cr_normal.jpg</v>
      </c>
      <c r="W82" s="83">
        <v>44004.64983796296</v>
      </c>
      <c r="X82" s="87">
        <v>44004</v>
      </c>
      <c r="Y82" s="89" t="s">
        <v>774</v>
      </c>
      <c r="Z82" s="84" t="str">
        <f>HYPERLINK("https://twitter.com/konstantinosant/status/1275090109654859776")</f>
        <v>https://twitter.com/konstantinosant/status/1275090109654859776</v>
      </c>
      <c r="AA82" s="81"/>
      <c r="AB82" s="81"/>
      <c r="AC82" s="89" t="s">
        <v>983</v>
      </c>
      <c r="AD82" s="81"/>
      <c r="AE82" s="81" t="b">
        <v>0</v>
      </c>
      <c r="AF82" s="81">
        <v>0</v>
      </c>
      <c r="AG82" s="89" t="s">
        <v>1149</v>
      </c>
      <c r="AH82" s="81" t="b">
        <v>0</v>
      </c>
      <c r="AI82" s="81" t="s">
        <v>1150</v>
      </c>
      <c r="AJ82" s="81"/>
      <c r="AK82" s="89" t="s">
        <v>1149</v>
      </c>
      <c r="AL82" s="81" t="b">
        <v>0</v>
      </c>
      <c r="AM82" s="81">
        <v>3</v>
      </c>
      <c r="AN82" s="89" t="s">
        <v>996</v>
      </c>
      <c r="AO82" s="81" t="s">
        <v>1176</v>
      </c>
      <c r="AP82" s="81" t="b">
        <v>0</v>
      </c>
      <c r="AQ82" s="89" t="s">
        <v>996</v>
      </c>
      <c r="AR82" s="81" t="s">
        <v>325</v>
      </c>
      <c r="AS82" s="81">
        <v>0</v>
      </c>
      <c r="AT82" s="81">
        <v>0</v>
      </c>
      <c r="AU82" s="81"/>
      <c r="AV82" s="81"/>
      <c r="AW82" s="81"/>
      <c r="AX82" s="81"/>
      <c r="AY82" s="81"/>
      <c r="AZ82" s="81"/>
      <c r="BA82" s="81"/>
      <c r="BB82" s="81"/>
      <c r="BC82">
        <v>1</v>
      </c>
      <c r="BD82" s="80" t="str">
        <f>REPLACE(INDEX(GroupVertices[Group],MATCH(Edges[[#This Row],[Vertex 1]],GroupVertices[Vertex],0)),1,1,"")</f>
        <v>12</v>
      </c>
      <c r="BE82" s="80" t="str">
        <f>REPLACE(INDEX(GroupVertices[Group],MATCH(Edges[[#This Row],[Vertex 2]],GroupVertices[Vertex],0)),1,1,"")</f>
        <v>12</v>
      </c>
      <c r="BF82" s="48">
        <v>0</v>
      </c>
      <c r="BG82" s="49">
        <v>0</v>
      </c>
      <c r="BH82" s="48">
        <v>0</v>
      </c>
      <c r="BI82" s="49">
        <v>0</v>
      </c>
      <c r="BJ82" s="48">
        <v>0</v>
      </c>
      <c r="BK82" s="49">
        <v>0</v>
      </c>
      <c r="BL82" s="48">
        <v>28</v>
      </c>
      <c r="BM82" s="49">
        <v>100</v>
      </c>
      <c r="BN82" s="48">
        <v>28</v>
      </c>
    </row>
    <row r="83" spans="1:66" ht="15">
      <c r="A83" s="66" t="s">
        <v>408</v>
      </c>
      <c r="B83" s="66" t="s">
        <v>524</v>
      </c>
      <c r="C83" s="67" t="s">
        <v>3149</v>
      </c>
      <c r="D83" s="68">
        <v>4</v>
      </c>
      <c r="E83" s="69" t="s">
        <v>132</v>
      </c>
      <c r="F83" s="70">
        <v>30</v>
      </c>
      <c r="G83" s="67"/>
      <c r="H83" s="71"/>
      <c r="I83" s="72"/>
      <c r="J83" s="72"/>
      <c r="K83" s="34" t="s">
        <v>65</v>
      </c>
      <c r="L83" s="79">
        <v>83</v>
      </c>
      <c r="M83" s="79"/>
      <c r="N83" s="74"/>
      <c r="O83" s="81" t="s">
        <v>588</v>
      </c>
      <c r="P83" s="83">
        <v>44004.652916666666</v>
      </c>
      <c r="Q83" s="81" t="s">
        <v>597</v>
      </c>
      <c r="R83" s="81"/>
      <c r="S83" s="81"/>
      <c r="T83" s="81" t="s">
        <v>699</v>
      </c>
      <c r="U83" s="81"/>
      <c r="V83" s="84" t="str">
        <f>HYPERLINK("http://pbs.twimg.com/profile_images/1067845427377119234/_jD5Ca22_normal.jpg")</f>
        <v>http://pbs.twimg.com/profile_images/1067845427377119234/_jD5Ca22_normal.jpg</v>
      </c>
      <c r="W83" s="83">
        <v>44004.652916666666</v>
      </c>
      <c r="X83" s="87">
        <v>44004</v>
      </c>
      <c r="Y83" s="89" t="s">
        <v>775</v>
      </c>
      <c r="Z83" s="84" t="str">
        <f>HYPERLINK("https://twitter.com/tikiblagojev/status/1275091225595523073")</f>
        <v>https://twitter.com/tikiblagojev/status/1275091225595523073</v>
      </c>
      <c r="AA83" s="81"/>
      <c r="AB83" s="81"/>
      <c r="AC83" s="89" t="s">
        <v>984</v>
      </c>
      <c r="AD83" s="81"/>
      <c r="AE83" s="81" t="b">
        <v>0</v>
      </c>
      <c r="AF83" s="81">
        <v>0</v>
      </c>
      <c r="AG83" s="89" t="s">
        <v>1149</v>
      </c>
      <c r="AH83" s="81" t="b">
        <v>0</v>
      </c>
      <c r="AI83" s="81" t="s">
        <v>1150</v>
      </c>
      <c r="AJ83" s="81"/>
      <c r="AK83" s="89" t="s">
        <v>1149</v>
      </c>
      <c r="AL83" s="81" t="b">
        <v>0</v>
      </c>
      <c r="AM83" s="81">
        <v>6</v>
      </c>
      <c r="AN83" s="89" t="s">
        <v>1124</v>
      </c>
      <c r="AO83" s="81" t="s">
        <v>1165</v>
      </c>
      <c r="AP83" s="81" t="b">
        <v>0</v>
      </c>
      <c r="AQ83" s="89" t="s">
        <v>1124</v>
      </c>
      <c r="AR83" s="81" t="s">
        <v>325</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8"/>
      <c r="BG83" s="49"/>
      <c r="BH83" s="48"/>
      <c r="BI83" s="49"/>
      <c r="BJ83" s="48"/>
      <c r="BK83" s="49"/>
      <c r="BL83" s="48"/>
      <c r="BM83" s="49"/>
      <c r="BN83" s="48"/>
    </row>
    <row r="84" spans="1:66" ht="15">
      <c r="A84" s="66" t="s">
        <v>408</v>
      </c>
      <c r="B84" s="66" t="s">
        <v>525</v>
      </c>
      <c r="C84" s="67" t="s">
        <v>3149</v>
      </c>
      <c r="D84" s="68">
        <v>4</v>
      </c>
      <c r="E84" s="69" t="s">
        <v>132</v>
      </c>
      <c r="F84" s="70">
        <v>30</v>
      </c>
      <c r="G84" s="67"/>
      <c r="H84" s="71"/>
      <c r="I84" s="72"/>
      <c r="J84" s="72"/>
      <c r="K84" s="34" t="s">
        <v>65</v>
      </c>
      <c r="L84" s="79">
        <v>84</v>
      </c>
      <c r="M84" s="79"/>
      <c r="N84" s="74"/>
      <c r="O84" s="81" t="s">
        <v>588</v>
      </c>
      <c r="P84" s="83">
        <v>44004.652916666666</v>
      </c>
      <c r="Q84" s="81" t="s">
        <v>597</v>
      </c>
      <c r="R84" s="81"/>
      <c r="S84" s="81"/>
      <c r="T84" s="81" t="s">
        <v>699</v>
      </c>
      <c r="U84" s="81"/>
      <c r="V84" s="84" t="str">
        <f>HYPERLINK("http://pbs.twimg.com/profile_images/1067845427377119234/_jD5Ca22_normal.jpg")</f>
        <v>http://pbs.twimg.com/profile_images/1067845427377119234/_jD5Ca22_normal.jpg</v>
      </c>
      <c r="W84" s="83">
        <v>44004.652916666666</v>
      </c>
      <c r="X84" s="87">
        <v>44004</v>
      </c>
      <c r="Y84" s="89" t="s">
        <v>775</v>
      </c>
      <c r="Z84" s="84" t="str">
        <f>HYPERLINK("https://twitter.com/tikiblagojev/status/1275091225595523073")</f>
        <v>https://twitter.com/tikiblagojev/status/1275091225595523073</v>
      </c>
      <c r="AA84" s="81"/>
      <c r="AB84" s="81"/>
      <c r="AC84" s="89" t="s">
        <v>984</v>
      </c>
      <c r="AD84" s="81"/>
      <c r="AE84" s="81" t="b">
        <v>0</v>
      </c>
      <c r="AF84" s="81">
        <v>0</v>
      </c>
      <c r="AG84" s="89" t="s">
        <v>1149</v>
      </c>
      <c r="AH84" s="81" t="b">
        <v>0</v>
      </c>
      <c r="AI84" s="81" t="s">
        <v>1150</v>
      </c>
      <c r="AJ84" s="81"/>
      <c r="AK84" s="89" t="s">
        <v>1149</v>
      </c>
      <c r="AL84" s="81" t="b">
        <v>0</v>
      </c>
      <c r="AM84" s="81">
        <v>6</v>
      </c>
      <c r="AN84" s="89" t="s">
        <v>1124</v>
      </c>
      <c r="AO84" s="81" t="s">
        <v>1165</v>
      </c>
      <c r="AP84" s="81" t="b">
        <v>0</v>
      </c>
      <c r="AQ84" s="89" t="s">
        <v>1124</v>
      </c>
      <c r="AR84" s="81" t="s">
        <v>325</v>
      </c>
      <c r="AS84" s="81">
        <v>0</v>
      </c>
      <c r="AT84" s="81">
        <v>0</v>
      </c>
      <c r="AU84" s="81"/>
      <c r="AV84" s="81"/>
      <c r="AW84" s="81"/>
      <c r="AX84" s="81"/>
      <c r="AY84" s="81"/>
      <c r="AZ84" s="81"/>
      <c r="BA84" s="81"/>
      <c r="BB84" s="81"/>
      <c r="BC84">
        <v>1</v>
      </c>
      <c r="BD84" s="80" t="str">
        <f>REPLACE(INDEX(GroupVertices[Group],MATCH(Edges[[#This Row],[Vertex 1]],GroupVertices[Vertex],0)),1,1,"")</f>
        <v>5</v>
      </c>
      <c r="BE84" s="80" t="str">
        <f>REPLACE(INDEX(GroupVertices[Group],MATCH(Edges[[#This Row],[Vertex 2]],GroupVertices[Vertex],0)),1,1,"")</f>
        <v>5</v>
      </c>
      <c r="BF84" s="48"/>
      <c r="BG84" s="49"/>
      <c r="BH84" s="48"/>
      <c r="BI84" s="49"/>
      <c r="BJ84" s="48"/>
      <c r="BK84" s="49"/>
      <c r="BL84" s="48"/>
      <c r="BM84" s="49"/>
      <c r="BN84" s="48"/>
    </row>
    <row r="85" spans="1:66" ht="15">
      <c r="A85" s="66" t="s">
        <v>408</v>
      </c>
      <c r="B85" s="66" t="s">
        <v>482</v>
      </c>
      <c r="C85" s="67" t="s">
        <v>3149</v>
      </c>
      <c r="D85" s="68">
        <v>4</v>
      </c>
      <c r="E85" s="69" t="s">
        <v>132</v>
      </c>
      <c r="F85" s="70">
        <v>30</v>
      </c>
      <c r="G85" s="67"/>
      <c r="H85" s="71"/>
      <c r="I85" s="72"/>
      <c r="J85" s="72"/>
      <c r="K85" s="34" t="s">
        <v>65</v>
      </c>
      <c r="L85" s="79">
        <v>85</v>
      </c>
      <c r="M85" s="79"/>
      <c r="N85" s="74"/>
      <c r="O85" s="81" t="s">
        <v>586</v>
      </c>
      <c r="P85" s="83">
        <v>44004.652916666666</v>
      </c>
      <c r="Q85" s="81" t="s">
        <v>597</v>
      </c>
      <c r="R85" s="81"/>
      <c r="S85" s="81"/>
      <c r="T85" s="81" t="s">
        <v>699</v>
      </c>
      <c r="U85" s="81"/>
      <c r="V85" s="84" t="str">
        <f>HYPERLINK("http://pbs.twimg.com/profile_images/1067845427377119234/_jD5Ca22_normal.jpg")</f>
        <v>http://pbs.twimg.com/profile_images/1067845427377119234/_jD5Ca22_normal.jpg</v>
      </c>
      <c r="W85" s="83">
        <v>44004.652916666666</v>
      </c>
      <c r="X85" s="87">
        <v>44004</v>
      </c>
      <c r="Y85" s="89" t="s">
        <v>775</v>
      </c>
      <c r="Z85" s="84" t="str">
        <f>HYPERLINK("https://twitter.com/tikiblagojev/status/1275091225595523073")</f>
        <v>https://twitter.com/tikiblagojev/status/1275091225595523073</v>
      </c>
      <c r="AA85" s="81"/>
      <c r="AB85" s="81"/>
      <c r="AC85" s="89" t="s">
        <v>984</v>
      </c>
      <c r="AD85" s="81"/>
      <c r="AE85" s="81" t="b">
        <v>0</v>
      </c>
      <c r="AF85" s="81">
        <v>0</v>
      </c>
      <c r="AG85" s="89" t="s">
        <v>1149</v>
      </c>
      <c r="AH85" s="81" t="b">
        <v>0</v>
      </c>
      <c r="AI85" s="81" t="s">
        <v>1150</v>
      </c>
      <c r="AJ85" s="81"/>
      <c r="AK85" s="89" t="s">
        <v>1149</v>
      </c>
      <c r="AL85" s="81" t="b">
        <v>0</v>
      </c>
      <c r="AM85" s="81">
        <v>6</v>
      </c>
      <c r="AN85" s="89" t="s">
        <v>1124</v>
      </c>
      <c r="AO85" s="81" t="s">
        <v>1165</v>
      </c>
      <c r="AP85" s="81" t="b">
        <v>0</v>
      </c>
      <c r="AQ85" s="89" t="s">
        <v>1124</v>
      </c>
      <c r="AR85" s="81" t="s">
        <v>325</v>
      </c>
      <c r="AS85" s="81">
        <v>0</v>
      </c>
      <c r="AT85" s="81">
        <v>0</v>
      </c>
      <c r="AU85" s="81"/>
      <c r="AV85" s="81"/>
      <c r="AW85" s="81"/>
      <c r="AX85" s="81"/>
      <c r="AY85" s="81"/>
      <c r="AZ85" s="81"/>
      <c r="BA85" s="81"/>
      <c r="BB85" s="81"/>
      <c r="BC85">
        <v>1</v>
      </c>
      <c r="BD85" s="80" t="str">
        <f>REPLACE(INDEX(GroupVertices[Group],MATCH(Edges[[#This Row],[Vertex 1]],GroupVertices[Vertex],0)),1,1,"")</f>
        <v>5</v>
      </c>
      <c r="BE85" s="80" t="str">
        <f>REPLACE(INDEX(GroupVertices[Group],MATCH(Edges[[#This Row],[Vertex 2]],GroupVertices[Vertex],0)),1,1,"")</f>
        <v>5</v>
      </c>
      <c r="BF85" s="48">
        <v>2</v>
      </c>
      <c r="BG85" s="49">
        <v>5.555555555555555</v>
      </c>
      <c r="BH85" s="48">
        <v>0</v>
      </c>
      <c r="BI85" s="49">
        <v>0</v>
      </c>
      <c r="BJ85" s="48">
        <v>0</v>
      </c>
      <c r="BK85" s="49">
        <v>0</v>
      </c>
      <c r="BL85" s="48">
        <v>34</v>
      </c>
      <c r="BM85" s="49">
        <v>94.44444444444444</v>
      </c>
      <c r="BN85" s="48">
        <v>36</v>
      </c>
    </row>
    <row r="86" spans="1:66" ht="15">
      <c r="A86" s="66" t="s">
        <v>409</v>
      </c>
      <c r="B86" s="66" t="s">
        <v>531</v>
      </c>
      <c r="C86" s="67" t="s">
        <v>3149</v>
      </c>
      <c r="D86" s="68">
        <v>4</v>
      </c>
      <c r="E86" s="69" t="s">
        <v>132</v>
      </c>
      <c r="F86" s="70">
        <v>30</v>
      </c>
      <c r="G86" s="67"/>
      <c r="H86" s="71"/>
      <c r="I86" s="72"/>
      <c r="J86" s="72"/>
      <c r="K86" s="34" t="s">
        <v>65</v>
      </c>
      <c r="L86" s="79">
        <v>86</v>
      </c>
      <c r="M86" s="79"/>
      <c r="N86" s="74"/>
      <c r="O86" s="81" t="s">
        <v>588</v>
      </c>
      <c r="P86" s="83">
        <v>44004.66960648148</v>
      </c>
      <c r="Q86" s="81" t="s">
        <v>605</v>
      </c>
      <c r="R86" s="81"/>
      <c r="S86" s="81"/>
      <c r="T86" s="81"/>
      <c r="U86" s="81"/>
      <c r="V86" s="84" t="str">
        <f>HYPERLINK("http://pbs.twimg.com/profile_images/2647814014/8f3c3c61ca163e32c3e085a5d8fd66e2_normal.jpeg")</f>
        <v>http://pbs.twimg.com/profile_images/2647814014/8f3c3c61ca163e32c3e085a5d8fd66e2_normal.jpeg</v>
      </c>
      <c r="W86" s="83">
        <v>44004.66960648148</v>
      </c>
      <c r="X86" s="87">
        <v>44004</v>
      </c>
      <c r="Y86" s="89" t="s">
        <v>776</v>
      </c>
      <c r="Z86" s="84" t="str">
        <f>HYPERLINK("https://twitter.com/glynmottershead/status/1275097273668636672")</f>
        <v>https://twitter.com/glynmottershead/status/1275097273668636672</v>
      </c>
      <c r="AA86" s="81"/>
      <c r="AB86" s="81"/>
      <c r="AC86" s="89" t="s">
        <v>985</v>
      </c>
      <c r="AD86" s="81"/>
      <c r="AE86" s="81" t="b">
        <v>0</v>
      </c>
      <c r="AF86" s="81">
        <v>0</v>
      </c>
      <c r="AG86" s="89" t="s">
        <v>1149</v>
      </c>
      <c r="AH86" s="81" t="b">
        <v>0</v>
      </c>
      <c r="AI86" s="81" t="s">
        <v>1150</v>
      </c>
      <c r="AJ86" s="81"/>
      <c r="AK86" s="89" t="s">
        <v>1149</v>
      </c>
      <c r="AL86" s="81" t="b">
        <v>0</v>
      </c>
      <c r="AM86" s="81">
        <v>5</v>
      </c>
      <c r="AN86" s="89" t="s">
        <v>994</v>
      </c>
      <c r="AO86" s="81" t="s">
        <v>1165</v>
      </c>
      <c r="AP86" s="81" t="b">
        <v>0</v>
      </c>
      <c r="AQ86" s="89" t="s">
        <v>994</v>
      </c>
      <c r="AR86" s="81" t="s">
        <v>325</v>
      </c>
      <c r="AS86" s="81">
        <v>0</v>
      </c>
      <c r="AT86" s="81">
        <v>0</v>
      </c>
      <c r="AU86" s="81"/>
      <c r="AV86" s="81"/>
      <c r="AW86" s="81"/>
      <c r="AX86" s="81"/>
      <c r="AY86" s="81"/>
      <c r="AZ86" s="81"/>
      <c r="BA86" s="81"/>
      <c r="BB86" s="81"/>
      <c r="BC86">
        <v>1</v>
      </c>
      <c r="BD86" s="80" t="str">
        <f>REPLACE(INDEX(GroupVertices[Group],MATCH(Edges[[#This Row],[Vertex 1]],GroupVertices[Vertex],0)),1,1,"")</f>
        <v>7</v>
      </c>
      <c r="BE86" s="80" t="str">
        <f>REPLACE(INDEX(GroupVertices[Group],MATCH(Edges[[#This Row],[Vertex 2]],GroupVertices[Vertex],0)),1,1,"")</f>
        <v>7</v>
      </c>
      <c r="BF86" s="48"/>
      <c r="BG86" s="49"/>
      <c r="BH86" s="48"/>
      <c r="BI86" s="49"/>
      <c r="BJ86" s="48"/>
      <c r="BK86" s="49"/>
      <c r="BL86" s="48"/>
      <c r="BM86" s="49"/>
      <c r="BN86" s="48"/>
    </row>
    <row r="87" spans="1:66" ht="15">
      <c r="A87" s="66" t="s">
        <v>409</v>
      </c>
      <c r="B87" s="66" t="s">
        <v>532</v>
      </c>
      <c r="C87" s="67" t="s">
        <v>3149</v>
      </c>
      <c r="D87" s="68">
        <v>4</v>
      </c>
      <c r="E87" s="69" t="s">
        <v>132</v>
      </c>
      <c r="F87" s="70">
        <v>30</v>
      </c>
      <c r="G87" s="67"/>
      <c r="H87" s="71"/>
      <c r="I87" s="72"/>
      <c r="J87" s="72"/>
      <c r="K87" s="34" t="s">
        <v>65</v>
      </c>
      <c r="L87" s="79">
        <v>87</v>
      </c>
      <c r="M87" s="79"/>
      <c r="N87" s="74"/>
      <c r="O87" s="81" t="s">
        <v>588</v>
      </c>
      <c r="P87" s="83">
        <v>44004.66960648148</v>
      </c>
      <c r="Q87" s="81" t="s">
        <v>605</v>
      </c>
      <c r="R87" s="81"/>
      <c r="S87" s="81"/>
      <c r="T87" s="81"/>
      <c r="U87" s="81"/>
      <c r="V87" s="84" t="str">
        <f>HYPERLINK("http://pbs.twimg.com/profile_images/2647814014/8f3c3c61ca163e32c3e085a5d8fd66e2_normal.jpeg")</f>
        <v>http://pbs.twimg.com/profile_images/2647814014/8f3c3c61ca163e32c3e085a5d8fd66e2_normal.jpeg</v>
      </c>
      <c r="W87" s="83">
        <v>44004.66960648148</v>
      </c>
      <c r="X87" s="87">
        <v>44004</v>
      </c>
      <c r="Y87" s="89" t="s">
        <v>776</v>
      </c>
      <c r="Z87" s="84" t="str">
        <f>HYPERLINK("https://twitter.com/glynmottershead/status/1275097273668636672")</f>
        <v>https://twitter.com/glynmottershead/status/1275097273668636672</v>
      </c>
      <c r="AA87" s="81"/>
      <c r="AB87" s="81"/>
      <c r="AC87" s="89" t="s">
        <v>985</v>
      </c>
      <c r="AD87" s="81"/>
      <c r="AE87" s="81" t="b">
        <v>0</v>
      </c>
      <c r="AF87" s="81">
        <v>0</v>
      </c>
      <c r="AG87" s="89" t="s">
        <v>1149</v>
      </c>
      <c r="AH87" s="81" t="b">
        <v>0</v>
      </c>
      <c r="AI87" s="81" t="s">
        <v>1150</v>
      </c>
      <c r="AJ87" s="81"/>
      <c r="AK87" s="89" t="s">
        <v>1149</v>
      </c>
      <c r="AL87" s="81" t="b">
        <v>0</v>
      </c>
      <c r="AM87" s="81">
        <v>5</v>
      </c>
      <c r="AN87" s="89" t="s">
        <v>994</v>
      </c>
      <c r="AO87" s="81" t="s">
        <v>1165</v>
      </c>
      <c r="AP87" s="81" t="b">
        <v>0</v>
      </c>
      <c r="AQ87" s="89" t="s">
        <v>994</v>
      </c>
      <c r="AR87" s="81" t="s">
        <v>325</v>
      </c>
      <c r="AS87" s="81">
        <v>0</v>
      </c>
      <c r="AT87" s="81">
        <v>0</v>
      </c>
      <c r="AU87" s="81"/>
      <c r="AV87" s="81"/>
      <c r="AW87" s="81"/>
      <c r="AX87" s="81"/>
      <c r="AY87" s="81"/>
      <c r="AZ87" s="81"/>
      <c r="BA87" s="81"/>
      <c r="BB87" s="81"/>
      <c r="BC87">
        <v>1</v>
      </c>
      <c r="BD87" s="80" t="str">
        <f>REPLACE(INDEX(GroupVertices[Group],MATCH(Edges[[#This Row],[Vertex 1]],GroupVertices[Vertex],0)),1,1,"")</f>
        <v>7</v>
      </c>
      <c r="BE87" s="80" t="str">
        <f>REPLACE(INDEX(GroupVertices[Group],MATCH(Edges[[#This Row],[Vertex 2]],GroupVertices[Vertex],0)),1,1,"")</f>
        <v>7</v>
      </c>
      <c r="BF87" s="48"/>
      <c r="BG87" s="49"/>
      <c r="BH87" s="48"/>
      <c r="BI87" s="49"/>
      <c r="BJ87" s="48"/>
      <c r="BK87" s="49"/>
      <c r="BL87" s="48"/>
      <c r="BM87" s="49"/>
      <c r="BN87" s="48"/>
    </row>
    <row r="88" spans="1:66" ht="15">
      <c r="A88" s="66" t="s">
        <v>409</v>
      </c>
      <c r="B88" s="66" t="s">
        <v>418</v>
      </c>
      <c r="C88" s="67" t="s">
        <v>3149</v>
      </c>
      <c r="D88" s="68">
        <v>4</v>
      </c>
      <c r="E88" s="69" t="s">
        <v>132</v>
      </c>
      <c r="F88" s="70">
        <v>30</v>
      </c>
      <c r="G88" s="67"/>
      <c r="H88" s="71"/>
      <c r="I88" s="72"/>
      <c r="J88" s="72"/>
      <c r="K88" s="34" t="s">
        <v>65</v>
      </c>
      <c r="L88" s="79">
        <v>88</v>
      </c>
      <c r="M88" s="79"/>
      <c r="N88" s="74"/>
      <c r="O88" s="81" t="s">
        <v>586</v>
      </c>
      <c r="P88" s="83">
        <v>44004.66960648148</v>
      </c>
      <c r="Q88" s="81" t="s">
        <v>605</v>
      </c>
      <c r="R88" s="81"/>
      <c r="S88" s="81"/>
      <c r="T88" s="81"/>
      <c r="U88" s="81"/>
      <c r="V88" s="84" t="str">
        <f>HYPERLINK("http://pbs.twimg.com/profile_images/2647814014/8f3c3c61ca163e32c3e085a5d8fd66e2_normal.jpeg")</f>
        <v>http://pbs.twimg.com/profile_images/2647814014/8f3c3c61ca163e32c3e085a5d8fd66e2_normal.jpeg</v>
      </c>
      <c r="W88" s="83">
        <v>44004.66960648148</v>
      </c>
      <c r="X88" s="87">
        <v>44004</v>
      </c>
      <c r="Y88" s="89" t="s">
        <v>776</v>
      </c>
      <c r="Z88" s="84" t="str">
        <f>HYPERLINK("https://twitter.com/glynmottershead/status/1275097273668636672")</f>
        <v>https://twitter.com/glynmottershead/status/1275097273668636672</v>
      </c>
      <c r="AA88" s="81"/>
      <c r="AB88" s="81"/>
      <c r="AC88" s="89" t="s">
        <v>985</v>
      </c>
      <c r="AD88" s="81"/>
      <c r="AE88" s="81" t="b">
        <v>0</v>
      </c>
      <c r="AF88" s="81">
        <v>0</v>
      </c>
      <c r="AG88" s="89" t="s">
        <v>1149</v>
      </c>
      <c r="AH88" s="81" t="b">
        <v>0</v>
      </c>
      <c r="AI88" s="81" t="s">
        <v>1150</v>
      </c>
      <c r="AJ88" s="81"/>
      <c r="AK88" s="89" t="s">
        <v>1149</v>
      </c>
      <c r="AL88" s="81" t="b">
        <v>0</v>
      </c>
      <c r="AM88" s="81">
        <v>5</v>
      </c>
      <c r="AN88" s="89" t="s">
        <v>994</v>
      </c>
      <c r="AO88" s="81" t="s">
        <v>1165</v>
      </c>
      <c r="AP88" s="81" t="b">
        <v>0</v>
      </c>
      <c r="AQ88" s="89" t="s">
        <v>994</v>
      </c>
      <c r="AR88" s="81" t="s">
        <v>325</v>
      </c>
      <c r="AS88" s="81">
        <v>0</v>
      </c>
      <c r="AT88" s="81">
        <v>0</v>
      </c>
      <c r="AU88" s="81"/>
      <c r="AV88" s="81"/>
      <c r="AW88" s="81"/>
      <c r="AX88" s="81"/>
      <c r="AY88" s="81"/>
      <c r="AZ88" s="81"/>
      <c r="BA88" s="81"/>
      <c r="BB88" s="81"/>
      <c r="BC88">
        <v>1</v>
      </c>
      <c r="BD88" s="80" t="str">
        <f>REPLACE(INDEX(GroupVertices[Group],MATCH(Edges[[#This Row],[Vertex 1]],GroupVertices[Vertex],0)),1,1,"")</f>
        <v>7</v>
      </c>
      <c r="BE88" s="80" t="str">
        <f>REPLACE(INDEX(GroupVertices[Group],MATCH(Edges[[#This Row],[Vertex 2]],GroupVertices[Vertex],0)),1,1,"")</f>
        <v>7</v>
      </c>
      <c r="BF88" s="48">
        <v>2</v>
      </c>
      <c r="BG88" s="49">
        <v>5.2631578947368425</v>
      </c>
      <c r="BH88" s="48">
        <v>1</v>
      </c>
      <c r="BI88" s="49">
        <v>2.6315789473684212</v>
      </c>
      <c r="BJ88" s="48">
        <v>0</v>
      </c>
      <c r="BK88" s="49">
        <v>0</v>
      </c>
      <c r="BL88" s="48">
        <v>35</v>
      </c>
      <c r="BM88" s="49">
        <v>92.10526315789474</v>
      </c>
      <c r="BN88" s="48">
        <v>38</v>
      </c>
    </row>
    <row r="89" spans="1:66" ht="15">
      <c r="A89" s="66" t="s">
        <v>410</v>
      </c>
      <c r="B89" s="66" t="s">
        <v>530</v>
      </c>
      <c r="C89" s="67" t="s">
        <v>3149</v>
      </c>
      <c r="D89" s="68">
        <v>4</v>
      </c>
      <c r="E89" s="69" t="s">
        <v>132</v>
      </c>
      <c r="F89" s="70">
        <v>30</v>
      </c>
      <c r="G89" s="67"/>
      <c r="H89" s="71"/>
      <c r="I89" s="72"/>
      <c r="J89" s="72"/>
      <c r="K89" s="34" t="s">
        <v>65</v>
      </c>
      <c r="L89" s="79">
        <v>89</v>
      </c>
      <c r="M89" s="79"/>
      <c r="N89" s="74"/>
      <c r="O89" s="81" t="s">
        <v>588</v>
      </c>
      <c r="P89" s="83">
        <v>44004.67471064815</v>
      </c>
      <c r="Q89" s="81" t="s">
        <v>604</v>
      </c>
      <c r="R89" s="81"/>
      <c r="S89" s="81"/>
      <c r="T89" s="81" t="s">
        <v>706</v>
      </c>
      <c r="U89" s="81"/>
      <c r="V89" s="84" t="str">
        <f>HYPERLINK("http://pbs.twimg.com/profile_images/1085889901206405120/CXGkLkkg_normal.jpg")</f>
        <v>http://pbs.twimg.com/profile_images/1085889901206405120/CXGkLkkg_normal.jpg</v>
      </c>
      <c r="W89" s="83">
        <v>44004.67471064815</v>
      </c>
      <c r="X89" s="87">
        <v>44004</v>
      </c>
      <c r="Y89" s="89" t="s">
        <v>777</v>
      </c>
      <c r="Z89" s="84" t="str">
        <f>HYPERLINK("https://twitter.com/guipizzini/status/1275099122744336385")</f>
        <v>https://twitter.com/guipizzini/status/1275099122744336385</v>
      </c>
      <c r="AA89" s="81"/>
      <c r="AB89" s="81"/>
      <c r="AC89" s="89" t="s">
        <v>986</v>
      </c>
      <c r="AD89" s="81"/>
      <c r="AE89" s="81" t="b">
        <v>0</v>
      </c>
      <c r="AF89" s="81">
        <v>0</v>
      </c>
      <c r="AG89" s="89" t="s">
        <v>1149</v>
      </c>
      <c r="AH89" s="81" t="b">
        <v>0</v>
      </c>
      <c r="AI89" s="81" t="s">
        <v>1150</v>
      </c>
      <c r="AJ89" s="81"/>
      <c r="AK89" s="89" t="s">
        <v>1149</v>
      </c>
      <c r="AL89" s="81" t="b">
        <v>0</v>
      </c>
      <c r="AM89" s="81">
        <v>3</v>
      </c>
      <c r="AN89" s="89" t="s">
        <v>996</v>
      </c>
      <c r="AO89" s="81" t="s">
        <v>1165</v>
      </c>
      <c r="AP89" s="81" t="b">
        <v>0</v>
      </c>
      <c r="AQ89" s="89" t="s">
        <v>996</v>
      </c>
      <c r="AR89" s="81" t="s">
        <v>325</v>
      </c>
      <c r="AS89" s="81">
        <v>0</v>
      </c>
      <c r="AT89" s="81">
        <v>0</v>
      </c>
      <c r="AU89" s="81"/>
      <c r="AV89" s="81"/>
      <c r="AW89" s="81"/>
      <c r="AX89" s="81"/>
      <c r="AY89" s="81"/>
      <c r="AZ89" s="81"/>
      <c r="BA89" s="81"/>
      <c r="BB89" s="81"/>
      <c r="BC89">
        <v>1</v>
      </c>
      <c r="BD89" s="80" t="str">
        <f>REPLACE(INDEX(GroupVertices[Group],MATCH(Edges[[#This Row],[Vertex 1]],GroupVertices[Vertex],0)),1,1,"")</f>
        <v>12</v>
      </c>
      <c r="BE89" s="80" t="str">
        <f>REPLACE(INDEX(GroupVertices[Group],MATCH(Edges[[#This Row],[Vertex 2]],GroupVertices[Vertex],0)),1,1,"")</f>
        <v>12</v>
      </c>
      <c r="BF89" s="48"/>
      <c r="BG89" s="49"/>
      <c r="BH89" s="48"/>
      <c r="BI89" s="49"/>
      <c r="BJ89" s="48"/>
      <c r="BK89" s="49"/>
      <c r="BL89" s="48"/>
      <c r="BM89" s="49"/>
      <c r="BN89" s="48"/>
    </row>
    <row r="90" spans="1:66" ht="15">
      <c r="A90" s="66" t="s">
        <v>410</v>
      </c>
      <c r="B90" s="66" t="s">
        <v>420</v>
      </c>
      <c r="C90" s="67" t="s">
        <v>3149</v>
      </c>
      <c r="D90" s="68">
        <v>4</v>
      </c>
      <c r="E90" s="69" t="s">
        <v>132</v>
      </c>
      <c r="F90" s="70">
        <v>30</v>
      </c>
      <c r="G90" s="67"/>
      <c r="H90" s="71"/>
      <c r="I90" s="72"/>
      <c r="J90" s="72"/>
      <c r="K90" s="34" t="s">
        <v>65</v>
      </c>
      <c r="L90" s="79">
        <v>90</v>
      </c>
      <c r="M90" s="79"/>
      <c r="N90" s="74"/>
      <c r="O90" s="81" t="s">
        <v>586</v>
      </c>
      <c r="P90" s="83">
        <v>44004.67471064815</v>
      </c>
      <c r="Q90" s="81" t="s">
        <v>604</v>
      </c>
      <c r="R90" s="81"/>
      <c r="S90" s="81"/>
      <c r="T90" s="81" t="s">
        <v>706</v>
      </c>
      <c r="U90" s="81"/>
      <c r="V90" s="84" t="str">
        <f>HYPERLINK("http://pbs.twimg.com/profile_images/1085889901206405120/CXGkLkkg_normal.jpg")</f>
        <v>http://pbs.twimg.com/profile_images/1085889901206405120/CXGkLkkg_normal.jpg</v>
      </c>
      <c r="W90" s="83">
        <v>44004.67471064815</v>
      </c>
      <c r="X90" s="87">
        <v>44004</v>
      </c>
      <c r="Y90" s="89" t="s">
        <v>777</v>
      </c>
      <c r="Z90" s="84" t="str">
        <f>HYPERLINK("https://twitter.com/guipizzini/status/1275099122744336385")</f>
        <v>https://twitter.com/guipizzini/status/1275099122744336385</v>
      </c>
      <c r="AA90" s="81"/>
      <c r="AB90" s="81"/>
      <c r="AC90" s="89" t="s">
        <v>986</v>
      </c>
      <c r="AD90" s="81"/>
      <c r="AE90" s="81" t="b">
        <v>0</v>
      </c>
      <c r="AF90" s="81">
        <v>0</v>
      </c>
      <c r="AG90" s="89" t="s">
        <v>1149</v>
      </c>
      <c r="AH90" s="81" t="b">
        <v>0</v>
      </c>
      <c r="AI90" s="81" t="s">
        <v>1150</v>
      </c>
      <c r="AJ90" s="81"/>
      <c r="AK90" s="89" t="s">
        <v>1149</v>
      </c>
      <c r="AL90" s="81" t="b">
        <v>0</v>
      </c>
      <c r="AM90" s="81">
        <v>3</v>
      </c>
      <c r="AN90" s="89" t="s">
        <v>996</v>
      </c>
      <c r="AO90" s="81" t="s">
        <v>1165</v>
      </c>
      <c r="AP90" s="81" t="b">
        <v>0</v>
      </c>
      <c r="AQ90" s="89" t="s">
        <v>996</v>
      </c>
      <c r="AR90" s="81" t="s">
        <v>325</v>
      </c>
      <c r="AS90" s="81">
        <v>0</v>
      </c>
      <c r="AT90" s="81">
        <v>0</v>
      </c>
      <c r="AU90" s="81"/>
      <c r="AV90" s="81"/>
      <c r="AW90" s="81"/>
      <c r="AX90" s="81"/>
      <c r="AY90" s="81"/>
      <c r="AZ90" s="81"/>
      <c r="BA90" s="81"/>
      <c r="BB90" s="81"/>
      <c r="BC90">
        <v>1</v>
      </c>
      <c r="BD90" s="80" t="str">
        <f>REPLACE(INDEX(GroupVertices[Group],MATCH(Edges[[#This Row],[Vertex 1]],GroupVertices[Vertex],0)),1,1,"")</f>
        <v>12</v>
      </c>
      <c r="BE90" s="80" t="str">
        <f>REPLACE(INDEX(GroupVertices[Group],MATCH(Edges[[#This Row],[Vertex 2]],GroupVertices[Vertex],0)),1,1,"")</f>
        <v>12</v>
      </c>
      <c r="BF90" s="48">
        <v>0</v>
      </c>
      <c r="BG90" s="49">
        <v>0</v>
      </c>
      <c r="BH90" s="48">
        <v>0</v>
      </c>
      <c r="BI90" s="49">
        <v>0</v>
      </c>
      <c r="BJ90" s="48">
        <v>0</v>
      </c>
      <c r="BK90" s="49">
        <v>0</v>
      </c>
      <c r="BL90" s="48">
        <v>28</v>
      </c>
      <c r="BM90" s="49">
        <v>100</v>
      </c>
      <c r="BN90" s="48">
        <v>28</v>
      </c>
    </row>
    <row r="91" spans="1:66" ht="15">
      <c r="A91" s="66" t="s">
        <v>411</v>
      </c>
      <c r="B91" s="66" t="s">
        <v>513</v>
      </c>
      <c r="C91" s="67" t="s">
        <v>3149</v>
      </c>
      <c r="D91" s="68">
        <v>4</v>
      </c>
      <c r="E91" s="69" t="s">
        <v>132</v>
      </c>
      <c r="F91" s="70">
        <v>30</v>
      </c>
      <c r="G91" s="67"/>
      <c r="H91" s="71"/>
      <c r="I91" s="72"/>
      <c r="J91" s="72"/>
      <c r="K91" s="34" t="s">
        <v>65</v>
      </c>
      <c r="L91" s="79">
        <v>91</v>
      </c>
      <c r="M91" s="79"/>
      <c r="N91" s="74"/>
      <c r="O91" s="81" t="s">
        <v>588</v>
      </c>
      <c r="P91" s="83">
        <v>44004.69012731482</v>
      </c>
      <c r="Q91" s="81" t="s">
        <v>595</v>
      </c>
      <c r="R91" s="81"/>
      <c r="S91" s="81"/>
      <c r="T91" s="81"/>
      <c r="U91" s="81"/>
      <c r="V91" s="84" t="str">
        <f>HYPERLINK("http://pbs.twimg.com/profile_images/1214608871299469313/qJktmlL2_normal.jpg")</f>
        <v>http://pbs.twimg.com/profile_images/1214608871299469313/qJktmlL2_normal.jpg</v>
      </c>
      <c r="W91" s="83">
        <v>44004.69012731482</v>
      </c>
      <c r="X91" s="87">
        <v>44004</v>
      </c>
      <c r="Y91" s="89" t="s">
        <v>778</v>
      </c>
      <c r="Z91" s="84" t="str">
        <f>HYPERLINK("https://twitter.com/mcnatch/status/1275104710610083845")</f>
        <v>https://twitter.com/mcnatch/status/1275104710610083845</v>
      </c>
      <c r="AA91" s="81"/>
      <c r="AB91" s="81"/>
      <c r="AC91" s="89" t="s">
        <v>987</v>
      </c>
      <c r="AD91" s="81"/>
      <c r="AE91" s="81" t="b">
        <v>0</v>
      </c>
      <c r="AF91" s="81">
        <v>0</v>
      </c>
      <c r="AG91" s="89" t="s">
        <v>1149</v>
      </c>
      <c r="AH91" s="81" t="b">
        <v>0</v>
      </c>
      <c r="AI91" s="81" t="s">
        <v>1150</v>
      </c>
      <c r="AJ91" s="81"/>
      <c r="AK91" s="89" t="s">
        <v>1149</v>
      </c>
      <c r="AL91" s="81" t="b">
        <v>0</v>
      </c>
      <c r="AM91" s="81">
        <v>37</v>
      </c>
      <c r="AN91" s="89" t="s">
        <v>1142</v>
      </c>
      <c r="AO91" s="81" t="s">
        <v>1165</v>
      </c>
      <c r="AP91" s="81" t="b">
        <v>0</v>
      </c>
      <c r="AQ91" s="89" t="s">
        <v>1142</v>
      </c>
      <c r="AR91" s="81" t="s">
        <v>325</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8"/>
      <c r="BG91" s="49"/>
      <c r="BH91" s="48"/>
      <c r="BI91" s="49"/>
      <c r="BJ91" s="48"/>
      <c r="BK91" s="49"/>
      <c r="BL91" s="48"/>
      <c r="BM91" s="49"/>
      <c r="BN91" s="48"/>
    </row>
    <row r="92" spans="1:66" ht="15">
      <c r="A92" s="66" t="s">
        <v>411</v>
      </c>
      <c r="B92" s="66" t="s">
        <v>514</v>
      </c>
      <c r="C92" s="67" t="s">
        <v>3149</v>
      </c>
      <c r="D92" s="68">
        <v>4</v>
      </c>
      <c r="E92" s="69" t="s">
        <v>132</v>
      </c>
      <c r="F92" s="70">
        <v>30</v>
      </c>
      <c r="G92" s="67"/>
      <c r="H92" s="71"/>
      <c r="I92" s="72"/>
      <c r="J92" s="72"/>
      <c r="K92" s="34" t="s">
        <v>65</v>
      </c>
      <c r="L92" s="79">
        <v>92</v>
      </c>
      <c r="M92" s="79"/>
      <c r="N92" s="74"/>
      <c r="O92" s="81" t="s">
        <v>586</v>
      </c>
      <c r="P92" s="83">
        <v>44004.69012731482</v>
      </c>
      <c r="Q92" s="81" t="s">
        <v>595</v>
      </c>
      <c r="R92" s="81"/>
      <c r="S92" s="81"/>
      <c r="T92" s="81"/>
      <c r="U92" s="81"/>
      <c r="V92" s="84" t="str">
        <f>HYPERLINK("http://pbs.twimg.com/profile_images/1214608871299469313/qJktmlL2_normal.jpg")</f>
        <v>http://pbs.twimg.com/profile_images/1214608871299469313/qJktmlL2_normal.jpg</v>
      </c>
      <c r="W92" s="83">
        <v>44004.69012731482</v>
      </c>
      <c r="X92" s="87">
        <v>44004</v>
      </c>
      <c r="Y92" s="89" t="s">
        <v>778</v>
      </c>
      <c r="Z92" s="84" t="str">
        <f>HYPERLINK("https://twitter.com/mcnatch/status/1275104710610083845")</f>
        <v>https://twitter.com/mcnatch/status/1275104710610083845</v>
      </c>
      <c r="AA92" s="81"/>
      <c r="AB92" s="81"/>
      <c r="AC92" s="89" t="s">
        <v>987</v>
      </c>
      <c r="AD92" s="81"/>
      <c r="AE92" s="81" t="b">
        <v>0</v>
      </c>
      <c r="AF92" s="81">
        <v>0</v>
      </c>
      <c r="AG92" s="89" t="s">
        <v>1149</v>
      </c>
      <c r="AH92" s="81" t="b">
        <v>0</v>
      </c>
      <c r="AI92" s="81" t="s">
        <v>1150</v>
      </c>
      <c r="AJ92" s="81"/>
      <c r="AK92" s="89" t="s">
        <v>1149</v>
      </c>
      <c r="AL92" s="81" t="b">
        <v>0</v>
      </c>
      <c r="AM92" s="81">
        <v>37</v>
      </c>
      <c r="AN92" s="89" t="s">
        <v>1142</v>
      </c>
      <c r="AO92" s="81" t="s">
        <v>1165</v>
      </c>
      <c r="AP92" s="81" t="b">
        <v>0</v>
      </c>
      <c r="AQ92" s="89" t="s">
        <v>1142</v>
      </c>
      <c r="AR92" s="81" t="s">
        <v>325</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8">
        <v>3</v>
      </c>
      <c r="BG92" s="49">
        <v>7.5</v>
      </c>
      <c r="BH92" s="48">
        <v>0</v>
      </c>
      <c r="BI92" s="49">
        <v>0</v>
      </c>
      <c r="BJ92" s="48">
        <v>0</v>
      </c>
      <c r="BK92" s="49">
        <v>0</v>
      </c>
      <c r="BL92" s="48">
        <v>37</v>
      </c>
      <c r="BM92" s="49">
        <v>92.5</v>
      </c>
      <c r="BN92" s="48">
        <v>40</v>
      </c>
    </row>
    <row r="93" spans="1:66" ht="15">
      <c r="A93" s="66" t="s">
        <v>412</v>
      </c>
      <c r="B93" s="66" t="s">
        <v>513</v>
      </c>
      <c r="C93" s="67" t="s">
        <v>3149</v>
      </c>
      <c r="D93" s="68">
        <v>4</v>
      </c>
      <c r="E93" s="69" t="s">
        <v>132</v>
      </c>
      <c r="F93" s="70">
        <v>30</v>
      </c>
      <c r="G93" s="67"/>
      <c r="H93" s="71"/>
      <c r="I93" s="72"/>
      <c r="J93" s="72"/>
      <c r="K93" s="34" t="s">
        <v>65</v>
      </c>
      <c r="L93" s="79">
        <v>93</v>
      </c>
      <c r="M93" s="79"/>
      <c r="N93" s="74"/>
      <c r="O93" s="81" t="s">
        <v>588</v>
      </c>
      <c r="P93" s="83">
        <v>44004.69186342593</v>
      </c>
      <c r="Q93" s="81" t="s">
        <v>595</v>
      </c>
      <c r="R93" s="81"/>
      <c r="S93" s="81"/>
      <c r="T93" s="81"/>
      <c r="U93" s="81"/>
      <c r="V93" s="84" t="str">
        <f>HYPERLINK("http://pbs.twimg.com/profile_images/874729548323094528/NP7PyiPy_normal.jpg")</f>
        <v>http://pbs.twimg.com/profile_images/874729548323094528/NP7PyiPy_normal.jpg</v>
      </c>
      <c r="W93" s="83">
        <v>44004.69186342593</v>
      </c>
      <c r="X93" s="87">
        <v>44004</v>
      </c>
      <c r="Y93" s="89" t="s">
        <v>779</v>
      </c>
      <c r="Z93" s="84" t="str">
        <f>HYPERLINK("https://twitter.com/lukestanbra/status/1275105339319386113")</f>
        <v>https://twitter.com/lukestanbra/status/1275105339319386113</v>
      </c>
      <c r="AA93" s="81"/>
      <c r="AB93" s="81"/>
      <c r="AC93" s="89" t="s">
        <v>988</v>
      </c>
      <c r="AD93" s="81"/>
      <c r="AE93" s="81" t="b">
        <v>0</v>
      </c>
      <c r="AF93" s="81">
        <v>0</v>
      </c>
      <c r="AG93" s="89" t="s">
        <v>1149</v>
      </c>
      <c r="AH93" s="81" t="b">
        <v>0</v>
      </c>
      <c r="AI93" s="81" t="s">
        <v>1150</v>
      </c>
      <c r="AJ93" s="81"/>
      <c r="AK93" s="89" t="s">
        <v>1149</v>
      </c>
      <c r="AL93" s="81" t="b">
        <v>0</v>
      </c>
      <c r="AM93" s="81">
        <v>37</v>
      </c>
      <c r="AN93" s="89" t="s">
        <v>1142</v>
      </c>
      <c r="AO93" s="81" t="s">
        <v>1176</v>
      </c>
      <c r="AP93" s="81" t="b">
        <v>0</v>
      </c>
      <c r="AQ93" s="89" t="s">
        <v>1142</v>
      </c>
      <c r="AR93" s="81" t="s">
        <v>325</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8"/>
      <c r="BG93" s="49"/>
      <c r="BH93" s="48"/>
      <c r="BI93" s="49"/>
      <c r="BJ93" s="48"/>
      <c r="BK93" s="49"/>
      <c r="BL93" s="48"/>
      <c r="BM93" s="49"/>
      <c r="BN93" s="48"/>
    </row>
    <row r="94" spans="1:66" ht="15">
      <c r="A94" s="66" t="s">
        <v>412</v>
      </c>
      <c r="B94" s="66" t="s">
        <v>514</v>
      </c>
      <c r="C94" s="67" t="s">
        <v>3149</v>
      </c>
      <c r="D94" s="68">
        <v>4</v>
      </c>
      <c r="E94" s="69" t="s">
        <v>132</v>
      </c>
      <c r="F94" s="70">
        <v>30</v>
      </c>
      <c r="G94" s="67"/>
      <c r="H94" s="71"/>
      <c r="I94" s="72"/>
      <c r="J94" s="72"/>
      <c r="K94" s="34" t="s">
        <v>65</v>
      </c>
      <c r="L94" s="79">
        <v>94</v>
      </c>
      <c r="M94" s="79"/>
      <c r="N94" s="74"/>
      <c r="O94" s="81" t="s">
        <v>586</v>
      </c>
      <c r="P94" s="83">
        <v>44004.69186342593</v>
      </c>
      <c r="Q94" s="81" t="s">
        <v>595</v>
      </c>
      <c r="R94" s="81"/>
      <c r="S94" s="81"/>
      <c r="T94" s="81"/>
      <c r="U94" s="81"/>
      <c r="V94" s="84" t="str">
        <f>HYPERLINK("http://pbs.twimg.com/profile_images/874729548323094528/NP7PyiPy_normal.jpg")</f>
        <v>http://pbs.twimg.com/profile_images/874729548323094528/NP7PyiPy_normal.jpg</v>
      </c>
      <c r="W94" s="83">
        <v>44004.69186342593</v>
      </c>
      <c r="X94" s="87">
        <v>44004</v>
      </c>
      <c r="Y94" s="89" t="s">
        <v>779</v>
      </c>
      <c r="Z94" s="84" t="str">
        <f>HYPERLINK("https://twitter.com/lukestanbra/status/1275105339319386113")</f>
        <v>https://twitter.com/lukestanbra/status/1275105339319386113</v>
      </c>
      <c r="AA94" s="81"/>
      <c r="AB94" s="81"/>
      <c r="AC94" s="89" t="s">
        <v>988</v>
      </c>
      <c r="AD94" s="81"/>
      <c r="AE94" s="81" t="b">
        <v>0</v>
      </c>
      <c r="AF94" s="81">
        <v>0</v>
      </c>
      <c r="AG94" s="89" t="s">
        <v>1149</v>
      </c>
      <c r="AH94" s="81" t="b">
        <v>0</v>
      </c>
      <c r="AI94" s="81" t="s">
        <v>1150</v>
      </c>
      <c r="AJ94" s="81"/>
      <c r="AK94" s="89" t="s">
        <v>1149</v>
      </c>
      <c r="AL94" s="81" t="b">
        <v>0</v>
      </c>
      <c r="AM94" s="81">
        <v>37</v>
      </c>
      <c r="AN94" s="89" t="s">
        <v>1142</v>
      </c>
      <c r="AO94" s="81" t="s">
        <v>1176</v>
      </c>
      <c r="AP94" s="81" t="b">
        <v>0</v>
      </c>
      <c r="AQ94" s="89" t="s">
        <v>1142</v>
      </c>
      <c r="AR94" s="81" t="s">
        <v>325</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8">
        <v>3</v>
      </c>
      <c r="BG94" s="49">
        <v>7.5</v>
      </c>
      <c r="BH94" s="48">
        <v>0</v>
      </c>
      <c r="BI94" s="49">
        <v>0</v>
      </c>
      <c r="BJ94" s="48">
        <v>0</v>
      </c>
      <c r="BK94" s="49">
        <v>0</v>
      </c>
      <c r="BL94" s="48">
        <v>37</v>
      </c>
      <c r="BM94" s="49">
        <v>92.5</v>
      </c>
      <c r="BN94" s="48">
        <v>40</v>
      </c>
    </row>
    <row r="95" spans="1:66" ht="15">
      <c r="A95" s="66" t="s">
        <v>413</v>
      </c>
      <c r="B95" s="66" t="s">
        <v>526</v>
      </c>
      <c r="C95" s="67" t="s">
        <v>3149</v>
      </c>
      <c r="D95" s="68">
        <v>4</v>
      </c>
      <c r="E95" s="69" t="s">
        <v>132</v>
      </c>
      <c r="F95" s="70">
        <v>30</v>
      </c>
      <c r="G95" s="67"/>
      <c r="H95" s="71"/>
      <c r="I95" s="72"/>
      <c r="J95" s="72"/>
      <c r="K95" s="34" t="s">
        <v>65</v>
      </c>
      <c r="L95" s="79">
        <v>95</v>
      </c>
      <c r="M95" s="79"/>
      <c r="N95" s="74"/>
      <c r="O95" s="81" t="s">
        <v>587</v>
      </c>
      <c r="P95" s="83">
        <v>44004.694131944445</v>
      </c>
      <c r="Q95" s="81" t="s">
        <v>606</v>
      </c>
      <c r="R95" s="84" t="str">
        <f>HYPERLINK("https://interactive.aljazeera.com/aje/2020/saving-the-nile/index.html")</f>
        <v>https://interactive.aljazeera.com/aje/2020/saving-the-nile/index.html</v>
      </c>
      <c r="S95" s="81" t="s">
        <v>678</v>
      </c>
      <c r="T95" s="81" t="s">
        <v>703</v>
      </c>
      <c r="U95" s="81"/>
      <c r="V95" s="84" t="str">
        <f>HYPERLINK("http://pbs.twimg.com/profile_images/1259946967242870786/VBIslPot_normal.jpg")</f>
        <v>http://pbs.twimg.com/profile_images/1259946967242870786/VBIslPot_normal.jpg</v>
      </c>
      <c r="W95" s="83">
        <v>44004.694131944445</v>
      </c>
      <c r="X95" s="87">
        <v>44004</v>
      </c>
      <c r="Y95" s="89" t="s">
        <v>780</v>
      </c>
      <c r="Z95" s="84" t="str">
        <f>HYPERLINK("https://twitter.com/mo_shamah/status/1275106161944117253")</f>
        <v>https://twitter.com/mo_shamah/status/1275106161944117253</v>
      </c>
      <c r="AA95" s="81"/>
      <c r="AB95" s="81"/>
      <c r="AC95" s="89" t="s">
        <v>989</v>
      </c>
      <c r="AD95" s="81"/>
      <c r="AE95" s="81" t="b">
        <v>0</v>
      </c>
      <c r="AF95" s="81">
        <v>0</v>
      </c>
      <c r="AG95" s="89" t="s">
        <v>1149</v>
      </c>
      <c r="AH95" s="81" t="b">
        <v>0</v>
      </c>
      <c r="AI95" s="81" t="s">
        <v>1150</v>
      </c>
      <c r="AJ95" s="81"/>
      <c r="AK95" s="89" t="s">
        <v>1149</v>
      </c>
      <c r="AL95" s="81" t="b">
        <v>0</v>
      </c>
      <c r="AM95" s="81">
        <v>0</v>
      </c>
      <c r="AN95" s="89" t="s">
        <v>1149</v>
      </c>
      <c r="AO95" s="81" t="s">
        <v>1176</v>
      </c>
      <c r="AP95" s="81" t="b">
        <v>0</v>
      </c>
      <c r="AQ95" s="89" t="s">
        <v>989</v>
      </c>
      <c r="AR95" s="81" t="s">
        <v>325</v>
      </c>
      <c r="AS95" s="81">
        <v>0</v>
      </c>
      <c r="AT95" s="81">
        <v>0</v>
      </c>
      <c r="AU95" s="81"/>
      <c r="AV95" s="81"/>
      <c r="AW95" s="81"/>
      <c r="AX95" s="81"/>
      <c r="AY95" s="81"/>
      <c r="AZ95" s="81"/>
      <c r="BA95" s="81"/>
      <c r="BB95" s="81"/>
      <c r="BC95">
        <v>1</v>
      </c>
      <c r="BD95" s="80" t="str">
        <f>REPLACE(INDEX(GroupVertices[Group],MATCH(Edges[[#This Row],[Vertex 1]],GroupVertices[Vertex],0)),1,1,"")</f>
        <v>3</v>
      </c>
      <c r="BE95" s="80" t="str">
        <f>REPLACE(INDEX(GroupVertices[Group],MATCH(Edges[[#This Row],[Vertex 2]],GroupVertices[Vertex],0)),1,1,"")</f>
        <v>3</v>
      </c>
      <c r="BF95" s="48"/>
      <c r="BG95" s="49"/>
      <c r="BH95" s="48"/>
      <c r="BI95" s="49"/>
      <c r="BJ95" s="48"/>
      <c r="BK95" s="49"/>
      <c r="BL95" s="48"/>
      <c r="BM95" s="49"/>
      <c r="BN95" s="48"/>
    </row>
    <row r="96" spans="1:66" ht="15">
      <c r="A96" s="66" t="s">
        <v>413</v>
      </c>
      <c r="B96" s="66" t="s">
        <v>527</v>
      </c>
      <c r="C96" s="67" t="s">
        <v>3149</v>
      </c>
      <c r="D96" s="68">
        <v>4</v>
      </c>
      <c r="E96" s="69" t="s">
        <v>132</v>
      </c>
      <c r="F96" s="70">
        <v>30</v>
      </c>
      <c r="G96" s="67"/>
      <c r="H96" s="71"/>
      <c r="I96" s="72"/>
      <c r="J96" s="72"/>
      <c r="K96" s="34" t="s">
        <v>65</v>
      </c>
      <c r="L96" s="79">
        <v>96</v>
      </c>
      <c r="M96" s="79"/>
      <c r="N96" s="74"/>
      <c r="O96" s="81" t="s">
        <v>587</v>
      </c>
      <c r="P96" s="83">
        <v>44004.694131944445</v>
      </c>
      <c r="Q96" s="81" t="s">
        <v>606</v>
      </c>
      <c r="R96" s="84" t="str">
        <f>HYPERLINK("https://interactive.aljazeera.com/aje/2020/saving-the-nile/index.html")</f>
        <v>https://interactive.aljazeera.com/aje/2020/saving-the-nile/index.html</v>
      </c>
      <c r="S96" s="81" t="s">
        <v>678</v>
      </c>
      <c r="T96" s="81" t="s">
        <v>703</v>
      </c>
      <c r="U96" s="81"/>
      <c r="V96" s="84" t="str">
        <f>HYPERLINK("http://pbs.twimg.com/profile_images/1259946967242870786/VBIslPot_normal.jpg")</f>
        <v>http://pbs.twimg.com/profile_images/1259946967242870786/VBIslPot_normal.jpg</v>
      </c>
      <c r="W96" s="83">
        <v>44004.694131944445</v>
      </c>
      <c r="X96" s="87">
        <v>44004</v>
      </c>
      <c r="Y96" s="89" t="s">
        <v>780</v>
      </c>
      <c r="Z96" s="84" t="str">
        <f>HYPERLINK("https://twitter.com/mo_shamah/status/1275106161944117253")</f>
        <v>https://twitter.com/mo_shamah/status/1275106161944117253</v>
      </c>
      <c r="AA96" s="81"/>
      <c r="AB96" s="81"/>
      <c r="AC96" s="89" t="s">
        <v>989</v>
      </c>
      <c r="AD96" s="81"/>
      <c r="AE96" s="81" t="b">
        <v>0</v>
      </c>
      <c r="AF96" s="81">
        <v>0</v>
      </c>
      <c r="AG96" s="89" t="s">
        <v>1149</v>
      </c>
      <c r="AH96" s="81" t="b">
        <v>0</v>
      </c>
      <c r="AI96" s="81" t="s">
        <v>1150</v>
      </c>
      <c r="AJ96" s="81"/>
      <c r="AK96" s="89" t="s">
        <v>1149</v>
      </c>
      <c r="AL96" s="81" t="b">
        <v>0</v>
      </c>
      <c r="AM96" s="81">
        <v>0</v>
      </c>
      <c r="AN96" s="89" t="s">
        <v>1149</v>
      </c>
      <c r="AO96" s="81" t="s">
        <v>1176</v>
      </c>
      <c r="AP96" s="81" t="b">
        <v>0</v>
      </c>
      <c r="AQ96" s="89" t="s">
        <v>989</v>
      </c>
      <c r="AR96" s="81" t="s">
        <v>325</v>
      </c>
      <c r="AS96" s="81">
        <v>0</v>
      </c>
      <c r="AT96" s="81">
        <v>0</v>
      </c>
      <c r="AU96" s="81"/>
      <c r="AV96" s="81"/>
      <c r="AW96" s="81"/>
      <c r="AX96" s="81"/>
      <c r="AY96" s="81"/>
      <c r="AZ96" s="81"/>
      <c r="BA96" s="81"/>
      <c r="BB96" s="81"/>
      <c r="BC96">
        <v>1</v>
      </c>
      <c r="BD96" s="80" t="str">
        <f>REPLACE(INDEX(GroupVertices[Group],MATCH(Edges[[#This Row],[Vertex 1]],GroupVertices[Vertex],0)),1,1,"")</f>
        <v>3</v>
      </c>
      <c r="BE96" s="80" t="str">
        <f>REPLACE(INDEX(GroupVertices[Group],MATCH(Edges[[#This Row],[Vertex 2]],GroupVertices[Vertex],0)),1,1,"")</f>
        <v>3</v>
      </c>
      <c r="BF96" s="48">
        <v>1</v>
      </c>
      <c r="BG96" s="49">
        <v>5.2631578947368425</v>
      </c>
      <c r="BH96" s="48">
        <v>0</v>
      </c>
      <c r="BI96" s="49">
        <v>0</v>
      </c>
      <c r="BJ96" s="48">
        <v>0</v>
      </c>
      <c r="BK96" s="49">
        <v>0</v>
      </c>
      <c r="BL96" s="48">
        <v>18</v>
      </c>
      <c r="BM96" s="49">
        <v>94.73684210526316</v>
      </c>
      <c r="BN96" s="48">
        <v>19</v>
      </c>
    </row>
    <row r="97" spans="1:66" ht="15">
      <c r="A97" s="66" t="s">
        <v>414</v>
      </c>
      <c r="B97" s="66" t="s">
        <v>531</v>
      </c>
      <c r="C97" s="67" t="s">
        <v>3149</v>
      </c>
      <c r="D97" s="68">
        <v>4</v>
      </c>
      <c r="E97" s="69" t="s">
        <v>132</v>
      </c>
      <c r="F97" s="70">
        <v>30</v>
      </c>
      <c r="G97" s="67"/>
      <c r="H97" s="71"/>
      <c r="I97" s="72"/>
      <c r="J97" s="72"/>
      <c r="K97" s="34" t="s">
        <v>65</v>
      </c>
      <c r="L97" s="79">
        <v>97</v>
      </c>
      <c r="M97" s="79"/>
      <c r="N97" s="74"/>
      <c r="O97" s="81" t="s">
        <v>588</v>
      </c>
      <c r="P97" s="83">
        <v>44004.708020833335</v>
      </c>
      <c r="Q97" s="81" t="s">
        <v>605</v>
      </c>
      <c r="R97" s="81"/>
      <c r="S97" s="81"/>
      <c r="T97" s="81"/>
      <c r="U97" s="81"/>
      <c r="V97" s="84" t="str">
        <f>HYPERLINK("http://pbs.twimg.com/profile_images/1275099031748952072/_X1v6SKX_normal.jpg")</f>
        <v>http://pbs.twimg.com/profile_images/1275099031748952072/_X1v6SKX_normal.jpg</v>
      </c>
      <c r="W97" s="83">
        <v>44004.708020833335</v>
      </c>
      <c r="X97" s="87">
        <v>44004</v>
      </c>
      <c r="Y97" s="89" t="s">
        <v>781</v>
      </c>
      <c r="Z97" s="84" t="str">
        <f>HYPERLINK("https://twitter.com/psychingitout/status/1275111192604872704")</f>
        <v>https://twitter.com/psychingitout/status/1275111192604872704</v>
      </c>
      <c r="AA97" s="81"/>
      <c r="AB97" s="81"/>
      <c r="AC97" s="89" t="s">
        <v>990</v>
      </c>
      <c r="AD97" s="81"/>
      <c r="AE97" s="81" t="b">
        <v>0</v>
      </c>
      <c r="AF97" s="81">
        <v>0</v>
      </c>
      <c r="AG97" s="89" t="s">
        <v>1149</v>
      </c>
      <c r="AH97" s="81" t="b">
        <v>0</v>
      </c>
      <c r="AI97" s="81" t="s">
        <v>1150</v>
      </c>
      <c r="AJ97" s="81"/>
      <c r="AK97" s="89" t="s">
        <v>1149</v>
      </c>
      <c r="AL97" s="81" t="b">
        <v>0</v>
      </c>
      <c r="AM97" s="81">
        <v>5</v>
      </c>
      <c r="AN97" s="89" t="s">
        <v>994</v>
      </c>
      <c r="AO97" s="81" t="s">
        <v>1176</v>
      </c>
      <c r="AP97" s="81" t="b">
        <v>0</v>
      </c>
      <c r="AQ97" s="89" t="s">
        <v>994</v>
      </c>
      <c r="AR97" s="81" t="s">
        <v>325</v>
      </c>
      <c r="AS97" s="81">
        <v>0</v>
      </c>
      <c r="AT97" s="81">
        <v>0</v>
      </c>
      <c r="AU97" s="81"/>
      <c r="AV97" s="81"/>
      <c r="AW97" s="81"/>
      <c r="AX97" s="81"/>
      <c r="AY97" s="81"/>
      <c r="AZ97" s="81"/>
      <c r="BA97" s="81"/>
      <c r="BB97" s="81"/>
      <c r="BC97">
        <v>1</v>
      </c>
      <c r="BD97" s="80" t="str">
        <f>REPLACE(INDEX(GroupVertices[Group],MATCH(Edges[[#This Row],[Vertex 1]],GroupVertices[Vertex],0)),1,1,"")</f>
        <v>7</v>
      </c>
      <c r="BE97" s="80" t="str">
        <f>REPLACE(INDEX(GroupVertices[Group],MATCH(Edges[[#This Row],[Vertex 2]],GroupVertices[Vertex],0)),1,1,"")</f>
        <v>7</v>
      </c>
      <c r="BF97" s="48"/>
      <c r="BG97" s="49"/>
      <c r="BH97" s="48"/>
      <c r="BI97" s="49"/>
      <c r="BJ97" s="48"/>
      <c r="BK97" s="49"/>
      <c r="BL97" s="48"/>
      <c r="BM97" s="49"/>
      <c r="BN97" s="48"/>
    </row>
    <row r="98" spans="1:66" ht="15">
      <c r="A98" s="66" t="s">
        <v>414</v>
      </c>
      <c r="B98" s="66" t="s">
        <v>532</v>
      </c>
      <c r="C98" s="67" t="s">
        <v>3149</v>
      </c>
      <c r="D98" s="68">
        <v>4</v>
      </c>
      <c r="E98" s="69" t="s">
        <v>132</v>
      </c>
      <c r="F98" s="70">
        <v>30</v>
      </c>
      <c r="G98" s="67"/>
      <c r="H98" s="71"/>
      <c r="I98" s="72"/>
      <c r="J98" s="72"/>
      <c r="K98" s="34" t="s">
        <v>65</v>
      </c>
      <c r="L98" s="79">
        <v>98</v>
      </c>
      <c r="M98" s="79"/>
      <c r="N98" s="74"/>
      <c r="O98" s="81" t="s">
        <v>588</v>
      </c>
      <c r="P98" s="83">
        <v>44004.708020833335</v>
      </c>
      <c r="Q98" s="81" t="s">
        <v>605</v>
      </c>
      <c r="R98" s="81"/>
      <c r="S98" s="81"/>
      <c r="T98" s="81"/>
      <c r="U98" s="81"/>
      <c r="V98" s="84" t="str">
        <f>HYPERLINK("http://pbs.twimg.com/profile_images/1275099031748952072/_X1v6SKX_normal.jpg")</f>
        <v>http://pbs.twimg.com/profile_images/1275099031748952072/_X1v6SKX_normal.jpg</v>
      </c>
      <c r="W98" s="83">
        <v>44004.708020833335</v>
      </c>
      <c r="X98" s="87">
        <v>44004</v>
      </c>
      <c r="Y98" s="89" t="s">
        <v>781</v>
      </c>
      <c r="Z98" s="84" t="str">
        <f>HYPERLINK("https://twitter.com/psychingitout/status/1275111192604872704")</f>
        <v>https://twitter.com/psychingitout/status/1275111192604872704</v>
      </c>
      <c r="AA98" s="81"/>
      <c r="AB98" s="81"/>
      <c r="AC98" s="89" t="s">
        <v>990</v>
      </c>
      <c r="AD98" s="81"/>
      <c r="AE98" s="81" t="b">
        <v>0</v>
      </c>
      <c r="AF98" s="81">
        <v>0</v>
      </c>
      <c r="AG98" s="89" t="s">
        <v>1149</v>
      </c>
      <c r="AH98" s="81" t="b">
        <v>0</v>
      </c>
      <c r="AI98" s="81" t="s">
        <v>1150</v>
      </c>
      <c r="AJ98" s="81"/>
      <c r="AK98" s="89" t="s">
        <v>1149</v>
      </c>
      <c r="AL98" s="81" t="b">
        <v>0</v>
      </c>
      <c r="AM98" s="81">
        <v>5</v>
      </c>
      <c r="AN98" s="89" t="s">
        <v>994</v>
      </c>
      <c r="AO98" s="81" t="s">
        <v>1176</v>
      </c>
      <c r="AP98" s="81" t="b">
        <v>0</v>
      </c>
      <c r="AQ98" s="89" t="s">
        <v>994</v>
      </c>
      <c r="AR98" s="81" t="s">
        <v>325</v>
      </c>
      <c r="AS98" s="81">
        <v>0</v>
      </c>
      <c r="AT98" s="81">
        <v>0</v>
      </c>
      <c r="AU98" s="81"/>
      <c r="AV98" s="81"/>
      <c r="AW98" s="81"/>
      <c r="AX98" s="81"/>
      <c r="AY98" s="81"/>
      <c r="AZ98" s="81"/>
      <c r="BA98" s="81"/>
      <c r="BB98" s="81"/>
      <c r="BC98">
        <v>1</v>
      </c>
      <c r="BD98" s="80" t="str">
        <f>REPLACE(INDEX(GroupVertices[Group],MATCH(Edges[[#This Row],[Vertex 1]],GroupVertices[Vertex],0)),1,1,"")</f>
        <v>7</v>
      </c>
      <c r="BE98" s="80" t="str">
        <f>REPLACE(INDEX(GroupVertices[Group],MATCH(Edges[[#This Row],[Vertex 2]],GroupVertices[Vertex],0)),1,1,"")</f>
        <v>7</v>
      </c>
      <c r="BF98" s="48"/>
      <c r="BG98" s="49"/>
      <c r="BH98" s="48"/>
      <c r="BI98" s="49"/>
      <c r="BJ98" s="48"/>
      <c r="BK98" s="49"/>
      <c r="BL98" s="48"/>
      <c r="BM98" s="49"/>
      <c r="BN98" s="48"/>
    </row>
    <row r="99" spans="1:66" ht="15">
      <c r="A99" s="66" t="s">
        <v>414</v>
      </c>
      <c r="B99" s="66" t="s">
        <v>418</v>
      </c>
      <c r="C99" s="67" t="s">
        <v>3149</v>
      </c>
      <c r="D99" s="68">
        <v>4</v>
      </c>
      <c r="E99" s="69" t="s">
        <v>132</v>
      </c>
      <c r="F99" s="70">
        <v>30</v>
      </c>
      <c r="G99" s="67"/>
      <c r="H99" s="71"/>
      <c r="I99" s="72"/>
      <c r="J99" s="72"/>
      <c r="K99" s="34" t="s">
        <v>65</v>
      </c>
      <c r="L99" s="79">
        <v>99</v>
      </c>
      <c r="M99" s="79"/>
      <c r="N99" s="74"/>
      <c r="O99" s="81" t="s">
        <v>586</v>
      </c>
      <c r="P99" s="83">
        <v>44004.708020833335</v>
      </c>
      <c r="Q99" s="81" t="s">
        <v>605</v>
      </c>
      <c r="R99" s="81"/>
      <c r="S99" s="81"/>
      <c r="T99" s="81"/>
      <c r="U99" s="81"/>
      <c r="V99" s="84" t="str">
        <f>HYPERLINK("http://pbs.twimg.com/profile_images/1275099031748952072/_X1v6SKX_normal.jpg")</f>
        <v>http://pbs.twimg.com/profile_images/1275099031748952072/_X1v6SKX_normal.jpg</v>
      </c>
      <c r="W99" s="83">
        <v>44004.708020833335</v>
      </c>
      <c r="X99" s="87">
        <v>44004</v>
      </c>
      <c r="Y99" s="89" t="s">
        <v>781</v>
      </c>
      <c r="Z99" s="84" t="str">
        <f>HYPERLINK("https://twitter.com/psychingitout/status/1275111192604872704")</f>
        <v>https://twitter.com/psychingitout/status/1275111192604872704</v>
      </c>
      <c r="AA99" s="81"/>
      <c r="AB99" s="81"/>
      <c r="AC99" s="89" t="s">
        <v>990</v>
      </c>
      <c r="AD99" s="81"/>
      <c r="AE99" s="81" t="b">
        <v>0</v>
      </c>
      <c r="AF99" s="81">
        <v>0</v>
      </c>
      <c r="AG99" s="89" t="s">
        <v>1149</v>
      </c>
      <c r="AH99" s="81" t="b">
        <v>0</v>
      </c>
      <c r="AI99" s="81" t="s">
        <v>1150</v>
      </c>
      <c r="AJ99" s="81"/>
      <c r="AK99" s="89" t="s">
        <v>1149</v>
      </c>
      <c r="AL99" s="81" t="b">
        <v>0</v>
      </c>
      <c r="AM99" s="81">
        <v>5</v>
      </c>
      <c r="AN99" s="89" t="s">
        <v>994</v>
      </c>
      <c r="AO99" s="81" t="s">
        <v>1176</v>
      </c>
      <c r="AP99" s="81" t="b">
        <v>0</v>
      </c>
      <c r="AQ99" s="89" t="s">
        <v>994</v>
      </c>
      <c r="AR99" s="81" t="s">
        <v>325</v>
      </c>
      <c r="AS99" s="81">
        <v>0</v>
      </c>
      <c r="AT99" s="81">
        <v>0</v>
      </c>
      <c r="AU99" s="81"/>
      <c r="AV99" s="81"/>
      <c r="AW99" s="81"/>
      <c r="AX99" s="81"/>
      <c r="AY99" s="81"/>
      <c r="AZ99" s="81"/>
      <c r="BA99" s="81"/>
      <c r="BB99" s="81"/>
      <c r="BC99">
        <v>1</v>
      </c>
      <c r="BD99" s="80" t="str">
        <f>REPLACE(INDEX(GroupVertices[Group],MATCH(Edges[[#This Row],[Vertex 1]],GroupVertices[Vertex],0)),1,1,"")</f>
        <v>7</v>
      </c>
      <c r="BE99" s="80" t="str">
        <f>REPLACE(INDEX(GroupVertices[Group],MATCH(Edges[[#This Row],[Vertex 2]],GroupVertices[Vertex],0)),1,1,"")</f>
        <v>7</v>
      </c>
      <c r="BF99" s="48">
        <v>2</v>
      </c>
      <c r="BG99" s="49">
        <v>5.2631578947368425</v>
      </c>
      <c r="BH99" s="48">
        <v>1</v>
      </c>
      <c r="BI99" s="49">
        <v>2.6315789473684212</v>
      </c>
      <c r="BJ99" s="48">
        <v>0</v>
      </c>
      <c r="BK99" s="49">
        <v>0</v>
      </c>
      <c r="BL99" s="48">
        <v>35</v>
      </c>
      <c r="BM99" s="49">
        <v>92.10526315789474</v>
      </c>
      <c r="BN99" s="48">
        <v>38</v>
      </c>
    </row>
    <row r="100" spans="1:66" ht="15">
      <c r="A100" s="66" t="s">
        <v>415</v>
      </c>
      <c r="B100" s="66" t="s">
        <v>526</v>
      </c>
      <c r="C100" s="67" t="s">
        <v>3149</v>
      </c>
      <c r="D100" s="68">
        <v>4</v>
      </c>
      <c r="E100" s="69" t="s">
        <v>132</v>
      </c>
      <c r="F100" s="70">
        <v>30</v>
      </c>
      <c r="G100" s="67"/>
      <c r="H100" s="71"/>
      <c r="I100" s="72"/>
      <c r="J100" s="72"/>
      <c r="K100" s="34" t="s">
        <v>65</v>
      </c>
      <c r="L100" s="79">
        <v>100</v>
      </c>
      <c r="M100" s="79"/>
      <c r="N100" s="74"/>
      <c r="O100" s="81" t="s">
        <v>587</v>
      </c>
      <c r="P100" s="83">
        <v>44004.70898148148</v>
      </c>
      <c r="Q100" s="81" t="s">
        <v>607</v>
      </c>
      <c r="R100" s="84" t="str">
        <f>HYPERLINK("https://interactive.aljazeera.com/aje/2020/saving-the-nile/index.html")</f>
        <v>https://interactive.aljazeera.com/aje/2020/saving-the-nile/index.html</v>
      </c>
      <c r="S100" s="81" t="s">
        <v>678</v>
      </c>
      <c r="T100" s="81" t="s">
        <v>703</v>
      </c>
      <c r="U100" s="81"/>
      <c r="V100" s="84" t="str">
        <f>HYPERLINK("http://pbs.twimg.com/profile_images/1171365730362769409/_spJA1T7_normal.jpg")</f>
        <v>http://pbs.twimg.com/profile_images/1171365730362769409/_spJA1T7_normal.jpg</v>
      </c>
      <c r="W100" s="83">
        <v>44004.70898148148</v>
      </c>
      <c r="X100" s="87">
        <v>44004</v>
      </c>
      <c r="Y100" s="89" t="s">
        <v>782</v>
      </c>
      <c r="Z100" s="84" t="str">
        <f>HYPERLINK("https://twitter.com/missg_dhsgeog/status/1275111539520012293")</f>
        <v>https://twitter.com/missg_dhsgeog/status/1275111539520012293</v>
      </c>
      <c r="AA100" s="81"/>
      <c r="AB100" s="81"/>
      <c r="AC100" s="89" t="s">
        <v>991</v>
      </c>
      <c r="AD100" s="81"/>
      <c r="AE100" s="81" t="b">
        <v>0</v>
      </c>
      <c r="AF100" s="81">
        <v>0</v>
      </c>
      <c r="AG100" s="89" t="s">
        <v>1149</v>
      </c>
      <c r="AH100" s="81" t="b">
        <v>0</v>
      </c>
      <c r="AI100" s="81" t="s">
        <v>1150</v>
      </c>
      <c r="AJ100" s="81"/>
      <c r="AK100" s="89" t="s">
        <v>1149</v>
      </c>
      <c r="AL100" s="81" t="b">
        <v>0</v>
      </c>
      <c r="AM100" s="81">
        <v>0</v>
      </c>
      <c r="AN100" s="89" t="s">
        <v>1149</v>
      </c>
      <c r="AO100" s="81" t="s">
        <v>1165</v>
      </c>
      <c r="AP100" s="81" t="b">
        <v>0</v>
      </c>
      <c r="AQ100" s="89" t="s">
        <v>991</v>
      </c>
      <c r="AR100" s="81" t="s">
        <v>325</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8"/>
      <c r="BG100" s="49"/>
      <c r="BH100" s="48"/>
      <c r="BI100" s="49"/>
      <c r="BJ100" s="48"/>
      <c r="BK100" s="49"/>
      <c r="BL100" s="48"/>
      <c r="BM100" s="49"/>
      <c r="BN100" s="48"/>
    </row>
    <row r="101" spans="1:66" ht="15">
      <c r="A101" s="66" t="s">
        <v>415</v>
      </c>
      <c r="B101" s="66" t="s">
        <v>527</v>
      </c>
      <c r="C101" s="67" t="s">
        <v>3149</v>
      </c>
      <c r="D101" s="68">
        <v>4</v>
      </c>
      <c r="E101" s="69" t="s">
        <v>132</v>
      </c>
      <c r="F101" s="70">
        <v>30</v>
      </c>
      <c r="G101" s="67"/>
      <c r="H101" s="71"/>
      <c r="I101" s="72"/>
      <c r="J101" s="72"/>
      <c r="K101" s="34" t="s">
        <v>65</v>
      </c>
      <c r="L101" s="79">
        <v>101</v>
      </c>
      <c r="M101" s="79"/>
      <c r="N101" s="74"/>
      <c r="O101" s="81" t="s">
        <v>587</v>
      </c>
      <c r="P101" s="83">
        <v>44004.70898148148</v>
      </c>
      <c r="Q101" s="81" t="s">
        <v>607</v>
      </c>
      <c r="R101" s="84" t="str">
        <f>HYPERLINK("https://interactive.aljazeera.com/aje/2020/saving-the-nile/index.html")</f>
        <v>https://interactive.aljazeera.com/aje/2020/saving-the-nile/index.html</v>
      </c>
      <c r="S101" s="81" t="s">
        <v>678</v>
      </c>
      <c r="T101" s="81" t="s">
        <v>703</v>
      </c>
      <c r="U101" s="81"/>
      <c r="V101" s="84" t="str">
        <f>HYPERLINK("http://pbs.twimg.com/profile_images/1171365730362769409/_spJA1T7_normal.jpg")</f>
        <v>http://pbs.twimg.com/profile_images/1171365730362769409/_spJA1T7_normal.jpg</v>
      </c>
      <c r="W101" s="83">
        <v>44004.70898148148</v>
      </c>
      <c r="X101" s="87">
        <v>44004</v>
      </c>
      <c r="Y101" s="89" t="s">
        <v>782</v>
      </c>
      <c r="Z101" s="84" t="str">
        <f>HYPERLINK("https://twitter.com/missg_dhsgeog/status/1275111539520012293")</f>
        <v>https://twitter.com/missg_dhsgeog/status/1275111539520012293</v>
      </c>
      <c r="AA101" s="81"/>
      <c r="AB101" s="81"/>
      <c r="AC101" s="89" t="s">
        <v>991</v>
      </c>
      <c r="AD101" s="81"/>
      <c r="AE101" s="81" t="b">
        <v>0</v>
      </c>
      <c r="AF101" s="81">
        <v>0</v>
      </c>
      <c r="AG101" s="89" t="s">
        <v>1149</v>
      </c>
      <c r="AH101" s="81" t="b">
        <v>0</v>
      </c>
      <c r="AI101" s="81" t="s">
        <v>1150</v>
      </c>
      <c r="AJ101" s="81"/>
      <c r="AK101" s="89" t="s">
        <v>1149</v>
      </c>
      <c r="AL101" s="81" t="b">
        <v>0</v>
      </c>
      <c r="AM101" s="81">
        <v>0</v>
      </c>
      <c r="AN101" s="89" t="s">
        <v>1149</v>
      </c>
      <c r="AO101" s="81" t="s">
        <v>1165</v>
      </c>
      <c r="AP101" s="81" t="b">
        <v>0</v>
      </c>
      <c r="AQ101" s="89" t="s">
        <v>991</v>
      </c>
      <c r="AR101" s="81" t="s">
        <v>325</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8">
        <v>1</v>
      </c>
      <c r="BG101" s="49">
        <v>5.2631578947368425</v>
      </c>
      <c r="BH101" s="48">
        <v>0</v>
      </c>
      <c r="BI101" s="49">
        <v>0</v>
      </c>
      <c r="BJ101" s="48">
        <v>0</v>
      </c>
      <c r="BK101" s="49">
        <v>0</v>
      </c>
      <c r="BL101" s="48">
        <v>18</v>
      </c>
      <c r="BM101" s="49">
        <v>94.73684210526316</v>
      </c>
      <c r="BN101" s="48">
        <v>19</v>
      </c>
    </row>
    <row r="102" spans="1:66" ht="15">
      <c r="A102" s="66" t="s">
        <v>416</v>
      </c>
      <c r="B102" s="66" t="s">
        <v>531</v>
      </c>
      <c r="C102" s="67" t="s">
        <v>3149</v>
      </c>
      <c r="D102" s="68">
        <v>4</v>
      </c>
      <c r="E102" s="69" t="s">
        <v>132</v>
      </c>
      <c r="F102" s="70">
        <v>30</v>
      </c>
      <c r="G102" s="67"/>
      <c r="H102" s="71"/>
      <c r="I102" s="72"/>
      <c r="J102" s="72"/>
      <c r="K102" s="34" t="s">
        <v>65</v>
      </c>
      <c r="L102" s="79">
        <v>102</v>
      </c>
      <c r="M102" s="79"/>
      <c r="N102" s="74"/>
      <c r="O102" s="81" t="s">
        <v>588</v>
      </c>
      <c r="P102" s="83">
        <v>44004.71512731481</v>
      </c>
      <c r="Q102" s="81" t="s">
        <v>605</v>
      </c>
      <c r="R102" s="81"/>
      <c r="S102" s="81"/>
      <c r="T102" s="81"/>
      <c r="U102" s="81"/>
      <c r="V102" s="84" t="str">
        <f>HYPERLINK("http://pbs.twimg.com/profile_images/747158769671475200/w4M2qo_t_normal.jpg")</f>
        <v>http://pbs.twimg.com/profile_images/747158769671475200/w4M2qo_t_normal.jpg</v>
      </c>
      <c r="W102" s="83">
        <v>44004.71512731481</v>
      </c>
      <c r="X102" s="87">
        <v>44004</v>
      </c>
      <c r="Y102" s="89" t="s">
        <v>783</v>
      </c>
      <c r="Z102" s="84" t="str">
        <f>HYPERLINK("https://twitter.com/oscwilliams/status/1275113767429459969")</f>
        <v>https://twitter.com/oscwilliams/status/1275113767429459969</v>
      </c>
      <c r="AA102" s="81"/>
      <c r="AB102" s="81"/>
      <c r="AC102" s="89" t="s">
        <v>992</v>
      </c>
      <c r="AD102" s="81"/>
      <c r="AE102" s="81" t="b">
        <v>0</v>
      </c>
      <c r="AF102" s="81">
        <v>0</v>
      </c>
      <c r="AG102" s="89" t="s">
        <v>1149</v>
      </c>
      <c r="AH102" s="81" t="b">
        <v>0</v>
      </c>
      <c r="AI102" s="81" t="s">
        <v>1150</v>
      </c>
      <c r="AJ102" s="81"/>
      <c r="AK102" s="89" t="s">
        <v>1149</v>
      </c>
      <c r="AL102" s="81" t="b">
        <v>0</v>
      </c>
      <c r="AM102" s="81">
        <v>5</v>
      </c>
      <c r="AN102" s="89" t="s">
        <v>994</v>
      </c>
      <c r="AO102" s="81" t="s">
        <v>1165</v>
      </c>
      <c r="AP102" s="81" t="b">
        <v>0</v>
      </c>
      <c r="AQ102" s="89" t="s">
        <v>994</v>
      </c>
      <c r="AR102" s="81" t="s">
        <v>325</v>
      </c>
      <c r="AS102" s="81">
        <v>0</v>
      </c>
      <c r="AT102" s="81">
        <v>0</v>
      </c>
      <c r="AU102" s="81"/>
      <c r="AV102" s="81"/>
      <c r="AW102" s="81"/>
      <c r="AX102" s="81"/>
      <c r="AY102" s="81"/>
      <c r="AZ102" s="81"/>
      <c r="BA102" s="81"/>
      <c r="BB102" s="81"/>
      <c r="BC102">
        <v>1</v>
      </c>
      <c r="BD102" s="80" t="str">
        <f>REPLACE(INDEX(GroupVertices[Group],MATCH(Edges[[#This Row],[Vertex 1]],GroupVertices[Vertex],0)),1,1,"")</f>
        <v>7</v>
      </c>
      <c r="BE102" s="80" t="str">
        <f>REPLACE(INDEX(GroupVertices[Group],MATCH(Edges[[#This Row],[Vertex 2]],GroupVertices[Vertex],0)),1,1,"")</f>
        <v>7</v>
      </c>
      <c r="BF102" s="48"/>
      <c r="BG102" s="49"/>
      <c r="BH102" s="48"/>
      <c r="BI102" s="49"/>
      <c r="BJ102" s="48"/>
      <c r="BK102" s="49"/>
      <c r="BL102" s="48"/>
      <c r="BM102" s="49"/>
      <c r="BN102" s="48"/>
    </row>
    <row r="103" spans="1:66" ht="15">
      <c r="A103" s="66" t="s">
        <v>416</v>
      </c>
      <c r="B103" s="66" t="s">
        <v>532</v>
      </c>
      <c r="C103" s="67" t="s">
        <v>3149</v>
      </c>
      <c r="D103" s="68">
        <v>4</v>
      </c>
      <c r="E103" s="69" t="s">
        <v>132</v>
      </c>
      <c r="F103" s="70">
        <v>30</v>
      </c>
      <c r="G103" s="67"/>
      <c r="H103" s="71"/>
      <c r="I103" s="72"/>
      <c r="J103" s="72"/>
      <c r="K103" s="34" t="s">
        <v>65</v>
      </c>
      <c r="L103" s="79">
        <v>103</v>
      </c>
      <c r="M103" s="79"/>
      <c r="N103" s="74"/>
      <c r="O103" s="81" t="s">
        <v>588</v>
      </c>
      <c r="P103" s="83">
        <v>44004.71512731481</v>
      </c>
      <c r="Q103" s="81" t="s">
        <v>605</v>
      </c>
      <c r="R103" s="81"/>
      <c r="S103" s="81"/>
      <c r="T103" s="81"/>
      <c r="U103" s="81"/>
      <c r="V103" s="84" t="str">
        <f>HYPERLINK("http://pbs.twimg.com/profile_images/747158769671475200/w4M2qo_t_normal.jpg")</f>
        <v>http://pbs.twimg.com/profile_images/747158769671475200/w4M2qo_t_normal.jpg</v>
      </c>
      <c r="W103" s="83">
        <v>44004.71512731481</v>
      </c>
      <c r="X103" s="87">
        <v>44004</v>
      </c>
      <c r="Y103" s="89" t="s">
        <v>783</v>
      </c>
      <c r="Z103" s="84" t="str">
        <f>HYPERLINK("https://twitter.com/oscwilliams/status/1275113767429459969")</f>
        <v>https://twitter.com/oscwilliams/status/1275113767429459969</v>
      </c>
      <c r="AA103" s="81"/>
      <c r="AB103" s="81"/>
      <c r="AC103" s="89" t="s">
        <v>992</v>
      </c>
      <c r="AD103" s="81"/>
      <c r="AE103" s="81" t="b">
        <v>0</v>
      </c>
      <c r="AF103" s="81">
        <v>0</v>
      </c>
      <c r="AG103" s="89" t="s">
        <v>1149</v>
      </c>
      <c r="AH103" s="81" t="b">
        <v>0</v>
      </c>
      <c r="AI103" s="81" t="s">
        <v>1150</v>
      </c>
      <c r="AJ103" s="81"/>
      <c r="AK103" s="89" t="s">
        <v>1149</v>
      </c>
      <c r="AL103" s="81" t="b">
        <v>0</v>
      </c>
      <c r="AM103" s="81">
        <v>5</v>
      </c>
      <c r="AN103" s="89" t="s">
        <v>994</v>
      </c>
      <c r="AO103" s="81" t="s">
        <v>1165</v>
      </c>
      <c r="AP103" s="81" t="b">
        <v>0</v>
      </c>
      <c r="AQ103" s="89" t="s">
        <v>994</v>
      </c>
      <c r="AR103" s="81" t="s">
        <v>325</v>
      </c>
      <c r="AS103" s="81">
        <v>0</v>
      </c>
      <c r="AT103" s="81">
        <v>0</v>
      </c>
      <c r="AU103" s="81"/>
      <c r="AV103" s="81"/>
      <c r="AW103" s="81"/>
      <c r="AX103" s="81"/>
      <c r="AY103" s="81"/>
      <c r="AZ103" s="81"/>
      <c r="BA103" s="81"/>
      <c r="BB103" s="81"/>
      <c r="BC103">
        <v>1</v>
      </c>
      <c r="BD103" s="80" t="str">
        <f>REPLACE(INDEX(GroupVertices[Group],MATCH(Edges[[#This Row],[Vertex 1]],GroupVertices[Vertex],0)),1,1,"")</f>
        <v>7</v>
      </c>
      <c r="BE103" s="80" t="str">
        <f>REPLACE(INDEX(GroupVertices[Group],MATCH(Edges[[#This Row],[Vertex 2]],GroupVertices[Vertex],0)),1,1,"")</f>
        <v>7</v>
      </c>
      <c r="BF103" s="48"/>
      <c r="BG103" s="49"/>
      <c r="BH103" s="48"/>
      <c r="BI103" s="49"/>
      <c r="BJ103" s="48"/>
      <c r="BK103" s="49"/>
      <c r="BL103" s="48"/>
      <c r="BM103" s="49"/>
      <c r="BN103" s="48"/>
    </row>
    <row r="104" spans="1:66" ht="15">
      <c r="A104" s="66" t="s">
        <v>416</v>
      </c>
      <c r="B104" s="66" t="s">
        <v>418</v>
      </c>
      <c r="C104" s="67" t="s">
        <v>3149</v>
      </c>
      <c r="D104" s="68">
        <v>4</v>
      </c>
      <c r="E104" s="69" t="s">
        <v>132</v>
      </c>
      <c r="F104" s="70">
        <v>30</v>
      </c>
      <c r="G104" s="67"/>
      <c r="H104" s="71"/>
      <c r="I104" s="72"/>
      <c r="J104" s="72"/>
      <c r="K104" s="34" t="s">
        <v>65</v>
      </c>
      <c r="L104" s="79">
        <v>104</v>
      </c>
      <c r="M104" s="79"/>
      <c r="N104" s="74"/>
      <c r="O104" s="81" t="s">
        <v>586</v>
      </c>
      <c r="P104" s="83">
        <v>44004.71512731481</v>
      </c>
      <c r="Q104" s="81" t="s">
        <v>605</v>
      </c>
      <c r="R104" s="81"/>
      <c r="S104" s="81"/>
      <c r="T104" s="81"/>
      <c r="U104" s="81"/>
      <c r="V104" s="84" t="str">
        <f>HYPERLINK("http://pbs.twimg.com/profile_images/747158769671475200/w4M2qo_t_normal.jpg")</f>
        <v>http://pbs.twimg.com/profile_images/747158769671475200/w4M2qo_t_normal.jpg</v>
      </c>
      <c r="W104" s="83">
        <v>44004.71512731481</v>
      </c>
      <c r="X104" s="87">
        <v>44004</v>
      </c>
      <c r="Y104" s="89" t="s">
        <v>783</v>
      </c>
      <c r="Z104" s="84" t="str">
        <f>HYPERLINK("https://twitter.com/oscwilliams/status/1275113767429459969")</f>
        <v>https://twitter.com/oscwilliams/status/1275113767429459969</v>
      </c>
      <c r="AA104" s="81"/>
      <c r="AB104" s="81"/>
      <c r="AC104" s="89" t="s">
        <v>992</v>
      </c>
      <c r="AD104" s="81"/>
      <c r="AE104" s="81" t="b">
        <v>0</v>
      </c>
      <c r="AF104" s="81">
        <v>0</v>
      </c>
      <c r="AG104" s="89" t="s">
        <v>1149</v>
      </c>
      <c r="AH104" s="81" t="b">
        <v>0</v>
      </c>
      <c r="AI104" s="81" t="s">
        <v>1150</v>
      </c>
      <c r="AJ104" s="81"/>
      <c r="AK104" s="89" t="s">
        <v>1149</v>
      </c>
      <c r="AL104" s="81" t="b">
        <v>0</v>
      </c>
      <c r="AM104" s="81">
        <v>5</v>
      </c>
      <c r="AN104" s="89" t="s">
        <v>994</v>
      </c>
      <c r="AO104" s="81" t="s">
        <v>1165</v>
      </c>
      <c r="AP104" s="81" t="b">
        <v>0</v>
      </c>
      <c r="AQ104" s="89" t="s">
        <v>994</v>
      </c>
      <c r="AR104" s="81" t="s">
        <v>325</v>
      </c>
      <c r="AS104" s="81">
        <v>0</v>
      </c>
      <c r="AT104" s="81">
        <v>0</v>
      </c>
      <c r="AU104" s="81"/>
      <c r="AV104" s="81"/>
      <c r="AW104" s="81"/>
      <c r="AX104" s="81"/>
      <c r="AY104" s="81"/>
      <c r="AZ104" s="81"/>
      <c r="BA104" s="81"/>
      <c r="BB104" s="81"/>
      <c r="BC104">
        <v>1</v>
      </c>
      <c r="BD104" s="80" t="str">
        <f>REPLACE(INDEX(GroupVertices[Group],MATCH(Edges[[#This Row],[Vertex 1]],GroupVertices[Vertex],0)),1,1,"")</f>
        <v>7</v>
      </c>
      <c r="BE104" s="80" t="str">
        <f>REPLACE(INDEX(GroupVertices[Group],MATCH(Edges[[#This Row],[Vertex 2]],GroupVertices[Vertex],0)),1,1,"")</f>
        <v>7</v>
      </c>
      <c r="BF104" s="48">
        <v>2</v>
      </c>
      <c r="BG104" s="49">
        <v>5.2631578947368425</v>
      </c>
      <c r="BH104" s="48">
        <v>1</v>
      </c>
      <c r="BI104" s="49">
        <v>2.6315789473684212</v>
      </c>
      <c r="BJ104" s="48">
        <v>0</v>
      </c>
      <c r="BK104" s="49">
        <v>0</v>
      </c>
      <c r="BL104" s="48">
        <v>35</v>
      </c>
      <c r="BM104" s="49">
        <v>92.10526315789474</v>
      </c>
      <c r="BN104" s="48">
        <v>38</v>
      </c>
    </row>
    <row r="105" spans="1:66" ht="15">
      <c r="A105" s="66" t="s">
        <v>417</v>
      </c>
      <c r="B105" s="66" t="s">
        <v>531</v>
      </c>
      <c r="C105" s="67" t="s">
        <v>3149</v>
      </c>
      <c r="D105" s="68">
        <v>4</v>
      </c>
      <c r="E105" s="69" t="s">
        <v>132</v>
      </c>
      <c r="F105" s="70">
        <v>30</v>
      </c>
      <c r="G105" s="67"/>
      <c r="H105" s="71"/>
      <c r="I105" s="72"/>
      <c r="J105" s="72"/>
      <c r="K105" s="34" t="s">
        <v>65</v>
      </c>
      <c r="L105" s="79">
        <v>105</v>
      </c>
      <c r="M105" s="79"/>
      <c r="N105" s="74"/>
      <c r="O105" s="81" t="s">
        <v>588</v>
      </c>
      <c r="P105" s="83">
        <v>44004.71524305556</v>
      </c>
      <c r="Q105" s="81" t="s">
        <v>605</v>
      </c>
      <c r="R105" s="81"/>
      <c r="S105" s="81"/>
      <c r="T105" s="81"/>
      <c r="U105" s="81"/>
      <c r="V105" s="84" t="str">
        <f>HYPERLINK("http://pbs.twimg.com/profile_images/1172243646038577157/PeV0BOU1_normal.jpg")</f>
        <v>http://pbs.twimg.com/profile_images/1172243646038577157/PeV0BOU1_normal.jpg</v>
      </c>
      <c r="W105" s="83">
        <v>44004.71524305556</v>
      </c>
      <c r="X105" s="87">
        <v>44004</v>
      </c>
      <c r="Y105" s="89" t="s">
        <v>784</v>
      </c>
      <c r="Z105" s="84" t="str">
        <f>HYPERLINK("https://twitter.com/emilyctamkin/status/1275113808726495232")</f>
        <v>https://twitter.com/emilyctamkin/status/1275113808726495232</v>
      </c>
      <c r="AA105" s="81"/>
      <c r="AB105" s="81"/>
      <c r="AC105" s="89" t="s">
        <v>993</v>
      </c>
      <c r="AD105" s="81"/>
      <c r="AE105" s="81" t="b">
        <v>0</v>
      </c>
      <c r="AF105" s="81">
        <v>0</v>
      </c>
      <c r="AG105" s="89" t="s">
        <v>1149</v>
      </c>
      <c r="AH105" s="81" t="b">
        <v>0</v>
      </c>
      <c r="AI105" s="81" t="s">
        <v>1150</v>
      </c>
      <c r="AJ105" s="81"/>
      <c r="AK105" s="89" t="s">
        <v>1149</v>
      </c>
      <c r="AL105" s="81" t="b">
        <v>0</v>
      </c>
      <c r="AM105" s="81">
        <v>5</v>
      </c>
      <c r="AN105" s="89" t="s">
        <v>994</v>
      </c>
      <c r="AO105" s="81" t="s">
        <v>1172</v>
      </c>
      <c r="AP105" s="81" t="b">
        <v>0</v>
      </c>
      <c r="AQ105" s="89" t="s">
        <v>994</v>
      </c>
      <c r="AR105" s="81" t="s">
        <v>325</v>
      </c>
      <c r="AS105" s="81">
        <v>0</v>
      </c>
      <c r="AT105" s="81">
        <v>0</v>
      </c>
      <c r="AU105" s="81"/>
      <c r="AV105" s="81"/>
      <c r="AW105" s="81"/>
      <c r="AX105" s="81"/>
      <c r="AY105" s="81"/>
      <c r="AZ105" s="81"/>
      <c r="BA105" s="81"/>
      <c r="BB105" s="81"/>
      <c r="BC105">
        <v>1</v>
      </c>
      <c r="BD105" s="80" t="str">
        <f>REPLACE(INDEX(GroupVertices[Group],MATCH(Edges[[#This Row],[Vertex 1]],GroupVertices[Vertex],0)),1,1,"")</f>
        <v>7</v>
      </c>
      <c r="BE105" s="80" t="str">
        <f>REPLACE(INDEX(GroupVertices[Group],MATCH(Edges[[#This Row],[Vertex 2]],GroupVertices[Vertex],0)),1,1,"")</f>
        <v>7</v>
      </c>
      <c r="BF105" s="48"/>
      <c r="BG105" s="49"/>
      <c r="BH105" s="48"/>
      <c r="BI105" s="49"/>
      <c r="BJ105" s="48"/>
      <c r="BK105" s="49"/>
      <c r="BL105" s="48"/>
      <c r="BM105" s="49"/>
      <c r="BN105" s="48"/>
    </row>
    <row r="106" spans="1:66" ht="15">
      <c r="A106" s="66" t="s">
        <v>417</v>
      </c>
      <c r="B106" s="66" t="s">
        <v>532</v>
      </c>
      <c r="C106" s="67" t="s">
        <v>3149</v>
      </c>
      <c r="D106" s="68">
        <v>4</v>
      </c>
      <c r="E106" s="69" t="s">
        <v>132</v>
      </c>
      <c r="F106" s="70">
        <v>30</v>
      </c>
      <c r="G106" s="67"/>
      <c r="H106" s="71"/>
      <c r="I106" s="72"/>
      <c r="J106" s="72"/>
      <c r="K106" s="34" t="s">
        <v>65</v>
      </c>
      <c r="L106" s="79">
        <v>106</v>
      </c>
      <c r="M106" s="79"/>
      <c r="N106" s="74"/>
      <c r="O106" s="81" t="s">
        <v>588</v>
      </c>
      <c r="P106" s="83">
        <v>44004.71524305556</v>
      </c>
      <c r="Q106" s="81" t="s">
        <v>605</v>
      </c>
      <c r="R106" s="81"/>
      <c r="S106" s="81"/>
      <c r="T106" s="81"/>
      <c r="U106" s="81"/>
      <c r="V106" s="84" t="str">
        <f>HYPERLINK("http://pbs.twimg.com/profile_images/1172243646038577157/PeV0BOU1_normal.jpg")</f>
        <v>http://pbs.twimg.com/profile_images/1172243646038577157/PeV0BOU1_normal.jpg</v>
      </c>
      <c r="W106" s="83">
        <v>44004.71524305556</v>
      </c>
      <c r="X106" s="87">
        <v>44004</v>
      </c>
      <c r="Y106" s="89" t="s">
        <v>784</v>
      </c>
      <c r="Z106" s="84" t="str">
        <f>HYPERLINK("https://twitter.com/emilyctamkin/status/1275113808726495232")</f>
        <v>https://twitter.com/emilyctamkin/status/1275113808726495232</v>
      </c>
      <c r="AA106" s="81"/>
      <c r="AB106" s="81"/>
      <c r="AC106" s="89" t="s">
        <v>993</v>
      </c>
      <c r="AD106" s="81"/>
      <c r="AE106" s="81" t="b">
        <v>0</v>
      </c>
      <c r="AF106" s="81">
        <v>0</v>
      </c>
      <c r="AG106" s="89" t="s">
        <v>1149</v>
      </c>
      <c r="AH106" s="81" t="b">
        <v>0</v>
      </c>
      <c r="AI106" s="81" t="s">
        <v>1150</v>
      </c>
      <c r="AJ106" s="81"/>
      <c r="AK106" s="89" t="s">
        <v>1149</v>
      </c>
      <c r="AL106" s="81" t="b">
        <v>0</v>
      </c>
      <c r="AM106" s="81">
        <v>5</v>
      </c>
      <c r="AN106" s="89" t="s">
        <v>994</v>
      </c>
      <c r="AO106" s="81" t="s">
        <v>1172</v>
      </c>
      <c r="AP106" s="81" t="b">
        <v>0</v>
      </c>
      <c r="AQ106" s="89" t="s">
        <v>994</v>
      </c>
      <c r="AR106" s="81" t="s">
        <v>325</v>
      </c>
      <c r="AS106" s="81">
        <v>0</v>
      </c>
      <c r="AT106" s="81">
        <v>0</v>
      </c>
      <c r="AU106" s="81"/>
      <c r="AV106" s="81"/>
      <c r="AW106" s="81"/>
      <c r="AX106" s="81"/>
      <c r="AY106" s="81"/>
      <c r="AZ106" s="81"/>
      <c r="BA106" s="81"/>
      <c r="BB106" s="81"/>
      <c r="BC106">
        <v>1</v>
      </c>
      <c r="BD106" s="80" t="str">
        <f>REPLACE(INDEX(GroupVertices[Group],MATCH(Edges[[#This Row],[Vertex 1]],GroupVertices[Vertex],0)),1,1,"")</f>
        <v>7</v>
      </c>
      <c r="BE106" s="80" t="str">
        <f>REPLACE(INDEX(GroupVertices[Group],MATCH(Edges[[#This Row],[Vertex 2]],GroupVertices[Vertex],0)),1,1,"")</f>
        <v>7</v>
      </c>
      <c r="BF106" s="48"/>
      <c r="BG106" s="49"/>
      <c r="BH106" s="48"/>
      <c r="BI106" s="49"/>
      <c r="BJ106" s="48"/>
      <c r="BK106" s="49"/>
      <c r="BL106" s="48"/>
      <c r="BM106" s="49"/>
      <c r="BN106" s="48"/>
    </row>
    <row r="107" spans="1:66" ht="15">
      <c r="A107" s="66" t="s">
        <v>417</v>
      </c>
      <c r="B107" s="66" t="s">
        <v>418</v>
      </c>
      <c r="C107" s="67" t="s">
        <v>3149</v>
      </c>
      <c r="D107" s="68">
        <v>4</v>
      </c>
      <c r="E107" s="69" t="s">
        <v>132</v>
      </c>
      <c r="F107" s="70">
        <v>30</v>
      </c>
      <c r="G107" s="67"/>
      <c r="H107" s="71"/>
      <c r="I107" s="72"/>
      <c r="J107" s="72"/>
      <c r="K107" s="34" t="s">
        <v>65</v>
      </c>
      <c r="L107" s="79">
        <v>107</v>
      </c>
      <c r="M107" s="79"/>
      <c r="N107" s="74"/>
      <c r="O107" s="81" t="s">
        <v>586</v>
      </c>
      <c r="P107" s="83">
        <v>44004.71524305556</v>
      </c>
      <c r="Q107" s="81" t="s">
        <v>605</v>
      </c>
      <c r="R107" s="81"/>
      <c r="S107" s="81"/>
      <c r="T107" s="81"/>
      <c r="U107" s="81"/>
      <c r="V107" s="84" t="str">
        <f>HYPERLINK("http://pbs.twimg.com/profile_images/1172243646038577157/PeV0BOU1_normal.jpg")</f>
        <v>http://pbs.twimg.com/profile_images/1172243646038577157/PeV0BOU1_normal.jpg</v>
      </c>
      <c r="W107" s="83">
        <v>44004.71524305556</v>
      </c>
      <c r="X107" s="87">
        <v>44004</v>
      </c>
      <c r="Y107" s="89" t="s">
        <v>784</v>
      </c>
      <c r="Z107" s="84" t="str">
        <f>HYPERLINK("https://twitter.com/emilyctamkin/status/1275113808726495232")</f>
        <v>https://twitter.com/emilyctamkin/status/1275113808726495232</v>
      </c>
      <c r="AA107" s="81"/>
      <c r="AB107" s="81"/>
      <c r="AC107" s="89" t="s">
        <v>993</v>
      </c>
      <c r="AD107" s="81"/>
      <c r="AE107" s="81" t="b">
        <v>0</v>
      </c>
      <c r="AF107" s="81">
        <v>0</v>
      </c>
      <c r="AG107" s="89" t="s">
        <v>1149</v>
      </c>
      <c r="AH107" s="81" t="b">
        <v>0</v>
      </c>
      <c r="AI107" s="81" t="s">
        <v>1150</v>
      </c>
      <c r="AJ107" s="81"/>
      <c r="AK107" s="89" t="s">
        <v>1149</v>
      </c>
      <c r="AL107" s="81" t="b">
        <v>0</v>
      </c>
      <c r="AM107" s="81">
        <v>5</v>
      </c>
      <c r="AN107" s="89" t="s">
        <v>994</v>
      </c>
      <c r="AO107" s="81" t="s">
        <v>1172</v>
      </c>
      <c r="AP107" s="81" t="b">
        <v>0</v>
      </c>
      <c r="AQ107" s="89" t="s">
        <v>994</v>
      </c>
      <c r="AR107" s="81" t="s">
        <v>325</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8">
        <v>2</v>
      </c>
      <c r="BG107" s="49">
        <v>5.2631578947368425</v>
      </c>
      <c r="BH107" s="48">
        <v>1</v>
      </c>
      <c r="BI107" s="49">
        <v>2.6315789473684212</v>
      </c>
      <c r="BJ107" s="48">
        <v>0</v>
      </c>
      <c r="BK107" s="49">
        <v>0</v>
      </c>
      <c r="BL107" s="48">
        <v>35</v>
      </c>
      <c r="BM107" s="49">
        <v>92.10526315789474</v>
      </c>
      <c r="BN107" s="48">
        <v>38</v>
      </c>
    </row>
    <row r="108" spans="1:66" ht="15">
      <c r="A108" s="66" t="s">
        <v>418</v>
      </c>
      <c r="B108" s="66" t="s">
        <v>531</v>
      </c>
      <c r="C108" s="67" t="s">
        <v>3149</v>
      </c>
      <c r="D108" s="68">
        <v>4</v>
      </c>
      <c r="E108" s="69" t="s">
        <v>132</v>
      </c>
      <c r="F108" s="70">
        <v>30</v>
      </c>
      <c r="G108" s="67"/>
      <c r="H108" s="71"/>
      <c r="I108" s="72"/>
      <c r="J108" s="72"/>
      <c r="K108" s="34" t="s">
        <v>65</v>
      </c>
      <c r="L108" s="79">
        <v>108</v>
      </c>
      <c r="M108" s="79"/>
      <c r="N108" s="74"/>
      <c r="O108" s="81" t="s">
        <v>587</v>
      </c>
      <c r="P108" s="83">
        <v>44004.62712962963</v>
      </c>
      <c r="Q108" s="81" t="s">
        <v>605</v>
      </c>
      <c r="R108" s="81"/>
      <c r="S108" s="81"/>
      <c r="T108" s="81" t="s">
        <v>707</v>
      </c>
      <c r="U108" s="81"/>
      <c r="V108" s="84" t="str">
        <f>HYPERLINK("http://pbs.twimg.com/profile_images/1034720657655963648/loP-DJvI_normal.jpg")</f>
        <v>http://pbs.twimg.com/profile_images/1034720657655963648/loP-DJvI_normal.jpg</v>
      </c>
      <c r="W108" s="83">
        <v>44004.62712962963</v>
      </c>
      <c r="X108" s="87">
        <v>44004</v>
      </c>
      <c r="Y108" s="89" t="s">
        <v>785</v>
      </c>
      <c r="Z108" s="84" t="str">
        <f>HYPERLINK("https://twitter.com/patrick_e_scott/status/1275081880954527746")</f>
        <v>https://twitter.com/patrick_e_scott/status/1275081880954527746</v>
      </c>
      <c r="AA108" s="81"/>
      <c r="AB108" s="81"/>
      <c r="AC108" s="89" t="s">
        <v>994</v>
      </c>
      <c r="AD108" s="81"/>
      <c r="AE108" s="81" t="b">
        <v>0</v>
      </c>
      <c r="AF108" s="81">
        <v>82</v>
      </c>
      <c r="AG108" s="89" t="s">
        <v>1149</v>
      </c>
      <c r="AH108" s="81" t="b">
        <v>0</v>
      </c>
      <c r="AI108" s="81" t="s">
        <v>1150</v>
      </c>
      <c r="AJ108" s="81"/>
      <c r="AK108" s="89" t="s">
        <v>1149</v>
      </c>
      <c r="AL108" s="81" t="b">
        <v>0</v>
      </c>
      <c r="AM108" s="81">
        <v>5</v>
      </c>
      <c r="AN108" s="89" t="s">
        <v>1149</v>
      </c>
      <c r="AO108" s="81" t="s">
        <v>1172</v>
      </c>
      <c r="AP108" s="81" t="b">
        <v>0</v>
      </c>
      <c r="AQ108" s="89" t="s">
        <v>994</v>
      </c>
      <c r="AR108" s="81" t="s">
        <v>325</v>
      </c>
      <c r="AS108" s="81">
        <v>0</v>
      </c>
      <c r="AT108" s="81">
        <v>0</v>
      </c>
      <c r="AU108" s="81"/>
      <c r="AV108" s="81"/>
      <c r="AW108" s="81"/>
      <c r="AX108" s="81"/>
      <c r="AY108" s="81"/>
      <c r="AZ108" s="81"/>
      <c r="BA108" s="81"/>
      <c r="BB108" s="81"/>
      <c r="BC108">
        <v>1</v>
      </c>
      <c r="BD108" s="80" t="str">
        <f>REPLACE(INDEX(GroupVertices[Group],MATCH(Edges[[#This Row],[Vertex 1]],GroupVertices[Vertex],0)),1,1,"")</f>
        <v>7</v>
      </c>
      <c r="BE108" s="80" t="str">
        <f>REPLACE(INDEX(GroupVertices[Group],MATCH(Edges[[#This Row],[Vertex 2]],GroupVertices[Vertex],0)),1,1,"")</f>
        <v>7</v>
      </c>
      <c r="BF108" s="48"/>
      <c r="BG108" s="49"/>
      <c r="BH108" s="48"/>
      <c r="BI108" s="49"/>
      <c r="BJ108" s="48"/>
      <c r="BK108" s="49"/>
      <c r="BL108" s="48"/>
      <c r="BM108" s="49"/>
      <c r="BN108" s="48"/>
    </row>
    <row r="109" spans="1:66" ht="15">
      <c r="A109" s="66" t="s">
        <v>419</v>
      </c>
      <c r="B109" s="66" t="s">
        <v>531</v>
      </c>
      <c r="C109" s="67" t="s">
        <v>3149</v>
      </c>
      <c r="D109" s="68">
        <v>4</v>
      </c>
      <c r="E109" s="69" t="s">
        <v>132</v>
      </c>
      <c r="F109" s="70">
        <v>30</v>
      </c>
      <c r="G109" s="67"/>
      <c r="H109" s="71"/>
      <c r="I109" s="72"/>
      <c r="J109" s="72"/>
      <c r="K109" s="34" t="s">
        <v>65</v>
      </c>
      <c r="L109" s="79">
        <v>109</v>
      </c>
      <c r="M109" s="79"/>
      <c r="N109" s="74"/>
      <c r="O109" s="81" t="s">
        <v>588</v>
      </c>
      <c r="P109" s="83">
        <v>44004.72467592593</v>
      </c>
      <c r="Q109" s="81" t="s">
        <v>605</v>
      </c>
      <c r="R109" s="81"/>
      <c r="S109" s="81"/>
      <c r="T109" s="81"/>
      <c r="U109" s="81"/>
      <c r="V109" s="84" t="str">
        <f>HYPERLINK("http://pbs.twimg.com/profile_images/730103087457652736/w24ivGRo_normal.jpg")</f>
        <v>http://pbs.twimg.com/profile_images/730103087457652736/w24ivGRo_normal.jpg</v>
      </c>
      <c r="W109" s="83">
        <v>44004.72467592593</v>
      </c>
      <c r="X109" s="87">
        <v>44004</v>
      </c>
      <c r="Y109" s="89" t="s">
        <v>786</v>
      </c>
      <c r="Z109" s="84" t="str">
        <f>HYPERLINK("https://twitter.com/rob_w_ingram/status/1275117227541397504")</f>
        <v>https://twitter.com/rob_w_ingram/status/1275117227541397504</v>
      </c>
      <c r="AA109" s="81"/>
      <c r="AB109" s="81"/>
      <c r="AC109" s="89" t="s">
        <v>995</v>
      </c>
      <c r="AD109" s="81"/>
      <c r="AE109" s="81" t="b">
        <v>0</v>
      </c>
      <c r="AF109" s="81">
        <v>0</v>
      </c>
      <c r="AG109" s="89" t="s">
        <v>1149</v>
      </c>
      <c r="AH109" s="81" t="b">
        <v>0</v>
      </c>
      <c r="AI109" s="81" t="s">
        <v>1150</v>
      </c>
      <c r="AJ109" s="81"/>
      <c r="AK109" s="89" t="s">
        <v>1149</v>
      </c>
      <c r="AL109" s="81" t="b">
        <v>0</v>
      </c>
      <c r="AM109" s="81">
        <v>5</v>
      </c>
      <c r="AN109" s="89" t="s">
        <v>994</v>
      </c>
      <c r="AO109" s="81" t="s">
        <v>1165</v>
      </c>
      <c r="AP109" s="81" t="b">
        <v>0</v>
      </c>
      <c r="AQ109" s="89" t="s">
        <v>994</v>
      </c>
      <c r="AR109" s="81" t="s">
        <v>325</v>
      </c>
      <c r="AS109" s="81">
        <v>0</v>
      </c>
      <c r="AT109" s="81">
        <v>0</v>
      </c>
      <c r="AU109" s="81"/>
      <c r="AV109" s="81"/>
      <c r="AW109" s="81"/>
      <c r="AX109" s="81"/>
      <c r="AY109" s="81"/>
      <c r="AZ109" s="81"/>
      <c r="BA109" s="81"/>
      <c r="BB109" s="81"/>
      <c r="BC109">
        <v>1</v>
      </c>
      <c r="BD109" s="80" t="str">
        <f>REPLACE(INDEX(GroupVertices[Group],MATCH(Edges[[#This Row],[Vertex 1]],GroupVertices[Vertex],0)),1,1,"")</f>
        <v>7</v>
      </c>
      <c r="BE109" s="80" t="str">
        <f>REPLACE(INDEX(GroupVertices[Group],MATCH(Edges[[#This Row],[Vertex 2]],GroupVertices[Vertex],0)),1,1,"")</f>
        <v>7</v>
      </c>
      <c r="BF109" s="48"/>
      <c r="BG109" s="49"/>
      <c r="BH109" s="48"/>
      <c r="BI109" s="49"/>
      <c r="BJ109" s="48"/>
      <c r="BK109" s="49"/>
      <c r="BL109" s="48"/>
      <c r="BM109" s="49"/>
      <c r="BN109" s="48"/>
    </row>
    <row r="110" spans="1:66" ht="15">
      <c r="A110" s="66" t="s">
        <v>418</v>
      </c>
      <c r="B110" s="66" t="s">
        <v>532</v>
      </c>
      <c r="C110" s="67" t="s">
        <v>3149</v>
      </c>
      <c r="D110" s="68">
        <v>4</v>
      </c>
      <c r="E110" s="69" t="s">
        <v>132</v>
      </c>
      <c r="F110" s="70">
        <v>30</v>
      </c>
      <c r="G110" s="67"/>
      <c r="H110" s="71"/>
      <c r="I110" s="72"/>
      <c r="J110" s="72"/>
      <c r="K110" s="34" t="s">
        <v>65</v>
      </c>
      <c r="L110" s="79">
        <v>110</v>
      </c>
      <c r="M110" s="79"/>
      <c r="N110" s="74"/>
      <c r="O110" s="81" t="s">
        <v>587</v>
      </c>
      <c r="P110" s="83">
        <v>44004.62712962963</v>
      </c>
      <c r="Q110" s="81" t="s">
        <v>605</v>
      </c>
      <c r="R110" s="81"/>
      <c r="S110" s="81"/>
      <c r="T110" s="81" t="s">
        <v>707</v>
      </c>
      <c r="U110" s="81"/>
      <c r="V110" s="84" t="str">
        <f>HYPERLINK("http://pbs.twimg.com/profile_images/1034720657655963648/loP-DJvI_normal.jpg")</f>
        <v>http://pbs.twimg.com/profile_images/1034720657655963648/loP-DJvI_normal.jpg</v>
      </c>
      <c r="W110" s="83">
        <v>44004.62712962963</v>
      </c>
      <c r="X110" s="87">
        <v>44004</v>
      </c>
      <c r="Y110" s="89" t="s">
        <v>785</v>
      </c>
      <c r="Z110" s="84" t="str">
        <f>HYPERLINK("https://twitter.com/patrick_e_scott/status/1275081880954527746")</f>
        <v>https://twitter.com/patrick_e_scott/status/1275081880954527746</v>
      </c>
      <c r="AA110" s="81"/>
      <c r="AB110" s="81"/>
      <c r="AC110" s="89" t="s">
        <v>994</v>
      </c>
      <c r="AD110" s="81"/>
      <c r="AE110" s="81" t="b">
        <v>0</v>
      </c>
      <c r="AF110" s="81">
        <v>82</v>
      </c>
      <c r="AG110" s="89" t="s">
        <v>1149</v>
      </c>
      <c r="AH110" s="81" t="b">
        <v>0</v>
      </c>
      <c r="AI110" s="81" t="s">
        <v>1150</v>
      </c>
      <c r="AJ110" s="81"/>
      <c r="AK110" s="89" t="s">
        <v>1149</v>
      </c>
      <c r="AL110" s="81" t="b">
        <v>0</v>
      </c>
      <c r="AM110" s="81">
        <v>5</v>
      </c>
      <c r="AN110" s="89" t="s">
        <v>1149</v>
      </c>
      <c r="AO110" s="81" t="s">
        <v>1172</v>
      </c>
      <c r="AP110" s="81" t="b">
        <v>0</v>
      </c>
      <c r="AQ110" s="89" t="s">
        <v>994</v>
      </c>
      <c r="AR110" s="81" t="s">
        <v>325</v>
      </c>
      <c r="AS110" s="81">
        <v>0</v>
      </c>
      <c r="AT110" s="81">
        <v>0</v>
      </c>
      <c r="AU110" s="81"/>
      <c r="AV110" s="81"/>
      <c r="AW110" s="81"/>
      <c r="AX110" s="81"/>
      <c r="AY110" s="81"/>
      <c r="AZ110" s="81"/>
      <c r="BA110" s="81"/>
      <c r="BB110" s="81"/>
      <c r="BC110">
        <v>1</v>
      </c>
      <c r="BD110" s="80" t="str">
        <f>REPLACE(INDEX(GroupVertices[Group],MATCH(Edges[[#This Row],[Vertex 1]],GroupVertices[Vertex],0)),1,1,"")</f>
        <v>7</v>
      </c>
      <c r="BE110" s="80" t="str">
        <f>REPLACE(INDEX(GroupVertices[Group],MATCH(Edges[[#This Row],[Vertex 2]],GroupVertices[Vertex],0)),1,1,"")</f>
        <v>7</v>
      </c>
      <c r="BF110" s="48">
        <v>2</v>
      </c>
      <c r="BG110" s="49">
        <v>5.2631578947368425</v>
      </c>
      <c r="BH110" s="48">
        <v>1</v>
      </c>
      <c r="BI110" s="49">
        <v>2.6315789473684212</v>
      </c>
      <c r="BJ110" s="48">
        <v>0</v>
      </c>
      <c r="BK110" s="49">
        <v>0</v>
      </c>
      <c r="BL110" s="48">
        <v>35</v>
      </c>
      <c r="BM110" s="49">
        <v>92.10526315789474</v>
      </c>
      <c r="BN110" s="48">
        <v>38</v>
      </c>
    </row>
    <row r="111" spans="1:66" ht="15">
      <c r="A111" s="66" t="s">
        <v>419</v>
      </c>
      <c r="B111" s="66" t="s">
        <v>532</v>
      </c>
      <c r="C111" s="67" t="s">
        <v>3149</v>
      </c>
      <c r="D111" s="68">
        <v>4</v>
      </c>
      <c r="E111" s="69" t="s">
        <v>132</v>
      </c>
      <c r="F111" s="70">
        <v>30</v>
      </c>
      <c r="G111" s="67"/>
      <c r="H111" s="71"/>
      <c r="I111" s="72"/>
      <c r="J111" s="72"/>
      <c r="K111" s="34" t="s">
        <v>65</v>
      </c>
      <c r="L111" s="79">
        <v>111</v>
      </c>
      <c r="M111" s="79"/>
      <c r="N111" s="74"/>
      <c r="O111" s="81" t="s">
        <v>588</v>
      </c>
      <c r="P111" s="83">
        <v>44004.72467592593</v>
      </c>
      <c r="Q111" s="81" t="s">
        <v>605</v>
      </c>
      <c r="R111" s="81"/>
      <c r="S111" s="81"/>
      <c r="T111" s="81"/>
      <c r="U111" s="81"/>
      <c r="V111" s="84" t="str">
        <f>HYPERLINK("http://pbs.twimg.com/profile_images/730103087457652736/w24ivGRo_normal.jpg")</f>
        <v>http://pbs.twimg.com/profile_images/730103087457652736/w24ivGRo_normal.jpg</v>
      </c>
      <c r="W111" s="83">
        <v>44004.72467592593</v>
      </c>
      <c r="X111" s="87">
        <v>44004</v>
      </c>
      <c r="Y111" s="89" t="s">
        <v>786</v>
      </c>
      <c r="Z111" s="84" t="str">
        <f>HYPERLINK("https://twitter.com/rob_w_ingram/status/1275117227541397504")</f>
        <v>https://twitter.com/rob_w_ingram/status/1275117227541397504</v>
      </c>
      <c r="AA111" s="81"/>
      <c r="AB111" s="81"/>
      <c r="AC111" s="89" t="s">
        <v>995</v>
      </c>
      <c r="AD111" s="81"/>
      <c r="AE111" s="81" t="b">
        <v>0</v>
      </c>
      <c r="AF111" s="81">
        <v>0</v>
      </c>
      <c r="AG111" s="89" t="s">
        <v>1149</v>
      </c>
      <c r="AH111" s="81" t="b">
        <v>0</v>
      </c>
      <c r="AI111" s="81" t="s">
        <v>1150</v>
      </c>
      <c r="AJ111" s="81"/>
      <c r="AK111" s="89" t="s">
        <v>1149</v>
      </c>
      <c r="AL111" s="81" t="b">
        <v>0</v>
      </c>
      <c r="AM111" s="81">
        <v>5</v>
      </c>
      <c r="AN111" s="89" t="s">
        <v>994</v>
      </c>
      <c r="AO111" s="81" t="s">
        <v>1165</v>
      </c>
      <c r="AP111" s="81" t="b">
        <v>0</v>
      </c>
      <c r="AQ111" s="89" t="s">
        <v>994</v>
      </c>
      <c r="AR111" s="81" t="s">
        <v>325</v>
      </c>
      <c r="AS111" s="81">
        <v>0</v>
      </c>
      <c r="AT111" s="81">
        <v>0</v>
      </c>
      <c r="AU111" s="81"/>
      <c r="AV111" s="81"/>
      <c r="AW111" s="81"/>
      <c r="AX111" s="81"/>
      <c r="AY111" s="81"/>
      <c r="AZ111" s="81"/>
      <c r="BA111" s="81"/>
      <c r="BB111" s="81"/>
      <c r="BC111">
        <v>1</v>
      </c>
      <c r="BD111" s="80" t="str">
        <f>REPLACE(INDEX(GroupVertices[Group],MATCH(Edges[[#This Row],[Vertex 1]],GroupVertices[Vertex],0)),1,1,"")</f>
        <v>7</v>
      </c>
      <c r="BE111" s="80" t="str">
        <f>REPLACE(INDEX(GroupVertices[Group],MATCH(Edges[[#This Row],[Vertex 2]],GroupVertices[Vertex],0)),1,1,"")</f>
        <v>7</v>
      </c>
      <c r="BF111" s="48"/>
      <c r="BG111" s="49"/>
      <c r="BH111" s="48"/>
      <c r="BI111" s="49"/>
      <c r="BJ111" s="48"/>
      <c r="BK111" s="49"/>
      <c r="BL111" s="48"/>
      <c r="BM111" s="49"/>
      <c r="BN111" s="48"/>
    </row>
    <row r="112" spans="1:66" ht="15">
      <c r="A112" s="66" t="s">
        <v>419</v>
      </c>
      <c r="B112" s="66" t="s">
        <v>418</v>
      </c>
      <c r="C112" s="67" t="s">
        <v>3149</v>
      </c>
      <c r="D112" s="68">
        <v>4</v>
      </c>
      <c r="E112" s="69" t="s">
        <v>132</v>
      </c>
      <c r="F112" s="70">
        <v>30</v>
      </c>
      <c r="G112" s="67"/>
      <c r="H112" s="71"/>
      <c r="I112" s="72"/>
      <c r="J112" s="72"/>
      <c r="K112" s="34" t="s">
        <v>65</v>
      </c>
      <c r="L112" s="79">
        <v>112</v>
      </c>
      <c r="M112" s="79"/>
      <c r="N112" s="74"/>
      <c r="O112" s="81" t="s">
        <v>586</v>
      </c>
      <c r="P112" s="83">
        <v>44004.72467592593</v>
      </c>
      <c r="Q112" s="81" t="s">
        <v>605</v>
      </c>
      <c r="R112" s="81"/>
      <c r="S112" s="81"/>
      <c r="T112" s="81"/>
      <c r="U112" s="81"/>
      <c r="V112" s="84" t="str">
        <f>HYPERLINK("http://pbs.twimg.com/profile_images/730103087457652736/w24ivGRo_normal.jpg")</f>
        <v>http://pbs.twimg.com/profile_images/730103087457652736/w24ivGRo_normal.jpg</v>
      </c>
      <c r="W112" s="83">
        <v>44004.72467592593</v>
      </c>
      <c r="X112" s="87">
        <v>44004</v>
      </c>
      <c r="Y112" s="89" t="s">
        <v>786</v>
      </c>
      <c r="Z112" s="84" t="str">
        <f>HYPERLINK("https://twitter.com/rob_w_ingram/status/1275117227541397504")</f>
        <v>https://twitter.com/rob_w_ingram/status/1275117227541397504</v>
      </c>
      <c r="AA112" s="81"/>
      <c r="AB112" s="81"/>
      <c r="AC112" s="89" t="s">
        <v>995</v>
      </c>
      <c r="AD112" s="81"/>
      <c r="AE112" s="81" t="b">
        <v>0</v>
      </c>
      <c r="AF112" s="81">
        <v>0</v>
      </c>
      <c r="AG112" s="89" t="s">
        <v>1149</v>
      </c>
      <c r="AH112" s="81" t="b">
        <v>0</v>
      </c>
      <c r="AI112" s="81" t="s">
        <v>1150</v>
      </c>
      <c r="AJ112" s="81"/>
      <c r="AK112" s="89" t="s">
        <v>1149</v>
      </c>
      <c r="AL112" s="81" t="b">
        <v>0</v>
      </c>
      <c r="AM112" s="81">
        <v>5</v>
      </c>
      <c r="AN112" s="89" t="s">
        <v>994</v>
      </c>
      <c r="AO112" s="81" t="s">
        <v>1165</v>
      </c>
      <c r="AP112" s="81" t="b">
        <v>0</v>
      </c>
      <c r="AQ112" s="89" t="s">
        <v>994</v>
      </c>
      <c r="AR112" s="81" t="s">
        <v>325</v>
      </c>
      <c r="AS112" s="81">
        <v>0</v>
      </c>
      <c r="AT112" s="81">
        <v>0</v>
      </c>
      <c r="AU112" s="81"/>
      <c r="AV112" s="81"/>
      <c r="AW112" s="81"/>
      <c r="AX112" s="81"/>
      <c r="AY112" s="81"/>
      <c r="AZ112" s="81"/>
      <c r="BA112" s="81"/>
      <c r="BB112" s="81"/>
      <c r="BC112">
        <v>1</v>
      </c>
      <c r="BD112" s="80" t="str">
        <f>REPLACE(INDEX(GroupVertices[Group],MATCH(Edges[[#This Row],[Vertex 1]],GroupVertices[Vertex],0)),1,1,"")</f>
        <v>7</v>
      </c>
      <c r="BE112" s="80" t="str">
        <f>REPLACE(INDEX(GroupVertices[Group],MATCH(Edges[[#This Row],[Vertex 2]],GroupVertices[Vertex],0)),1,1,"")</f>
        <v>7</v>
      </c>
      <c r="BF112" s="48">
        <v>2</v>
      </c>
      <c r="BG112" s="49">
        <v>5.2631578947368425</v>
      </c>
      <c r="BH112" s="48">
        <v>1</v>
      </c>
      <c r="BI112" s="49">
        <v>2.6315789473684212</v>
      </c>
      <c r="BJ112" s="48">
        <v>0</v>
      </c>
      <c r="BK112" s="49">
        <v>0</v>
      </c>
      <c r="BL112" s="48">
        <v>35</v>
      </c>
      <c r="BM112" s="49">
        <v>92.10526315789474</v>
      </c>
      <c r="BN112" s="48">
        <v>38</v>
      </c>
    </row>
    <row r="113" spans="1:66" ht="15">
      <c r="A113" s="66" t="s">
        <v>420</v>
      </c>
      <c r="B113" s="66" t="s">
        <v>530</v>
      </c>
      <c r="C113" s="67" t="s">
        <v>3149</v>
      </c>
      <c r="D113" s="68">
        <v>4</v>
      </c>
      <c r="E113" s="69" t="s">
        <v>132</v>
      </c>
      <c r="F113" s="70">
        <v>30</v>
      </c>
      <c r="G113" s="67"/>
      <c r="H113" s="71"/>
      <c r="I113" s="72"/>
      <c r="J113" s="72"/>
      <c r="K113" s="34" t="s">
        <v>65</v>
      </c>
      <c r="L113" s="79">
        <v>113</v>
      </c>
      <c r="M113" s="79"/>
      <c r="N113" s="74"/>
      <c r="O113" s="81" t="s">
        <v>587</v>
      </c>
      <c r="P113" s="83">
        <v>44004.637708333335</v>
      </c>
      <c r="Q113" s="81" t="s">
        <v>604</v>
      </c>
      <c r="R113" s="84" t="str">
        <f>HYPERLINK("https://t.ly/Y31r")</f>
        <v>https://t.ly/Y31r</v>
      </c>
      <c r="S113" s="81" t="s">
        <v>679</v>
      </c>
      <c r="T113" s="81" t="s">
        <v>708</v>
      </c>
      <c r="U113" s="84" t="str">
        <f>HYPERLINK("https://pbs.twimg.com/media/EbIC030XYAATzgJ.jpg")</f>
        <v>https://pbs.twimg.com/media/EbIC030XYAATzgJ.jpg</v>
      </c>
      <c r="V113" s="84" t="str">
        <f>HYPERLINK("https://pbs.twimg.com/media/EbIC030XYAATzgJ.jpg")</f>
        <v>https://pbs.twimg.com/media/EbIC030XYAATzgJ.jpg</v>
      </c>
      <c r="W113" s="83">
        <v>44004.637708333335</v>
      </c>
      <c r="X113" s="87">
        <v>44004</v>
      </c>
      <c r="Y113" s="89" t="s">
        <v>787</v>
      </c>
      <c r="Z113" s="84" t="str">
        <f>HYPERLINK("https://twitter.com/fedfragapane/status/1275085713239945216")</f>
        <v>https://twitter.com/fedfragapane/status/1275085713239945216</v>
      </c>
      <c r="AA113" s="81"/>
      <c r="AB113" s="81"/>
      <c r="AC113" s="89" t="s">
        <v>996</v>
      </c>
      <c r="AD113" s="81"/>
      <c r="AE113" s="81" t="b">
        <v>0</v>
      </c>
      <c r="AF113" s="81">
        <v>13</v>
      </c>
      <c r="AG113" s="89" t="s">
        <v>1149</v>
      </c>
      <c r="AH113" s="81" t="b">
        <v>0</v>
      </c>
      <c r="AI113" s="81" t="s">
        <v>1150</v>
      </c>
      <c r="AJ113" s="81"/>
      <c r="AK113" s="89" t="s">
        <v>1149</v>
      </c>
      <c r="AL113" s="81" t="b">
        <v>0</v>
      </c>
      <c r="AM113" s="81">
        <v>3</v>
      </c>
      <c r="AN113" s="89" t="s">
        <v>1149</v>
      </c>
      <c r="AO113" s="81" t="s">
        <v>1172</v>
      </c>
      <c r="AP113" s="81" t="b">
        <v>0</v>
      </c>
      <c r="AQ113" s="89" t="s">
        <v>996</v>
      </c>
      <c r="AR113" s="81" t="s">
        <v>325</v>
      </c>
      <c r="AS113" s="81">
        <v>0</v>
      </c>
      <c r="AT113" s="81">
        <v>0</v>
      </c>
      <c r="AU113" s="81"/>
      <c r="AV113" s="81"/>
      <c r="AW113" s="81"/>
      <c r="AX113" s="81"/>
      <c r="AY113" s="81"/>
      <c r="AZ113" s="81"/>
      <c r="BA113" s="81"/>
      <c r="BB113" s="81"/>
      <c r="BC113">
        <v>1</v>
      </c>
      <c r="BD113" s="80" t="str">
        <f>REPLACE(INDEX(GroupVertices[Group],MATCH(Edges[[#This Row],[Vertex 1]],GroupVertices[Vertex],0)),1,1,"")</f>
        <v>12</v>
      </c>
      <c r="BE113" s="80" t="str">
        <f>REPLACE(INDEX(GroupVertices[Group],MATCH(Edges[[#This Row],[Vertex 2]],GroupVertices[Vertex],0)),1,1,"")</f>
        <v>12</v>
      </c>
      <c r="BF113" s="48">
        <v>0</v>
      </c>
      <c r="BG113" s="49">
        <v>0</v>
      </c>
      <c r="BH113" s="48">
        <v>0</v>
      </c>
      <c r="BI113" s="49">
        <v>0</v>
      </c>
      <c r="BJ113" s="48">
        <v>0</v>
      </c>
      <c r="BK113" s="49">
        <v>0</v>
      </c>
      <c r="BL113" s="48">
        <v>28</v>
      </c>
      <c r="BM113" s="49">
        <v>100</v>
      </c>
      <c r="BN113" s="48">
        <v>28</v>
      </c>
    </row>
    <row r="114" spans="1:66" ht="15">
      <c r="A114" s="66" t="s">
        <v>421</v>
      </c>
      <c r="B114" s="66" t="s">
        <v>530</v>
      </c>
      <c r="C114" s="67" t="s">
        <v>3149</v>
      </c>
      <c r="D114" s="68">
        <v>4</v>
      </c>
      <c r="E114" s="69" t="s">
        <v>132</v>
      </c>
      <c r="F114" s="70">
        <v>30</v>
      </c>
      <c r="G114" s="67"/>
      <c r="H114" s="71"/>
      <c r="I114" s="72"/>
      <c r="J114" s="72"/>
      <c r="K114" s="34" t="s">
        <v>65</v>
      </c>
      <c r="L114" s="79">
        <v>114</v>
      </c>
      <c r="M114" s="79"/>
      <c r="N114" s="74"/>
      <c r="O114" s="81" t="s">
        <v>588</v>
      </c>
      <c r="P114" s="83">
        <v>44004.74774305556</v>
      </c>
      <c r="Q114" s="81" t="s">
        <v>604</v>
      </c>
      <c r="R114" s="81"/>
      <c r="S114" s="81"/>
      <c r="T114" s="81" t="s">
        <v>706</v>
      </c>
      <c r="U114" s="81"/>
      <c r="V114" s="84" t="str">
        <f>HYPERLINK("http://pbs.twimg.com/profile_images/1250135488192634880/cpcbOrEu_normal.jpg")</f>
        <v>http://pbs.twimg.com/profile_images/1250135488192634880/cpcbOrEu_normal.jpg</v>
      </c>
      <c r="W114" s="83">
        <v>44004.74774305556</v>
      </c>
      <c r="X114" s="87">
        <v>44004</v>
      </c>
      <c r="Y114" s="89" t="s">
        <v>788</v>
      </c>
      <c r="Z114" s="84" t="str">
        <f>HYPERLINK("https://twitter.com/hampshire67/status/1275125586613071872")</f>
        <v>https://twitter.com/hampshire67/status/1275125586613071872</v>
      </c>
      <c r="AA114" s="81"/>
      <c r="AB114" s="81"/>
      <c r="AC114" s="89" t="s">
        <v>997</v>
      </c>
      <c r="AD114" s="81"/>
      <c r="AE114" s="81" t="b">
        <v>0</v>
      </c>
      <c r="AF114" s="81">
        <v>0</v>
      </c>
      <c r="AG114" s="89" t="s">
        <v>1149</v>
      </c>
      <c r="AH114" s="81" t="b">
        <v>0</v>
      </c>
      <c r="AI114" s="81" t="s">
        <v>1150</v>
      </c>
      <c r="AJ114" s="81"/>
      <c r="AK114" s="89" t="s">
        <v>1149</v>
      </c>
      <c r="AL114" s="81" t="b">
        <v>0</v>
      </c>
      <c r="AM114" s="81">
        <v>3</v>
      </c>
      <c r="AN114" s="89" t="s">
        <v>996</v>
      </c>
      <c r="AO114" s="81" t="s">
        <v>1172</v>
      </c>
      <c r="AP114" s="81" t="b">
        <v>0</v>
      </c>
      <c r="AQ114" s="89" t="s">
        <v>996</v>
      </c>
      <c r="AR114" s="81" t="s">
        <v>325</v>
      </c>
      <c r="AS114" s="81">
        <v>0</v>
      </c>
      <c r="AT114" s="81">
        <v>0</v>
      </c>
      <c r="AU114" s="81"/>
      <c r="AV114" s="81"/>
      <c r="AW114" s="81"/>
      <c r="AX114" s="81"/>
      <c r="AY114" s="81"/>
      <c r="AZ114" s="81"/>
      <c r="BA114" s="81"/>
      <c r="BB114" s="81"/>
      <c r="BC114">
        <v>1</v>
      </c>
      <c r="BD114" s="80" t="str">
        <f>REPLACE(INDEX(GroupVertices[Group],MATCH(Edges[[#This Row],[Vertex 1]],GroupVertices[Vertex],0)),1,1,"")</f>
        <v>12</v>
      </c>
      <c r="BE114" s="80" t="str">
        <f>REPLACE(INDEX(GroupVertices[Group],MATCH(Edges[[#This Row],[Vertex 2]],GroupVertices[Vertex],0)),1,1,"")</f>
        <v>12</v>
      </c>
      <c r="BF114" s="48"/>
      <c r="BG114" s="49"/>
      <c r="BH114" s="48"/>
      <c r="BI114" s="49"/>
      <c r="BJ114" s="48"/>
      <c r="BK114" s="49"/>
      <c r="BL114" s="48"/>
      <c r="BM114" s="49"/>
      <c r="BN114" s="48"/>
    </row>
    <row r="115" spans="1:66" ht="15">
      <c r="A115" s="66" t="s">
        <v>421</v>
      </c>
      <c r="B115" s="66" t="s">
        <v>420</v>
      </c>
      <c r="C115" s="67" t="s">
        <v>3149</v>
      </c>
      <c r="D115" s="68">
        <v>4</v>
      </c>
      <c r="E115" s="69" t="s">
        <v>132</v>
      </c>
      <c r="F115" s="70">
        <v>30</v>
      </c>
      <c r="G115" s="67"/>
      <c r="H115" s="71"/>
      <c r="I115" s="72"/>
      <c r="J115" s="72"/>
      <c r="K115" s="34" t="s">
        <v>65</v>
      </c>
      <c r="L115" s="79">
        <v>115</v>
      </c>
      <c r="M115" s="79"/>
      <c r="N115" s="74"/>
      <c r="O115" s="81" t="s">
        <v>586</v>
      </c>
      <c r="P115" s="83">
        <v>44004.74774305556</v>
      </c>
      <c r="Q115" s="81" t="s">
        <v>604</v>
      </c>
      <c r="R115" s="81"/>
      <c r="S115" s="81"/>
      <c r="T115" s="81" t="s">
        <v>706</v>
      </c>
      <c r="U115" s="81"/>
      <c r="V115" s="84" t="str">
        <f>HYPERLINK("http://pbs.twimg.com/profile_images/1250135488192634880/cpcbOrEu_normal.jpg")</f>
        <v>http://pbs.twimg.com/profile_images/1250135488192634880/cpcbOrEu_normal.jpg</v>
      </c>
      <c r="W115" s="83">
        <v>44004.74774305556</v>
      </c>
      <c r="X115" s="87">
        <v>44004</v>
      </c>
      <c r="Y115" s="89" t="s">
        <v>788</v>
      </c>
      <c r="Z115" s="84" t="str">
        <f>HYPERLINK("https://twitter.com/hampshire67/status/1275125586613071872")</f>
        <v>https://twitter.com/hampshire67/status/1275125586613071872</v>
      </c>
      <c r="AA115" s="81"/>
      <c r="AB115" s="81"/>
      <c r="AC115" s="89" t="s">
        <v>997</v>
      </c>
      <c r="AD115" s="81"/>
      <c r="AE115" s="81" t="b">
        <v>0</v>
      </c>
      <c r="AF115" s="81">
        <v>0</v>
      </c>
      <c r="AG115" s="89" t="s">
        <v>1149</v>
      </c>
      <c r="AH115" s="81" t="b">
        <v>0</v>
      </c>
      <c r="AI115" s="81" t="s">
        <v>1150</v>
      </c>
      <c r="AJ115" s="81"/>
      <c r="AK115" s="89" t="s">
        <v>1149</v>
      </c>
      <c r="AL115" s="81" t="b">
        <v>0</v>
      </c>
      <c r="AM115" s="81">
        <v>3</v>
      </c>
      <c r="AN115" s="89" t="s">
        <v>996</v>
      </c>
      <c r="AO115" s="81" t="s">
        <v>1172</v>
      </c>
      <c r="AP115" s="81" t="b">
        <v>0</v>
      </c>
      <c r="AQ115" s="89" t="s">
        <v>996</v>
      </c>
      <c r="AR115" s="81" t="s">
        <v>325</v>
      </c>
      <c r="AS115" s="81">
        <v>0</v>
      </c>
      <c r="AT115" s="81">
        <v>0</v>
      </c>
      <c r="AU115" s="81"/>
      <c r="AV115" s="81"/>
      <c r="AW115" s="81"/>
      <c r="AX115" s="81"/>
      <c r="AY115" s="81"/>
      <c r="AZ115" s="81"/>
      <c r="BA115" s="81"/>
      <c r="BB115" s="81"/>
      <c r="BC115">
        <v>1</v>
      </c>
      <c r="BD115" s="80" t="str">
        <f>REPLACE(INDEX(GroupVertices[Group],MATCH(Edges[[#This Row],[Vertex 1]],GroupVertices[Vertex],0)),1,1,"")</f>
        <v>12</v>
      </c>
      <c r="BE115" s="80" t="str">
        <f>REPLACE(INDEX(GroupVertices[Group],MATCH(Edges[[#This Row],[Vertex 2]],GroupVertices[Vertex],0)),1,1,"")</f>
        <v>12</v>
      </c>
      <c r="BF115" s="48">
        <v>0</v>
      </c>
      <c r="BG115" s="49">
        <v>0</v>
      </c>
      <c r="BH115" s="48">
        <v>0</v>
      </c>
      <c r="BI115" s="49">
        <v>0</v>
      </c>
      <c r="BJ115" s="48">
        <v>0</v>
      </c>
      <c r="BK115" s="49">
        <v>0</v>
      </c>
      <c r="BL115" s="48">
        <v>28</v>
      </c>
      <c r="BM115" s="49">
        <v>100</v>
      </c>
      <c r="BN115" s="48">
        <v>28</v>
      </c>
    </row>
    <row r="116" spans="1:66" ht="15">
      <c r="A116" s="66" t="s">
        <v>422</v>
      </c>
      <c r="B116" s="66" t="s">
        <v>526</v>
      </c>
      <c r="C116" s="67" t="s">
        <v>3149</v>
      </c>
      <c r="D116" s="68">
        <v>4</v>
      </c>
      <c r="E116" s="69" t="s">
        <v>132</v>
      </c>
      <c r="F116" s="70">
        <v>30</v>
      </c>
      <c r="G116" s="67"/>
      <c r="H116" s="71"/>
      <c r="I116" s="72"/>
      <c r="J116" s="72"/>
      <c r="K116" s="34" t="s">
        <v>65</v>
      </c>
      <c r="L116" s="79">
        <v>116</v>
      </c>
      <c r="M116" s="79"/>
      <c r="N116" s="74"/>
      <c r="O116" s="81" t="s">
        <v>587</v>
      </c>
      <c r="P116" s="83">
        <v>44004.75745370371</v>
      </c>
      <c r="Q116" s="81" t="s">
        <v>608</v>
      </c>
      <c r="R116" s="84" t="str">
        <f>HYPERLINK("https://interactive.aljazeera.com/aje/2020/saving-the-nile/index.html")</f>
        <v>https://interactive.aljazeera.com/aje/2020/saving-the-nile/index.html</v>
      </c>
      <c r="S116" s="81" t="s">
        <v>678</v>
      </c>
      <c r="T116" s="81" t="s">
        <v>703</v>
      </c>
      <c r="U116" s="81"/>
      <c r="V116" s="84" t="str">
        <f>HYPERLINK("http://pbs.twimg.com/profile_images/1073341484181712898/F-HFmuR5_normal.jpg")</f>
        <v>http://pbs.twimg.com/profile_images/1073341484181712898/F-HFmuR5_normal.jpg</v>
      </c>
      <c r="W116" s="83">
        <v>44004.75745370371</v>
      </c>
      <c r="X116" s="87">
        <v>44004</v>
      </c>
      <c r="Y116" s="89" t="s">
        <v>789</v>
      </c>
      <c r="Z116" s="84" t="str">
        <f>HYPERLINK("https://twitter.com/caleb_nwokoloo/status/1275129105432883201")</f>
        <v>https://twitter.com/caleb_nwokoloo/status/1275129105432883201</v>
      </c>
      <c r="AA116" s="81"/>
      <c r="AB116" s="81"/>
      <c r="AC116" s="89" t="s">
        <v>998</v>
      </c>
      <c r="AD116" s="81"/>
      <c r="AE116" s="81" t="b">
        <v>0</v>
      </c>
      <c r="AF116" s="81">
        <v>1</v>
      </c>
      <c r="AG116" s="89" t="s">
        <v>1149</v>
      </c>
      <c r="AH116" s="81" t="b">
        <v>0</v>
      </c>
      <c r="AI116" s="81" t="s">
        <v>1150</v>
      </c>
      <c r="AJ116" s="81"/>
      <c r="AK116" s="89" t="s">
        <v>1149</v>
      </c>
      <c r="AL116" s="81" t="b">
        <v>0</v>
      </c>
      <c r="AM116" s="81">
        <v>0</v>
      </c>
      <c r="AN116" s="89" t="s">
        <v>1149</v>
      </c>
      <c r="AO116" s="81" t="s">
        <v>1176</v>
      </c>
      <c r="AP116" s="81" t="b">
        <v>0</v>
      </c>
      <c r="AQ116" s="89" t="s">
        <v>998</v>
      </c>
      <c r="AR116" s="81" t="s">
        <v>325</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8"/>
      <c r="BG116" s="49"/>
      <c r="BH116" s="48"/>
      <c r="BI116" s="49"/>
      <c r="BJ116" s="48"/>
      <c r="BK116" s="49"/>
      <c r="BL116" s="48"/>
      <c r="BM116" s="49"/>
      <c r="BN116" s="48"/>
    </row>
    <row r="117" spans="1:66" ht="15">
      <c r="A117" s="66" t="s">
        <v>422</v>
      </c>
      <c r="B117" s="66" t="s">
        <v>527</v>
      </c>
      <c r="C117" s="67" t="s">
        <v>3149</v>
      </c>
      <c r="D117" s="68">
        <v>4</v>
      </c>
      <c r="E117" s="69" t="s">
        <v>132</v>
      </c>
      <c r="F117" s="70">
        <v>30</v>
      </c>
      <c r="G117" s="67"/>
      <c r="H117" s="71"/>
      <c r="I117" s="72"/>
      <c r="J117" s="72"/>
      <c r="K117" s="34" t="s">
        <v>65</v>
      </c>
      <c r="L117" s="79">
        <v>117</v>
      </c>
      <c r="M117" s="79"/>
      <c r="N117" s="74"/>
      <c r="O117" s="81" t="s">
        <v>587</v>
      </c>
      <c r="P117" s="83">
        <v>44004.75745370371</v>
      </c>
      <c r="Q117" s="81" t="s">
        <v>608</v>
      </c>
      <c r="R117" s="84" t="str">
        <f>HYPERLINK("https://interactive.aljazeera.com/aje/2020/saving-the-nile/index.html")</f>
        <v>https://interactive.aljazeera.com/aje/2020/saving-the-nile/index.html</v>
      </c>
      <c r="S117" s="81" t="s">
        <v>678</v>
      </c>
      <c r="T117" s="81" t="s">
        <v>703</v>
      </c>
      <c r="U117" s="81"/>
      <c r="V117" s="84" t="str">
        <f>HYPERLINK("http://pbs.twimg.com/profile_images/1073341484181712898/F-HFmuR5_normal.jpg")</f>
        <v>http://pbs.twimg.com/profile_images/1073341484181712898/F-HFmuR5_normal.jpg</v>
      </c>
      <c r="W117" s="83">
        <v>44004.75745370371</v>
      </c>
      <c r="X117" s="87">
        <v>44004</v>
      </c>
      <c r="Y117" s="89" t="s">
        <v>789</v>
      </c>
      <c r="Z117" s="84" t="str">
        <f>HYPERLINK("https://twitter.com/caleb_nwokoloo/status/1275129105432883201")</f>
        <v>https://twitter.com/caleb_nwokoloo/status/1275129105432883201</v>
      </c>
      <c r="AA117" s="81"/>
      <c r="AB117" s="81"/>
      <c r="AC117" s="89" t="s">
        <v>998</v>
      </c>
      <c r="AD117" s="81"/>
      <c r="AE117" s="81" t="b">
        <v>0</v>
      </c>
      <c r="AF117" s="81">
        <v>1</v>
      </c>
      <c r="AG117" s="89" t="s">
        <v>1149</v>
      </c>
      <c r="AH117" s="81" t="b">
        <v>0</v>
      </c>
      <c r="AI117" s="81" t="s">
        <v>1150</v>
      </c>
      <c r="AJ117" s="81"/>
      <c r="AK117" s="89" t="s">
        <v>1149</v>
      </c>
      <c r="AL117" s="81" t="b">
        <v>0</v>
      </c>
      <c r="AM117" s="81">
        <v>0</v>
      </c>
      <c r="AN117" s="89" t="s">
        <v>1149</v>
      </c>
      <c r="AO117" s="81" t="s">
        <v>1176</v>
      </c>
      <c r="AP117" s="81" t="b">
        <v>0</v>
      </c>
      <c r="AQ117" s="89" t="s">
        <v>998</v>
      </c>
      <c r="AR117" s="81" t="s">
        <v>325</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3</v>
      </c>
      <c r="BF117" s="48">
        <v>1</v>
      </c>
      <c r="BG117" s="49">
        <v>5.2631578947368425</v>
      </c>
      <c r="BH117" s="48">
        <v>0</v>
      </c>
      <c r="BI117" s="49">
        <v>0</v>
      </c>
      <c r="BJ117" s="48">
        <v>0</v>
      </c>
      <c r="BK117" s="49">
        <v>0</v>
      </c>
      <c r="BL117" s="48">
        <v>18</v>
      </c>
      <c r="BM117" s="49">
        <v>94.73684210526316</v>
      </c>
      <c r="BN117" s="48">
        <v>19</v>
      </c>
    </row>
    <row r="118" spans="1:66" ht="15">
      <c r="A118" s="66" t="s">
        <v>423</v>
      </c>
      <c r="B118" s="66" t="s">
        <v>533</v>
      </c>
      <c r="C118" s="67" t="s">
        <v>3149</v>
      </c>
      <c r="D118" s="68">
        <v>4</v>
      </c>
      <c r="E118" s="69" t="s">
        <v>132</v>
      </c>
      <c r="F118" s="70">
        <v>30</v>
      </c>
      <c r="G118" s="67"/>
      <c r="H118" s="71"/>
      <c r="I118" s="72"/>
      <c r="J118" s="72"/>
      <c r="K118" s="34" t="s">
        <v>65</v>
      </c>
      <c r="L118" s="79">
        <v>118</v>
      </c>
      <c r="M118" s="79"/>
      <c r="N118" s="74"/>
      <c r="O118" s="81" t="s">
        <v>587</v>
      </c>
      <c r="P118" s="83">
        <v>44004.77606481482</v>
      </c>
      <c r="Q118" s="81" t="s">
        <v>609</v>
      </c>
      <c r="R118" s="84" t="str">
        <f>HYPERLINK("https://docs.google.com/document/d/14OZElNMTJyQult42sorX5bMkhGnxgTcAlRo9kKHYoqw/edit")</f>
        <v>https://docs.google.com/document/d/14OZElNMTJyQult42sorX5bMkhGnxgTcAlRo9kKHYoqw/edit</v>
      </c>
      <c r="S118" s="81" t="s">
        <v>680</v>
      </c>
      <c r="T118" s="81" t="s">
        <v>709</v>
      </c>
      <c r="U118" s="81"/>
      <c r="V118" s="84" t="str">
        <f>HYPERLINK("http://pbs.twimg.com/profile_images/1257491671652216834/5Lr3EIHJ_normal.jpg")</f>
        <v>http://pbs.twimg.com/profile_images/1257491671652216834/5Lr3EIHJ_normal.jpg</v>
      </c>
      <c r="W118" s="83">
        <v>44004.77606481482</v>
      </c>
      <c r="X118" s="87">
        <v>44004</v>
      </c>
      <c r="Y118" s="89" t="s">
        <v>790</v>
      </c>
      <c r="Z118" s="84" t="str">
        <f>HYPERLINK("https://twitter.com/giubianconi/status/1275135849630445569")</f>
        <v>https://twitter.com/giubianconi/status/1275135849630445569</v>
      </c>
      <c r="AA118" s="81"/>
      <c r="AB118" s="81"/>
      <c r="AC118" s="89" t="s">
        <v>999</v>
      </c>
      <c r="AD118" s="81"/>
      <c r="AE118" s="81" t="b">
        <v>0</v>
      </c>
      <c r="AF118" s="81">
        <v>5</v>
      </c>
      <c r="AG118" s="89" t="s">
        <v>1149</v>
      </c>
      <c r="AH118" s="81" t="b">
        <v>0</v>
      </c>
      <c r="AI118" s="81" t="s">
        <v>1155</v>
      </c>
      <c r="AJ118" s="81"/>
      <c r="AK118" s="89" t="s">
        <v>1149</v>
      </c>
      <c r="AL118" s="81" t="b">
        <v>0</v>
      </c>
      <c r="AM118" s="81">
        <v>1</v>
      </c>
      <c r="AN118" s="89" t="s">
        <v>1149</v>
      </c>
      <c r="AO118" s="81" t="s">
        <v>1172</v>
      </c>
      <c r="AP118" s="81" t="b">
        <v>0</v>
      </c>
      <c r="AQ118" s="89" t="s">
        <v>999</v>
      </c>
      <c r="AR118" s="81" t="s">
        <v>325</v>
      </c>
      <c r="AS118" s="81">
        <v>0</v>
      </c>
      <c r="AT118" s="81">
        <v>0</v>
      </c>
      <c r="AU118" s="81"/>
      <c r="AV118" s="81"/>
      <c r="AW118" s="81"/>
      <c r="AX118" s="81"/>
      <c r="AY118" s="81"/>
      <c r="AZ118" s="81"/>
      <c r="BA118" s="81"/>
      <c r="BB118" s="81"/>
      <c r="BC118">
        <v>1</v>
      </c>
      <c r="BD118" s="80" t="str">
        <f>REPLACE(INDEX(GroupVertices[Group],MATCH(Edges[[#This Row],[Vertex 1]],GroupVertices[Vertex],0)),1,1,"")</f>
        <v>18</v>
      </c>
      <c r="BE118" s="80" t="str">
        <f>REPLACE(INDEX(GroupVertices[Group],MATCH(Edges[[#This Row],[Vertex 2]],GroupVertices[Vertex],0)),1,1,"")</f>
        <v>18</v>
      </c>
      <c r="BF118" s="48">
        <v>0</v>
      </c>
      <c r="BG118" s="49">
        <v>0</v>
      </c>
      <c r="BH118" s="48">
        <v>0</v>
      </c>
      <c r="BI118" s="49">
        <v>0</v>
      </c>
      <c r="BJ118" s="48">
        <v>0</v>
      </c>
      <c r="BK118" s="49">
        <v>0</v>
      </c>
      <c r="BL118" s="48">
        <v>13</v>
      </c>
      <c r="BM118" s="49">
        <v>100</v>
      </c>
      <c r="BN118" s="48">
        <v>13</v>
      </c>
    </row>
    <row r="119" spans="1:66" ht="15">
      <c r="A119" s="66" t="s">
        <v>424</v>
      </c>
      <c r="B119" s="66" t="s">
        <v>533</v>
      </c>
      <c r="C119" s="67" t="s">
        <v>3149</v>
      </c>
      <c r="D119" s="68">
        <v>4</v>
      </c>
      <c r="E119" s="69" t="s">
        <v>132</v>
      </c>
      <c r="F119" s="70">
        <v>30</v>
      </c>
      <c r="G119" s="67"/>
      <c r="H119" s="71"/>
      <c r="I119" s="72"/>
      <c r="J119" s="72"/>
      <c r="K119" s="34" t="s">
        <v>65</v>
      </c>
      <c r="L119" s="79">
        <v>119</v>
      </c>
      <c r="M119" s="79"/>
      <c r="N119" s="74"/>
      <c r="O119" s="81" t="s">
        <v>588</v>
      </c>
      <c r="P119" s="83">
        <v>44004.77706018519</v>
      </c>
      <c r="Q119" s="81" t="s">
        <v>609</v>
      </c>
      <c r="R119" s="84" t="str">
        <f>HYPERLINK("https://docs.google.com/document/d/14OZElNMTJyQult42sorX5bMkhGnxgTcAlRo9kKHYoqw/edit")</f>
        <v>https://docs.google.com/document/d/14OZElNMTJyQult42sorX5bMkhGnxgTcAlRo9kKHYoqw/edit</v>
      </c>
      <c r="S119" s="81" t="s">
        <v>680</v>
      </c>
      <c r="T119" s="81" t="s">
        <v>710</v>
      </c>
      <c r="U119" s="81"/>
      <c r="V119" s="84" t="str">
        <f>HYPERLINK("http://pbs.twimg.com/profile_images/1275078217825542149/ygeXKC2H_normal.jpg")</f>
        <v>http://pbs.twimg.com/profile_images/1275078217825542149/ygeXKC2H_normal.jpg</v>
      </c>
      <c r="W119" s="83">
        <v>44004.77706018519</v>
      </c>
      <c r="X119" s="87">
        <v>44004</v>
      </c>
      <c r="Y119" s="89" t="s">
        <v>791</v>
      </c>
      <c r="Z119" s="84" t="str">
        <f>HYPERLINK("https://twitter.com/rodolfoalmd/status/1275136211632435200")</f>
        <v>https://twitter.com/rodolfoalmd/status/1275136211632435200</v>
      </c>
      <c r="AA119" s="81"/>
      <c r="AB119" s="81"/>
      <c r="AC119" s="89" t="s">
        <v>1000</v>
      </c>
      <c r="AD119" s="81"/>
      <c r="AE119" s="81" t="b">
        <v>0</v>
      </c>
      <c r="AF119" s="81">
        <v>0</v>
      </c>
      <c r="AG119" s="89" t="s">
        <v>1149</v>
      </c>
      <c r="AH119" s="81" t="b">
        <v>0</v>
      </c>
      <c r="AI119" s="81" t="s">
        <v>1155</v>
      </c>
      <c r="AJ119" s="81"/>
      <c r="AK119" s="89" t="s">
        <v>1149</v>
      </c>
      <c r="AL119" s="81" t="b">
        <v>0</v>
      </c>
      <c r="AM119" s="81">
        <v>1</v>
      </c>
      <c r="AN119" s="89" t="s">
        <v>999</v>
      </c>
      <c r="AO119" s="81" t="s">
        <v>1175</v>
      </c>
      <c r="AP119" s="81" t="b">
        <v>0</v>
      </c>
      <c r="AQ119" s="89" t="s">
        <v>999</v>
      </c>
      <c r="AR119" s="81" t="s">
        <v>325</v>
      </c>
      <c r="AS119" s="81">
        <v>0</v>
      </c>
      <c r="AT119" s="81">
        <v>0</v>
      </c>
      <c r="AU119" s="81"/>
      <c r="AV119" s="81"/>
      <c r="AW119" s="81"/>
      <c r="AX119" s="81"/>
      <c r="AY119" s="81"/>
      <c r="AZ119" s="81"/>
      <c r="BA119" s="81"/>
      <c r="BB119" s="81"/>
      <c r="BC119">
        <v>1</v>
      </c>
      <c r="BD119" s="80" t="str">
        <f>REPLACE(INDEX(GroupVertices[Group],MATCH(Edges[[#This Row],[Vertex 1]],GroupVertices[Vertex],0)),1,1,"")</f>
        <v>18</v>
      </c>
      <c r="BE119" s="80" t="str">
        <f>REPLACE(INDEX(GroupVertices[Group],MATCH(Edges[[#This Row],[Vertex 2]],GroupVertices[Vertex],0)),1,1,"")</f>
        <v>18</v>
      </c>
      <c r="BF119" s="48"/>
      <c r="BG119" s="49"/>
      <c r="BH119" s="48"/>
      <c r="BI119" s="49"/>
      <c r="BJ119" s="48"/>
      <c r="BK119" s="49"/>
      <c r="BL119" s="48"/>
      <c r="BM119" s="49"/>
      <c r="BN119" s="48"/>
    </row>
    <row r="120" spans="1:66" ht="15">
      <c r="A120" s="66" t="s">
        <v>424</v>
      </c>
      <c r="B120" s="66" t="s">
        <v>423</v>
      </c>
      <c r="C120" s="67" t="s">
        <v>3149</v>
      </c>
      <c r="D120" s="68">
        <v>4</v>
      </c>
      <c r="E120" s="69" t="s">
        <v>132</v>
      </c>
      <c r="F120" s="70">
        <v>30</v>
      </c>
      <c r="G120" s="67"/>
      <c r="H120" s="71"/>
      <c r="I120" s="72"/>
      <c r="J120" s="72"/>
      <c r="K120" s="34" t="s">
        <v>65</v>
      </c>
      <c r="L120" s="79">
        <v>120</v>
      </c>
      <c r="M120" s="79"/>
      <c r="N120" s="74"/>
      <c r="O120" s="81" t="s">
        <v>586</v>
      </c>
      <c r="P120" s="83">
        <v>44004.77706018519</v>
      </c>
      <c r="Q120" s="81" t="s">
        <v>609</v>
      </c>
      <c r="R120" s="84" t="str">
        <f>HYPERLINK("https://docs.google.com/document/d/14OZElNMTJyQult42sorX5bMkhGnxgTcAlRo9kKHYoqw/edit")</f>
        <v>https://docs.google.com/document/d/14OZElNMTJyQult42sorX5bMkhGnxgTcAlRo9kKHYoqw/edit</v>
      </c>
      <c r="S120" s="81" t="s">
        <v>680</v>
      </c>
      <c r="T120" s="81" t="s">
        <v>710</v>
      </c>
      <c r="U120" s="81"/>
      <c r="V120" s="84" t="str">
        <f>HYPERLINK("http://pbs.twimg.com/profile_images/1275078217825542149/ygeXKC2H_normal.jpg")</f>
        <v>http://pbs.twimg.com/profile_images/1275078217825542149/ygeXKC2H_normal.jpg</v>
      </c>
      <c r="W120" s="83">
        <v>44004.77706018519</v>
      </c>
      <c r="X120" s="87">
        <v>44004</v>
      </c>
      <c r="Y120" s="89" t="s">
        <v>791</v>
      </c>
      <c r="Z120" s="84" t="str">
        <f>HYPERLINK("https://twitter.com/rodolfoalmd/status/1275136211632435200")</f>
        <v>https://twitter.com/rodolfoalmd/status/1275136211632435200</v>
      </c>
      <c r="AA120" s="81"/>
      <c r="AB120" s="81"/>
      <c r="AC120" s="89" t="s">
        <v>1000</v>
      </c>
      <c r="AD120" s="81"/>
      <c r="AE120" s="81" t="b">
        <v>0</v>
      </c>
      <c r="AF120" s="81">
        <v>0</v>
      </c>
      <c r="AG120" s="89" t="s">
        <v>1149</v>
      </c>
      <c r="AH120" s="81" t="b">
        <v>0</v>
      </c>
      <c r="AI120" s="81" t="s">
        <v>1155</v>
      </c>
      <c r="AJ120" s="81"/>
      <c r="AK120" s="89" t="s">
        <v>1149</v>
      </c>
      <c r="AL120" s="81" t="b">
        <v>0</v>
      </c>
      <c r="AM120" s="81">
        <v>1</v>
      </c>
      <c r="AN120" s="89" t="s">
        <v>999</v>
      </c>
      <c r="AO120" s="81" t="s">
        <v>1175</v>
      </c>
      <c r="AP120" s="81" t="b">
        <v>0</v>
      </c>
      <c r="AQ120" s="89" t="s">
        <v>999</v>
      </c>
      <c r="AR120" s="81" t="s">
        <v>325</v>
      </c>
      <c r="AS120" s="81">
        <v>0</v>
      </c>
      <c r="AT120" s="81">
        <v>0</v>
      </c>
      <c r="AU120" s="81"/>
      <c r="AV120" s="81"/>
      <c r="AW120" s="81"/>
      <c r="AX120" s="81"/>
      <c r="AY120" s="81"/>
      <c r="AZ120" s="81"/>
      <c r="BA120" s="81"/>
      <c r="BB120" s="81"/>
      <c r="BC120">
        <v>1</v>
      </c>
      <c r="BD120" s="80" t="str">
        <f>REPLACE(INDEX(GroupVertices[Group],MATCH(Edges[[#This Row],[Vertex 1]],GroupVertices[Vertex],0)),1,1,"")</f>
        <v>18</v>
      </c>
      <c r="BE120" s="80" t="str">
        <f>REPLACE(INDEX(GroupVertices[Group],MATCH(Edges[[#This Row],[Vertex 2]],GroupVertices[Vertex],0)),1,1,"")</f>
        <v>18</v>
      </c>
      <c r="BF120" s="48">
        <v>0</v>
      </c>
      <c r="BG120" s="49">
        <v>0</v>
      </c>
      <c r="BH120" s="48">
        <v>0</v>
      </c>
      <c r="BI120" s="49">
        <v>0</v>
      </c>
      <c r="BJ120" s="48">
        <v>0</v>
      </c>
      <c r="BK120" s="49">
        <v>0</v>
      </c>
      <c r="BL120" s="48">
        <v>13</v>
      </c>
      <c r="BM120" s="49">
        <v>100</v>
      </c>
      <c r="BN120" s="48">
        <v>13</v>
      </c>
    </row>
    <row r="121" spans="1:66" ht="15">
      <c r="A121" s="66" t="s">
        <v>425</v>
      </c>
      <c r="B121" s="66" t="s">
        <v>526</v>
      </c>
      <c r="C121" s="67" t="s">
        <v>3149</v>
      </c>
      <c r="D121" s="68">
        <v>4</v>
      </c>
      <c r="E121" s="69" t="s">
        <v>132</v>
      </c>
      <c r="F121" s="70">
        <v>30</v>
      </c>
      <c r="G121" s="67"/>
      <c r="H121" s="71"/>
      <c r="I121" s="72"/>
      <c r="J121" s="72"/>
      <c r="K121" s="34" t="s">
        <v>65</v>
      </c>
      <c r="L121" s="79">
        <v>121</v>
      </c>
      <c r="M121" s="79"/>
      <c r="N121" s="74"/>
      <c r="O121" s="81" t="s">
        <v>587</v>
      </c>
      <c r="P121" s="83">
        <v>44004.796898148146</v>
      </c>
      <c r="Q121" s="81" t="s">
        <v>610</v>
      </c>
      <c r="R121" s="84" t="str">
        <f>HYPERLINK("https://interactive.aljazeera.com/aje/2020/saving-the-nile/index.html")</f>
        <v>https://interactive.aljazeera.com/aje/2020/saving-the-nile/index.html</v>
      </c>
      <c r="S121" s="81" t="s">
        <v>678</v>
      </c>
      <c r="T121" s="81" t="s">
        <v>703</v>
      </c>
      <c r="U121" s="81"/>
      <c r="V121" s="84" t="str">
        <f>HYPERLINK("http://pbs.twimg.com/profile_images/670755807248654337/0io4RFOc_normal.jpg")</f>
        <v>http://pbs.twimg.com/profile_images/670755807248654337/0io4RFOc_normal.jpg</v>
      </c>
      <c r="W121" s="83">
        <v>44004.796898148146</v>
      </c>
      <c r="X121" s="87">
        <v>44004</v>
      </c>
      <c r="Y121" s="89" t="s">
        <v>792</v>
      </c>
      <c r="Z121" s="84" t="str">
        <f>HYPERLINK("https://twitter.com/pittilla_o/status/1275143400199684109")</f>
        <v>https://twitter.com/pittilla_o/status/1275143400199684109</v>
      </c>
      <c r="AA121" s="81"/>
      <c r="AB121" s="81"/>
      <c r="AC121" s="89" t="s">
        <v>1001</v>
      </c>
      <c r="AD121" s="81"/>
      <c r="AE121" s="81" t="b">
        <v>0</v>
      </c>
      <c r="AF121" s="81">
        <v>0</v>
      </c>
      <c r="AG121" s="89" t="s">
        <v>1149</v>
      </c>
      <c r="AH121" s="81" t="b">
        <v>0</v>
      </c>
      <c r="AI121" s="81" t="s">
        <v>1150</v>
      </c>
      <c r="AJ121" s="81"/>
      <c r="AK121" s="89" t="s">
        <v>1149</v>
      </c>
      <c r="AL121" s="81" t="b">
        <v>0</v>
      </c>
      <c r="AM121" s="81">
        <v>0</v>
      </c>
      <c r="AN121" s="89" t="s">
        <v>1149</v>
      </c>
      <c r="AO121" s="81" t="s">
        <v>1176</v>
      </c>
      <c r="AP121" s="81" t="b">
        <v>0</v>
      </c>
      <c r="AQ121" s="89" t="s">
        <v>1001</v>
      </c>
      <c r="AR121" s="81" t="s">
        <v>325</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8"/>
      <c r="BG121" s="49"/>
      <c r="BH121" s="48"/>
      <c r="BI121" s="49"/>
      <c r="BJ121" s="48"/>
      <c r="BK121" s="49"/>
      <c r="BL121" s="48"/>
      <c r="BM121" s="49"/>
      <c r="BN121" s="48"/>
    </row>
    <row r="122" spans="1:66" ht="15">
      <c r="A122" s="66" t="s">
        <v>425</v>
      </c>
      <c r="B122" s="66" t="s">
        <v>527</v>
      </c>
      <c r="C122" s="67" t="s">
        <v>3149</v>
      </c>
      <c r="D122" s="68">
        <v>4</v>
      </c>
      <c r="E122" s="69" t="s">
        <v>132</v>
      </c>
      <c r="F122" s="70">
        <v>30</v>
      </c>
      <c r="G122" s="67"/>
      <c r="H122" s="71"/>
      <c r="I122" s="72"/>
      <c r="J122" s="72"/>
      <c r="K122" s="34" t="s">
        <v>65</v>
      </c>
      <c r="L122" s="79">
        <v>122</v>
      </c>
      <c r="M122" s="79"/>
      <c r="N122" s="74"/>
      <c r="O122" s="81" t="s">
        <v>587</v>
      </c>
      <c r="P122" s="83">
        <v>44004.796898148146</v>
      </c>
      <c r="Q122" s="81" t="s">
        <v>610</v>
      </c>
      <c r="R122" s="84" t="str">
        <f>HYPERLINK("https://interactive.aljazeera.com/aje/2020/saving-the-nile/index.html")</f>
        <v>https://interactive.aljazeera.com/aje/2020/saving-the-nile/index.html</v>
      </c>
      <c r="S122" s="81" t="s">
        <v>678</v>
      </c>
      <c r="T122" s="81" t="s">
        <v>703</v>
      </c>
      <c r="U122" s="81"/>
      <c r="V122" s="84" t="str">
        <f>HYPERLINK("http://pbs.twimg.com/profile_images/670755807248654337/0io4RFOc_normal.jpg")</f>
        <v>http://pbs.twimg.com/profile_images/670755807248654337/0io4RFOc_normal.jpg</v>
      </c>
      <c r="W122" s="83">
        <v>44004.796898148146</v>
      </c>
      <c r="X122" s="87">
        <v>44004</v>
      </c>
      <c r="Y122" s="89" t="s">
        <v>792</v>
      </c>
      <c r="Z122" s="84" t="str">
        <f>HYPERLINK("https://twitter.com/pittilla_o/status/1275143400199684109")</f>
        <v>https://twitter.com/pittilla_o/status/1275143400199684109</v>
      </c>
      <c r="AA122" s="81"/>
      <c r="AB122" s="81"/>
      <c r="AC122" s="89" t="s">
        <v>1001</v>
      </c>
      <c r="AD122" s="81"/>
      <c r="AE122" s="81" t="b">
        <v>0</v>
      </c>
      <c r="AF122" s="81">
        <v>0</v>
      </c>
      <c r="AG122" s="89" t="s">
        <v>1149</v>
      </c>
      <c r="AH122" s="81" t="b">
        <v>0</v>
      </c>
      <c r="AI122" s="81" t="s">
        <v>1150</v>
      </c>
      <c r="AJ122" s="81"/>
      <c r="AK122" s="89" t="s">
        <v>1149</v>
      </c>
      <c r="AL122" s="81" t="b">
        <v>0</v>
      </c>
      <c r="AM122" s="81">
        <v>0</v>
      </c>
      <c r="AN122" s="89" t="s">
        <v>1149</v>
      </c>
      <c r="AO122" s="81" t="s">
        <v>1176</v>
      </c>
      <c r="AP122" s="81" t="b">
        <v>0</v>
      </c>
      <c r="AQ122" s="89" t="s">
        <v>1001</v>
      </c>
      <c r="AR122" s="81" t="s">
        <v>325</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3</v>
      </c>
      <c r="BF122" s="48">
        <v>1</v>
      </c>
      <c r="BG122" s="49">
        <v>5.2631578947368425</v>
      </c>
      <c r="BH122" s="48">
        <v>0</v>
      </c>
      <c r="BI122" s="49">
        <v>0</v>
      </c>
      <c r="BJ122" s="48">
        <v>0</v>
      </c>
      <c r="BK122" s="49">
        <v>0</v>
      </c>
      <c r="BL122" s="48">
        <v>18</v>
      </c>
      <c r="BM122" s="49">
        <v>94.73684210526316</v>
      </c>
      <c r="BN122" s="48">
        <v>19</v>
      </c>
    </row>
    <row r="123" spans="1:66" ht="15">
      <c r="A123" s="66" t="s">
        <v>426</v>
      </c>
      <c r="B123" s="66" t="s">
        <v>513</v>
      </c>
      <c r="C123" s="67" t="s">
        <v>3149</v>
      </c>
      <c r="D123" s="68">
        <v>4</v>
      </c>
      <c r="E123" s="69" t="s">
        <v>132</v>
      </c>
      <c r="F123" s="70">
        <v>30</v>
      </c>
      <c r="G123" s="67"/>
      <c r="H123" s="71"/>
      <c r="I123" s="72"/>
      <c r="J123" s="72"/>
      <c r="K123" s="34" t="s">
        <v>65</v>
      </c>
      <c r="L123" s="79">
        <v>123</v>
      </c>
      <c r="M123" s="79"/>
      <c r="N123" s="74"/>
      <c r="O123" s="81" t="s">
        <v>588</v>
      </c>
      <c r="P123" s="83">
        <v>44004.798425925925</v>
      </c>
      <c r="Q123" s="81" t="s">
        <v>595</v>
      </c>
      <c r="R123" s="81"/>
      <c r="S123" s="81"/>
      <c r="T123" s="81"/>
      <c r="U123" s="81"/>
      <c r="V123" s="84" t="str">
        <f>HYPERLINK("http://pbs.twimg.com/profile_images/1048739117247467520/xi6VVCb8_normal.jpg")</f>
        <v>http://pbs.twimg.com/profile_images/1048739117247467520/xi6VVCb8_normal.jpg</v>
      </c>
      <c r="W123" s="83">
        <v>44004.798425925925</v>
      </c>
      <c r="X123" s="87">
        <v>44004</v>
      </c>
      <c r="Y123" s="89" t="s">
        <v>793</v>
      </c>
      <c r="Z123" s="84" t="str">
        <f>HYPERLINK("https://twitter.com/bitten_/status/1275143955232034827")</f>
        <v>https://twitter.com/bitten_/status/1275143955232034827</v>
      </c>
      <c r="AA123" s="81"/>
      <c r="AB123" s="81"/>
      <c r="AC123" s="89" t="s">
        <v>1002</v>
      </c>
      <c r="AD123" s="81"/>
      <c r="AE123" s="81" t="b">
        <v>0</v>
      </c>
      <c r="AF123" s="81">
        <v>0</v>
      </c>
      <c r="AG123" s="89" t="s">
        <v>1149</v>
      </c>
      <c r="AH123" s="81" t="b">
        <v>0</v>
      </c>
      <c r="AI123" s="81" t="s">
        <v>1150</v>
      </c>
      <c r="AJ123" s="81"/>
      <c r="AK123" s="89" t="s">
        <v>1149</v>
      </c>
      <c r="AL123" s="81" t="b">
        <v>0</v>
      </c>
      <c r="AM123" s="81">
        <v>37</v>
      </c>
      <c r="AN123" s="89" t="s">
        <v>1142</v>
      </c>
      <c r="AO123" s="81" t="s">
        <v>1165</v>
      </c>
      <c r="AP123" s="81" t="b">
        <v>0</v>
      </c>
      <c r="AQ123" s="89" t="s">
        <v>1142</v>
      </c>
      <c r="AR123" s="81" t="s">
        <v>325</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8"/>
      <c r="BG123" s="49"/>
      <c r="BH123" s="48"/>
      <c r="BI123" s="49"/>
      <c r="BJ123" s="48"/>
      <c r="BK123" s="49"/>
      <c r="BL123" s="48"/>
      <c r="BM123" s="49"/>
      <c r="BN123" s="48"/>
    </row>
    <row r="124" spans="1:66" ht="15">
      <c r="A124" s="66" t="s">
        <v>426</v>
      </c>
      <c r="B124" s="66" t="s">
        <v>514</v>
      </c>
      <c r="C124" s="67" t="s">
        <v>3149</v>
      </c>
      <c r="D124" s="68">
        <v>4</v>
      </c>
      <c r="E124" s="69" t="s">
        <v>132</v>
      </c>
      <c r="F124" s="70">
        <v>30</v>
      </c>
      <c r="G124" s="67"/>
      <c r="H124" s="71"/>
      <c r="I124" s="72"/>
      <c r="J124" s="72"/>
      <c r="K124" s="34" t="s">
        <v>65</v>
      </c>
      <c r="L124" s="79">
        <v>124</v>
      </c>
      <c r="M124" s="79"/>
      <c r="N124" s="74"/>
      <c r="O124" s="81" t="s">
        <v>586</v>
      </c>
      <c r="P124" s="83">
        <v>44004.798425925925</v>
      </c>
      <c r="Q124" s="81" t="s">
        <v>595</v>
      </c>
      <c r="R124" s="81"/>
      <c r="S124" s="81"/>
      <c r="T124" s="81"/>
      <c r="U124" s="81"/>
      <c r="V124" s="84" t="str">
        <f>HYPERLINK("http://pbs.twimg.com/profile_images/1048739117247467520/xi6VVCb8_normal.jpg")</f>
        <v>http://pbs.twimg.com/profile_images/1048739117247467520/xi6VVCb8_normal.jpg</v>
      </c>
      <c r="W124" s="83">
        <v>44004.798425925925</v>
      </c>
      <c r="X124" s="87">
        <v>44004</v>
      </c>
      <c r="Y124" s="89" t="s">
        <v>793</v>
      </c>
      <c r="Z124" s="84" t="str">
        <f>HYPERLINK("https://twitter.com/bitten_/status/1275143955232034827")</f>
        <v>https://twitter.com/bitten_/status/1275143955232034827</v>
      </c>
      <c r="AA124" s="81"/>
      <c r="AB124" s="81"/>
      <c r="AC124" s="89" t="s">
        <v>1002</v>
      </c>
      <c r="AD124" s="81"/>
      <c r="AE124" s="81" t="b">
        <v>0</v>
      </c>
      <c r="AF124" s="81">
        <v>0</v>
      </c>
      <c r="AG124" s="89" t="s">
        <v>1149</v>
      </c>
      <c r="AH124" s="81" t="b">
        <v>0</v>
      </c>
      <c r="AI124" s="81" t="s">
        <v>1150</v>
      </c>
      <c r="AJ124" s="81"/>
      <c r="AK124" s="89" t="s">
        <v>1149</v>
      </c>
      <c r="AL124" s="81" t="b">
        <v>0</v>
      </c>
      <c r="AM124" s="81">
        <v>37</v>
      </c>
      <c r="AN124" s="89" t="s">
        <v>1142</v>
      </c>
      <c r="AO124" s="81" t="s">
        <v>1165</v>
      </c>
      <c r="AP124" s="81" t="b">
        <v>0</v>
      </c>
      <c r="AQ124" s="89" t="s">
        <v>1142</v>
      </c>
      <c r="AR124" s="81" t="s">
        <v>325</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8">
        <v>3</v>
      </c>
      <c r="BG124" s="49">
        <v>7.5</v>
      </c>
      <c r="BH124" s="48">
        <v>0</v>
      </c>
      <c r="BI124" s="49">
        <v>0</v>
      </c>
      <c r="BJ124" s="48">
        <v>0</v>
      </c>
      <c r="BK124" s="49">
        <v>0</v>
      </c>
      <c r="BL124" s="48">
        <v>37</v>
      </c>
      <c r="BM124" s="49">
        <v>92.5</v>
      </c>
      <c r="BN124" s="48">
        <v>40</v>
      </c>
    </row>
    <row r="125" spans="1:66" ht="15">
      <c r="A125" s="66" t="s">
        <v>427</v>
      </c>
      <c r="B125" s="66" t="s">
        <v>513</v>
      </c>
      <c r="C125" s="67" t="s">
        <v>3149</v>
      </c>
      <c r="D125" s="68">
        <v>4</v>
      </c>
      <c r="E125" s="69" t="s">
        <v>132</v>
      </c>
      <c r="F125" s="70">
        <v>30</v>
      </c>
      <c r="G125" s="67"/>
      <c r="H125" s="71"/>
      <c r="I125" s="72"/>
      <c r="J125" s="72"/>
      <c r="K125" s="34" t="s">
        <v>65</v>
      </c>
      <c r="L125" s="79">
        <v>125</v>
      </c>
      <c r="M125" s="79"/>
      <c r="N125" s="74"/>
      <c r="O125" s="81" t="s">
        <v>588</v>
      </c>
      <c r="P125" s="83">
        <v>44004.8146875</v>
      </c>
      <c r="Q125" s="81" t="s">
        <v>595</v>
      </c>
      <c r="R125" s="81"/>
      <c r="S125" s="81"/>
      <c r="T125" s="81"/>
      <c r="U125" s="81"/>
      <c r="V125" s="84" t="str">
        <f>HYPERLINK("http://pbs.twimg.com/profile_images/1034180623924187137/DOAITlAr_normal.jpg")</f>
        <v>http://pbs.twimg.com/profile_images/1034180623924187137/DOAITlAr_normal.jpg</v>
      </c>
      <c r="W125" s="83">
        <v>44004.8146875</v>
      </c>
      <c r="X125" s="87">
        <v>44004</v>
      </c>
      <c r="Y125" s="89" t="s">
        <v>794</v>
      </c>
      <c r="Z125" s="84" t="str">
        <f>HYPERLINK("https://twitter.com/edsaperia/status/1275149846438129664")</f>
        <v>https://twitter.com/edsaperia/status/1275149846438129664</v>
      </c>
      <c r="AA125" s="81"/>
      <c r="AB125" s="81"/>
      <c r="AC125" s="89" t="s">
        <v>1003</v>
      </c>
      <c r="AD125" s="81"/>
      <c r="AE125" s="81" t="b">
        <v>0</v>
      </c>
      <c r="AF125" s="81">
        <v>0</v>
      </c>
      <c r="AG125" s="89" t="s">
        <v>1149</v>
      </c>
      <c r="AH125" s="81" t="b">
        <v>0</v>
      </c>
      <c r="AI125" s="81" t="s">
        <v>1150</v>
      </c>
      <c r="AJ125" s="81"/>
      <c r="AK125" s="89" t="s">
        <v>1149</v>
      </c>
      <c r="AL125" s="81" t="b">
        <v>0</v>
      </c>
      <c r="AM125" s="81">
        <v>37</v>
      </c>
      <c r="AN125" s="89" t="s">
        <v>1142</v>
      </c>
      <c r="AO125" s="81" t="s">
        <v>1165</v>
      </c>
      <c r="AP125" s="81" t="b">
        <v>0</v>
      </c>
      <c r="AQ125" s="89" t="s">
        <v>1142</v>
      </c>
      <c r="AR125" s="81" t="s">
        <v>325</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8"/>
      <c r="BG125" s="49"/>
      <c r="BH125" s="48"/>
      <c r="BI125" s="49"/>
      <c r="BJ125" s="48"/>
      <c r="BK125" s="49"/>
      <c r="BL125" s="48"/>
      <c r="BM125" s="49"/>
      <c r="BN125" s="48"/>
    </row>
    <row r="126" spans="1:66" ht="15">
      <c r="A126" s="66" t="s">
        <v>427</v>
      </c>
      <c r="B126" s="66" t="s">
        <v>514</v>
      </c>
      <c r="C126" s="67" t="s">
        <v>3149</v>
      </c>
      <c r="D126" s="68">
        <v>4</v>
      </c>
      <c r="E126" s="69" t="s">
        <v>132</v>
      </c>
      <c r="F126" s="70">
        <v>30</v>
      </c>
      <c r="G126" s="67"/>
      <c r="H126" s="71"/>
      <c r="I126" s="72"/>
      <c r="J126" s="72"/>
      <c r="K126" s="34" t="s">
        <v>65</v>
      </c>
      <c r="L126" s="79">
        <v>126</v>
      </c>
      <c r="M126" s="79"/>
      <c r="N126" s="74"/>
      <c r="O126" s="81" t="s">
        <v>586</v>
      </c>
      <c r="P126" s="83">
        <v>44004.8146875</v>
      </c>
      <c r="Q126" s="81" t="s">
        <v>595</v>
      </c>
      <c r="R126" s="81"/>
      <c r="S126" s="81"/>
      <c r="T126" s="81"/>
      <c r="U126" s="81"/>
      <c r="V126" s="84" t="str">
        <f>HYPERLINK("http://pbs.twimg.com/profile_images/1034180623924187137/DOAITlAr_normal.jpg")</f>
        <v>http://pbs.twimg.com/profile_images/1034180623924187137/DOAITlAr_normal.jpg</v>
      </c>
      <c r="W126" s="83">
        <v>44004.8146875</v>
      </c>
      <c r="X126" s="87">
        <v>44004</v>
      </c>
      <c r="Y126" s="89" t="s">
        <v>794</v>
      </c>
      <c r="Z126" s="84" t="str">
        <f>HYPERLINK("https://twitter.com/edsaperia/status/1275149846438129664")</f>
        <v>https://twitter.com/edsaperia/status/1275149846438129664</v>
      </c>
      <c r="AA126" s="81"/>
      <c r="AB126" s="81"/>
      <c r="AC126" s="89" t="s">
        <v>1003</v>
      </c>
      <c r="AD126" s="81"/>
      <c r="AE126" s="81" t="b">
        <v>0</v>
      </c>
      <c r="AF126" s="81">
        <v>0</v>
      </c>
      <c r="AG126" s="89" t="s">
        <v>1149</v>
      </c>
      <c r="AH126" s="81" t="b">
        <v>0</v>
      </c>
      <c r="AI126" s="81" t="s">
        <v>1150</v>
      </c>
      <c r="AJ126" s="81"/>
      <c r="AK126" s="89" t="s">
        <v>1149</v>
      </c>
      <c r="AL126" s="81" t="b">
        <v>0</v>
      </c>
      <c r="AM126" s="81">
        <v>37</v>
      </c>
      <c r="AN126" s="89" t="s">
        <v>1142</v>
      </c>
      <c r="AO126" s="81" t="s">
        <v>1165</v>
      </c>
      <c r="AP126" s="81" t="b">
        <v>0</v>
      </c>
      <c r="AQ126" s="89" t="s">
        <v>1142</v>
      </c>
      <c r="AR126" s="81" t="s">
        <v>325</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8">
        <v>3</v>
      </c>
      <c r="BG126" s="49">
        <v>7.5</v>
      </c>
      <c r="BH126" s="48">
        <v>0</v>
      </c>
      <c r="BI126" s="49">
        <v>0</v>
      </c>
      <c r="BJ126" s="48">
        <v>0</v>
      </c>
      <c r="BK126" s="49">
        <v>0</v>
      </c>
      <c r="BL126" s="48">
        <v>37</v>
      </c>
      <c r="BM126" s="49">
        <v>92.5</v>
      </c>
      <c r="BN126" s="48">
        <v>40</v>
      </c>
    </row>
    <row r="127" spans="1:66" ht="15">
      <c r="A127" s="66" t="s">
        <v>428</v>
      </c>
      <c r="B127" s="66" t="s">
        <v>513</v>
      </c>
      <c r="C127" s="67" t="s">
        <v>3149</v>
      </c>
      <c r="D127" s="68">
        <v>4</v>
      </c>
      <c r="E127" s="69" t="s">
        <v>132</v>
      </c>
      <c r="F127" s="70">
        <v>30</v>
      </c>
      <c r="G127" s="67"/>
      <c r="H127" s="71"/>
      <c r="I127" s="72"/>
      <c r="J127" s="72"/>
      <c r="K127" s="34" t="s">
        <v>65</v>
      </c>
      <c r="L127" s="79">
        <v>127</v>
      </c>
      <c r="M127" s="79"/>
      <c r="N127" s="74"/>
      <c r="O127" s="81" t="s">
        <v>588</v>
      </c>
      <c r="P127" s="83">
        <v>44004.81491898148</v>
      </c>
      <c r="Q127" s="81" t="s">
        <v>595</v>
      </c>
      <c r="R127" s="81"/>
      <c r="S127" s="81"/>
      <c r="T127" s="81"/>
      <c r="U127" s="81"/>
      <c r="V127" s="84" t="str">
        <f>HYPERLINK("http://pbs.twimg.com/profile_images/599530591386804224/fBztcZ41_normal.png")</f>
        <v>http://pbs.twimg.com/profile_images/599530591386804224/fBztcZ41_normal.png</v>
      </c>
      <c r="W127" s="83">
        <v>44004.81491898148</v>
      </c>
      <c r="X127" s="87">
        <v>44004</v>
      </c>
      <c r="Y127" s="89" t="s">
        <v>795</v>
      </c>
      <c r="Z127" s="84" t="str">
        <f>HYPERLINK("https://twitter.com/nwspk/status/1275149932723408896")</f>
        <v>https://twitter.com/nwspk/status/1275149932723408896</v>
      </c>
      <c r="AA127" s="81"/>
      <c r="AB127" s="81"/>
      <c r="AC127" s="89" t="s">
        <v>1004</v>
      </c>
      <c r="AD127" s="81"/>
      <c r="AE127" s="81" t="b">
        <v>0</v>
      </c>
      <c r="AF127" s="81">
        <v>0</v>
      </c>
      <c r="AG127" s="89" t="s">
        <v>1149</v>
      </c>
      <c r="AH127" s="81" t="b">
        <v>0</v>
      </c>
      <c r="AI127" s="81" t="s">
        <v>1150</v>
      </c>
      <c r="AJ127" s="81"/>
      <c r="AK127" s="89" t="s">
        <v>1149</v>
      </c>
      <c r="AL127" s="81" t="b">
        <v>0</v>
      </c>
      <c r="AM127" s="81">
        <v>37</v>
      </c>
      <c r="AN127" s="89" t="s">
        <v>1142</v>
      </c>
      <c r="AO127" s="81" t="s">
        <v>1165</v>
      </c>
      <c r="AP127" s="81" t="b">
        <v>0</v>
      </c>
      <c r="AQ127" s="89" t="s">
        <v>1142</v>
      </c>
      <c r="AR127" s="81" t="s">
        <v>325</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8"/>
      <c r="BG127" s="49"/>
      <c r="BH127" s="48"/>
      <c r="BI127" s="49"/>
      <c r="BJ127" s="48"/>
      <c r="BK127" s="49"/>
      <c r="BL127" s="48"/>
      <c r="BM127" s="49"/>
      <c r="BN127" s="48"/>
    </row>
    <row r="128" spans="1:66" ht="15">
      <c r="A128" s="66" t="s">
        <v>428</v>
      </c>
      <c r="B128" s="66" t="s">
        <v>514</v>
      </c>
      <c r="C128" s="67" t="s">
        <v>3149</v>
      </c>
      <c r="D128" s="68">
        <v>4</v>
      </c>
      <c r="E128" s="69" t="s">
        <v>132</v>
      </c>
      <c r="F128" s="70">
        <v>30</v>
      </c>
      <c r="G128" s="67"/>
      <c r="H128" s="71"/>
      <c r="I128" s="72"/>
      <c r="J128" s="72"/>
      <c r="K128" s="34" t="s">
        <v>65</v>
      </c>
      <c r="L128" s="79">
        <v>128</v>
      </c>
      <c r="M128" s="79"/>
      <c r="N128" s="74"/>
      <c r="O128" s="81" t="s">
        <v>586</v>
      </c>
      <c r="P128" s="83">
        <v>44004.81491898148</v>
      </c>
      <c r="Q128" s="81" t="s">
        <v>595</v>
      </c>
      <c r="R128" s="81"/>
      <c r="S128" s="81"/>
      <c r="T128" s="81"/>
      <c r="U128" s="81"/>
      <c r="V128" s="84" t="str">
        <f>HYPERLINK("http://pbs.twimg.com/profile_images/599530591386804224/fBztcZ41_normal.png")</f>
        <v>http://pbs.twimg.com/profile_images/599530591386804224/fBztcZ41_normal.png</v>
      </c>
      <c r="W128" s="83">
        <v>44004.81491898148</v>
      </c>
      <c r="X128" s="87">
        <v>44004</v>
      </c>
      <c r="Y128" s="89" t="s">
        <v>795</v>
      </c>
      <c r="Z128" s="84" t="str">
        <f>HYPERLINK("https://twitter.com/nwspk/status/1275149932723408896")</f>
        <v>https://twitter.com/nwspk/status/1275149932723408896</v>
      </c>
      <c r="AA128" s="81"/>
      <c r="AB128" s="81"/>
      <c r="AC128" s="89" t="s">
        <v>1004</v>
      </c>
      <c r="AD128" s="81"/>
      <c r="AE128" s="81" t="b">
        <v>0</v>
      </c>
      <c r="AF128" s="81">
        <v>0</v>
      </c>
      <c r="AG128" s="89" t="s">
        <v>1149</v>
      </c>
      <c r="AH128" s="81" t="b">
        <v>0</v>
      </c>
      <c r="AI128" s="81" t="s">
        <v>1150</v>
      </c>
      <c r="AJ128" s="81"/>
      <c r="AK128" s="89" t="s">
        <v>1149</v>
      </c>
      <c r="AL128" s="81" t="b">
        <v>0</v>
      </c>
      <c r="AM128" s="81">
        <v>37</v>
      </c>
      <c r="AN128" s="89" t="s">
        <v>1142</v>
      </c>
      <c r="AO128" s="81" t="s">
        <v>1165</v>
      </c>
      <c r="AP128" s="81" t="b">
        <v>0</v>
      </c>
      <c r="AQ128" s="89" t="s">
        <v>1142</v>
      </c>
      <c r="AR128" s="81" t="s">
        <v>325</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8">
        <v>3</v>
      </c>
      <c r="BG128" s="49">
        <v>7.5</v>
      </c>
      <c r="BH128" s="48">
        <v>0</v>
      </c>
      <c r="BI128" s="49">
        <v>0</v>
      </c>
      <c r="BJ128" s="48">
        <v>0</v>
      </c>
      <c r="BK128" s="49">
        <v>0</v>
      </c>
      <c r="BL128" s="48">
        <v>37</v>
      </c>
      <c r="BM128" s="49">
        <v>92.5</v>
      </c>
      <c r="BN128" s="48">
        <v>40</v>
      </c>
    </row>
    <row r="129" spans="1:66" ht="15">
      <c r="A129" s="66" t="s">
        <v>429</v>
      </c>
      <c r="B129" s="66" t="s">
        <v>513</v>
      </c>
      <c r="C129" s="67" t="s">
        <v>3149</v>
      </c>
      <c r="D129" s="68">
        <v>4</v>
      </c>
      <c r="E129" s="69" t="s">
        <v>132</v>
      </c>
      <c r="F129" s="70">
        <v>30</v>
      </c>
      <c r="G129" s="67"/>
      <c r="H129" s="71"/>
      <c r="I129" s="72"/>
      <c r="J129" s="72"/>
      <c r="K129" s="34" t="s">
        <v>65</v>
      </c>
      <c r="L129" s="79">
        <v>129</v>
      </c>
      <c r="M129" s="79"/>
      <c r="N129" s="74"/>
      <c r="O129" s="81" t="s">
        <v>588</v>
      </c>
      <c r="P129" s="83">
        <v>44004.81601851852</v>
      </c>
      <c r="Q129" s="81" t="s">
        <v>595</v>
      </c>
      <c r="R129" s="81"/>
      <c r="S129" s="81"/>
      <c r="T129" s="81"/>
      <c r="U129" s="81"/>
      <c r="V129" s="84" t="str">
        <f>HYPERLINK("http://pbs.twimg.com/profile_images/698092851230597120/It5x34IP_normal.jpg")</f>
        <v>http://pbs.twimg.com/profile_images/698092851230597120/It5x34IP_normal.jpg</v>
      </c>
      <c r="W129" s="83">
        <v>44004.81601851852</v>
      </c>
      <c r="X129" s="87">
        <v>44004</v>
      </c>
      <c r="Y129" s="89" t="s">
        <v>796</v>
      </c>
      <c r="Z129" s="84" t="str">
        <f>HYPERLINK("https://twitter.com/aliossandro/status/1275150332117516288")</f>
        <v>https://twitter.com/aliossandro/status/1275150332117516288</v>
      </c>
      <c r="AA129" s="81"/>
      <c r="AB129" s="81"/>
      <c r="AC129" s="89" t="s">
        <v>1005</v>
      </c>
      <c r="AD129" s="81"/>
      <c r="AE129" s="81" t="b">
        <v>0</v>
      </c>
      <c r="AF129" s="81">
        <v>0</v>
      </c>
      <c r="AG129" s="89" t="s">
        <v>1149</v>
      </c>
      <c r="AH129" s="81" t="b">
        <v>0</v>
      </c>
      <c r="AI129" s="81" t="s">
        <v>1150</v>
      </c>
      <c r="AJ129" s="81"/>
      <c r="AK129" s="89" t="s">
        <v>1149</v>
      </c>
      <c r="AL129" s="81" t="b">
        <v>0</v>
      </c>
      <c r="AM129" s="81">
        <v>37</v>
      </c>
      <c r="AN129" s="89" t="s">
        <v>1142</v>
      </c>
      <c r="AO129" s="81" t="s">
        <v>1165</v>
      </c>
      <c r="AP129" s="81" t="b">
        <v>0</v>
      </c>
      <c r="AQ129" s="89" t="s">
        <v>1142</v>
      </c>
      <c r="AR129" s="81" t="s">
        <v>325</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8"/>
      <c r="BG129" s="49"/>
      <c r="BH129" s="48"/>
      <c r="BI129" s="49"/>
      <c r="BJ129" s="48"/>
      <c r="BK129" s="49"/>
      <c r="BL129" s="48"/>
      <c r="BM129" s="49"/>
      <c r="BN129" s="48"/>
    </row>
    <row r="130" spans="1:66" ht="15">
      <c r="A130" s="66" t="s">
        <v>429</v>
      </c>
      <c r="B130" s="66" t="s">
        <v>514</v>
      </c>
      <c r="C130" s="67" t="s">
        <v>3149</v>
      </c>
      <c r="D130" s="68">
        <v>4</v>
      </c>
      <c r="E130" s="69" t="s">
        <v>132</v>
      </c>
      <c r="F130" s="70">
        <v>30</v>
      </c>
      <c r="G130" s="67"/>
      <c r="H130" s="71"/>
      <c r="I130" s="72"/>
      <c r="J130" s="72"/>
      <c r="K130" s="34" t="s">
        <v>65</v>
      </c>
      <c r="L130" s="79">
        <v>130</v>
      </c>
      <c r="M130" s="79"/>
      <c r="N130" s="74"/>
      <c r="O130" s="81" t="s">
        <v>586</v>
      </c>
      <c r="P130" s="83">
        <v>44004.81601851852</v>
      </c>
      <c r="Q130" s="81" t="s">
        <v>595</v>
      </c>
      <c r="R130" s="81"/>
      <c r="S130" s="81"/>
      <c r="T130" s="81"/>
      <c r="U130" s="81"/>
      <c r="V130" s="84" t="str">
        <f>HYPERLINK("http://pbs.twimg.com/profile_images/698092851230597120/It5x34IP_normal.jpg")</f>
        <v>http://pbs.twimg.com/profile_images/698092851230597120/It5x34IP_normal.jpg</v>
      </c>
      <c r="W130" s="83">
        <v>44004.81601851852</v>
      </c>
      <c r="X130" s="87">
        <v>44004</v>
      </c>
      <c r="Y130" s="89" t="s">
        <v>796</v>
      </c>
      <c r="Z130" s="84" t="str">
        <f>HYPERLINK("https://twitter.com/aliossandro/status/1275150332117516288")</f>
        <v>https://twitter.com/aliossandro/status/1275150332117516288</v>
      </c>
      <c r="AA130" s="81"/>
      <c r="AB130" s="81"/>
      <c r="AC130" s="89" t="s">
        <v>1005</v>
      </c>
      <c r="AD130" s="81"/>
      <c r="AE130" s="81" t="b">
        <v>0</v>
      </c>
      <c r="AF130" s="81">
        <v>0</v>
      </c>
      <c r="AG130" s="89" t="s">
        <v>1149</v>
      </c>
      <c r="AH130" s="81" t="b">
        <v>0</v>
      </c>
      <c r="AI130" s="81" t="s">
        <v>1150</v>
      </c>
      <c r="AJ130" s="81"/>
      <c r="AK130" s="89" t="s">
        <v>1149</v>
      </c>
      <c r="AL130" s="81" t="b">
        <v>0</v>
      </c>
      <c r="AM130" s="81">
        <v>37</v>
      </c>
      <c r="AN130" s="89" t="s">
        <v>1142</v>
      </c>
      <c r="AO130" s="81" t="s">
        <v>1165</v>
      </c>
      <c r="AP130" s="81" t="b">
        <v>0</v>
      </c>
      <c r="AQ130" s="89" t="s">
        <v>1142</v>
      </c>
      <c r="AR130" s="81" t="s">
        <v>325</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8">
        <v>3</v>
      </c>
      <c r="BG130" s="49">
        <v>7.5</v>
      </c>
      <c r="BH130" s="48">
        <v>0</v>
      </c>
      <c r="BI130" s="49">
        <v>0</v>
      </c>
      <c r="BJ130" s="48">
        <v>0</v>
      </c>
      <c r="BK130" s="49">
        <v>0</v>
      </c>
      <c r="BL130" s="48">
        <v>37</v>
      </c>
      <c r="BM130" s="49">
        <v>92.5</v>
      </c>
      <c r="BN130" s="48">
        <v>40</v>
      </c>
    </row>
    <row r="131" spans="1:66" ht="15">
      <c r="A131" s="66" t="s">
        <v>430</v>
      </c>
      <c r="B131" s="66" t="s">
        <v>513</v>
      </c>
      <c r="C131" s="67" t="s">
        <v>3149</v>
      </c>
      <c r="D131" s="68">
        <v>4</v>
      </c>
      <c r="E131" s="69" t="s">
        <v>132</v>
      </c>
      <c r="F131" s="70">
        <v>30</v>
      </c>
      <c r="G131" s="67"/>
      <c r="H131" s="71"/>
      <c r="I131" s="72"/>
      <c r="J131" s="72"/>
      <c r="K131" s="34" t="s">
        <v>65</v>
      </c>
      <c r="L131" s="79">
        <v>131</v>
      </c>
      <c r="M131" s="79"/>
      <c r="N131" s="74"/>
      <c r="O131" s="81" t="s">
        <v>588</v>
      </c>
      <c r="P131" s="83">
        <v>44004.82032407408</v>
      </c>
      <c r="Q131" s="81" t="s">
        <v>595</v>
      </c>
      <c r="R131" s="81"/>
      <c r="S131" s="81"/>
      <c r="T131" s="81"/>
      <c r="U131" s="81"/>
      <c r="V131" s="84" t="str">
        <f>HYPERLINK("http://pbs.twimg.com/profile_images/781970179362328576/5L4gfy0p_normal.jpg")</f>
        <v>http://pbs.twimg.com/profile_images/781970179362328576/5L4gfy0p_normal.jpg</v>
      </c>
      <c r="W131" s="83">
        <v>44004.82032407408</v>
      </c>
      <c r="X131" s="87">
        <v>44004</v>
      </c>
      <c r="Y131" s="89" t="s">
        <v>797</v>
      </c>
      <c r="Z131" s="84" t="str">
        <f>HYPERLINK("https://twitter.com/jaggeree/status/1275151891232669696")</f>
        <v>https://twitter.com/jaggeree/status/1275151891232669696</v>
      </c>
      <c r="AA131" s="81"/>
      <c r="AB131" s="81"/>
      <c r="AC131" s="89" t="s">
        <v>1006</v>
      </c>
      <c r="AD131" s="81"/>
      <c r="AE131" s="81" t="b">
        <v>0</v>
      </c>
      <c r="AF131" s="81">
        <v>0</v>
      </c>
      <c r="AG131" s="89" t="s">
        <v>1149</v>
      </c>
      <c r="AH131" s="81" t="b">
        <v>0</v>
      </c>
      <c r="AI131" s="81" t="s">
        <v>1150</v>
      </c>
      <c r="AJ131" s="81"/>
      <c r="AK131" s="89" t="s">
        <v>1149</v>
      </c>
      <c r="AL131" s="81" t="b">
        <v>0</v>
      </c>
      <c r="AM131" s="81">
        <v>37</v>
      </c>
      <c r="AN131" s="89" t="s">
        <v>1142</v>
      </c>
      <c r="AO131" s="81" t="s">
        <v>1165</v>
      </c>
      <c r="AP131" s="81" t="b">
        <v>0</v>
      </c>
      <c r="AQ131" s="89" t="s">
        <v>1142</v>
      </c>
      <c r="AR131" s="81" t="s">
        <v>325</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8"/>
      <c r="BG131" s="49"/>
      <c r="BH131" s="48"/>
      <c r="BI131" s="49"/>
      <c r="BJ131" s="48"/>
      <c r="BK131" s="49"/>
      <c r="BL131" s="48"/>
      <c r="BM131" s="49"/>
      <c r="BN131" s="48"/>
    </row>
    <row r="132" spans="1:66" ht="15">
      <c r="A132" s="66" t="s">
        <v>430</v>
      </c>
      <c r="B132" s="66" t="s">
        <v>514</v>
      </c>
      <c r="C132" s="67" t="s">
        <v>3149</v>
      </c>
      <c r="D132" s="68">
        <v>4</v>
      </c>
      <c r="E132" s="69" t="s">
        <v>132</v>
      </c>
      <c r="F132" s="70">
        <v>30</v>
      </c>
      <c r="G132" s="67"/>
      <c r="H132" s="71"/>
      <c r="I132" s="72"/>
      <c r="J132" s="72"/>
      <c r="K132" s="34" t="s">
        <v>65</v>
      </c>
      <c r="L132" s="79">
        <v>132</v>
      </c>
      <c r="M132" s="79"/>
      <c r="N132" s="74"/>
      <c r="O132" s="81" t="s">
        <v>586</v>
      </c>
      <c r="P132" s="83">
        <v>44004.82032407408</v>
      </c>
      <c r="Q132" s="81" t="s">
        <v>595</v>
      </c>
      <c r="R132" s="81"/>
      <c r="S132" s="81"/>
      <c r="T132" s="81"/>
      <c r="U132" s="81"/>
      <c r="V132" s="84" t="str">
        <f>HYPERLINK("http://pbs.twimg.com/profile_images/781970179362328576/5L4gfy0p_normal.jpg")</f>
        <v>http://pbs.twimg.com/profile_images/781970179362328576/5L4gfy0p_normal.jpg</v>
      </c>
      <c r="W132" s="83">
        <v>44004.82032407408</v>
      </c>
      <c r="X132" s="87">
        <v>44004</v>
      </c>
      <c r="Y132" s="89" t="s">
        <v>797</v>
      </c>
      <c r="Z132" s="84" t="str">
        <f>HYPERLINK("https://twitter.com/jaggeree/status/1275151891232669696")</f>
        <v>https://twitter.com/jaggeree/status/1275151891232669696</v>
      </c>
      <c r="AA132" s="81"/>
      <c r="AB132" s="81"/>
      <c r="AC132" s="89" t="s">
        <v>1006</v>
      </c>
      <c r="AD132" s="81"/>
      <c r="AE132" s="81" t="b">
        <v>0</v>
      </c>
      <c r="AF132" s="81">
        <v>0</v>
      </c>
      <c r="AG132" s="89" t="s">
        <v>1149</v>
      </c>
      <c r="AH132" s="81" t="b">
        <v>0</v>
      </c>
      <c r="AI132" s="81" t="s">
        <v>1150</v>
      </c>
      <c r="AJ132" s="81"/>
      <c r="AK132" s="89" t="s">
        <v>1149</v>
      </c>
      <c r="AL132" s="81" t="b">
        <v>0</v>
      </c>
      <c r="AM132" s="81">
        <v>37</v>
      </c>
      <c r="AN132" s="89" t="s">
        <v>1142</v>
      </c>
      <c r="AO132" s="81" t="s">
        <v>1165</v>
      </c>
      <c r="AP132" s="81" t="b">
        <v>0</v>
      </c>
      <c r="AQ132" s="89" t="s">
        <v>1142</v>
      </c>
      <c r="AR132" s="81" t="s">
        <v>325</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8">
        <v>3</v>
      </c>
      <c r="BG132" s="49">
        <v>7.5</v>
      </c>
      <c r="BH132" s="48">
        <v>0</v>
      </c>
      <c r="BI132" s="49">
        <v>0</v>
      </c>
      <c r="BJ132" s="48">
        <v>0</v>
      </c>
      <c r="BK132" s="49">
        <v>0</v>
      </c>
      <c r="BL132" s="48">
        <v>37</v>
      </c>
      <c r="BM132" s="49">
        <v>92.5</v>
      </c>
      <c r="BN132" s="48">
        <v>40</v>
      </c>
    </row>
    <row r="133" spans="1:66" ht="15">
      <c r="A133" s="66" t="s">
        <v>431</v>
      </c>
      <c r="B133" s="66" t="s">
        <v>513</v>
      </c>
      <c r="C133" s="67" t="s">
        <v>3149</v>
      </c>
      <c r="D133" s="68">
        <v>4</v>
      </c>
      <c r="E133" s="69" t="s">
        <v>132</v>
      </c>
      <c r="F133" s="70">
        <v>30</v>
      </c>
      <c r="G133" s="67"/>
      <c r="H133" s="71"/>
      <c r="I133" s="72"/>
      <c r="J133" s="72"/>
      <c r="K133" s="34" t="s">
        <v>65</v>
      </c>
      <c r="L133" s="79">
        <v>133</v>
      </c>
      <c r="M133" s="79"/>
      <c r="N133" s="74"/>
      <c r="O133" s="81" t="s">
        <v>588</v>
      </c>
      <c r="P133" s="83">
        <v>44004.82119212963</v>
      </c>
      <c r="Q133" s="81" t="s">
        <v>595</v>
      </c>
      <c r="R133" s="81"/>
      <c r="S133" s="81"/>
      <c r="T133" s="81"/>
      <c r="U133" s="81"/>
      <c r="V133" s="84" t="str">
        <f>HYPERLINK("http://pbs.twimg.com/profile_images/1251278438738153478/-t0YaKbz_normal.jpg")</f>
        <v>http://pbs.twimg.com/profile_images/1251278438738153478/-t0YaKbz_normal.jpg</v>
      </c>
      <c r="W133" s="83">
        <v>44004.82119212963</v>
      </c>
      <c r="X133" s="87">
        <v>44004</v>
      </c>
      <c r="Y133" s="89" t="s">
        <v>798</v>
      </c>
      <c r="Z133" s="84" t="str">
        <f>HYPERLINK("https://twitter.com/helloyorick/status/1275152206270955522")</f>
        <v>https://twitter.com/helloyorick/status/1275152206270955522</v>
      </c>
      <c r="AA133" s="81"/>
      <c r="AB133" s="81"/>
      <c r="AC133" s="89" t="s">
        <v>1007</v>
      </c>
      <c r="AD133" s="81"/>
      <c r="AE133" s="81" t="b">
        <v>0</v>
      </c>
      <c r="AF133" s="81">
        <v>0</v>
      </c>
      <c r="AG133" s="89" t="s">
        <v>1149</v>
      </c>
      <c r="AH133" s="81" t="b">
        <v>0</v>
      </c>
      <c r="AI133" s="81" t="s">
        <v>1150</v>
      </c>
      <c r="AJ133" s="81"/>
      <c r="AK133" s="89" t="s">
        <v>1149</v>
      </c>
      <c r="AL133" s="81" t="b">
        <v>0</v>
      </c>
      <c r="AM133" s="81">
        <v>37</v>
      </c>
      <c r="AN133" s="89" t="s">
        <v>1142</v>
      </c>
      <c r="AO133" s="81" t="s">
        <v>1172</v>
      </c>
      <c r="AP133" s="81" t="b">
        <v>0</v>
      </c>
      <c r="AQ133" s="89" t="s">
        <v>1142</v>
      </c>
      <c r="AR133" s="81" t="s">
        <v>325</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8"/>
      <c r="BG133" s="49"/>
      <c r="BH133" s="48"/>
      <c r="BI133" s="49"/>
      <c r="BJ133" s="48"/>
      <c r="BK133" s="49"/>
      <c r="BL133" s="48"/>
      <c r="BM133" s="49"/>
      <c r="BN133" s="48"/>
    </row>
    <row r="134" spans="1:66" ht="15">
      <c r="A134" s="66" t="s">
        <v>431</v>
      </c>
      <c r="B134" s="66" t="s">
        <v>514</v>
      </c>
      <c r="C134" s="67" t="s">
        <v>3149</v>
      </c>
      <c r="D134" s="68">
        <v>4</v>
      </c>
      <c r="E134" s="69" t="s">
        <v>132</v>
      </c>
      <c r="F134" s="70">
        <v>30</v>
      </c>
      <c r="G134" s="67"/>
      <c r="H134" s="71"/>
      <c r="I134" s="72"/>
      <c r="J134" s="72"/>
      <c r="K134" s="34" t="s">
        <v>65</v>
      </c>
      <c r="L134" s="79">
        <v>134</v>
      </c>
      <c r="M134" s="79"/>
      <c r="N134" s="74"/>
      <c r="O134" s="81" t="s">
        <v>586</v>
      </c>
      <c r="P134" s="83">
        <v>44004.82119212963</v>
      </c>
      <c r="Q134" s="81" t="s">
        <v>595</v>
      </c>
      <c r="R134" s="81"/>
      <c r="S134" s="81"/>
      <c r="T134" s="81"/>
      <c r="U134" s="81"/>
      <c r="V134" s="84" t="str">
        <f>HYPERLINK("http://pbs.twimg.com/profile_images/1251278438738153478/-t0YaKbz_normal.jpg")</f>
        <v>http://pbs.twimg.com/profile_images/1251278438738153478/-t0YaKbz_normal.jpg</v>
      </c>
      <c r="W134" s="83">
        <v>44004.82119212963</v>
      </c>
      <c r="X134" s="87">
        <v>44004</v>
      </c>
      <c r="Y134" s="89" t="s">
        <v>798</v>
      </c>
      <c r="Z134" s="84" t="str">
        <f>HYPERLINK("https://twitter.com/helloyorick/status/1275152206270955522")</f>
        <v>https://twitter.com/helloyorick/status/1275152206270955522</v>
      </c>
      <c r="AA134" s="81"/>
      <c r="AB134" s="81"/>
      <c r="AC134" s="89" t="s">
        <v>1007</v>
      </c>
      <c r="AD134" s="81"/>
      <c r="AE134" s="81" t="b">
        <v>0</v>
      </c>
      <c r="AF134" s="81">
        <v>0</v>
      </c>
      <c r="AG134" s="89" t="s">
        <v>1149</v>
      </c>
      <c r="AH134" s="81" t="b">
        <v>0</v>
      </c>
      <c r="AI134" s="81" t="s">
        <v>1150</v>
      </c>
      <c r="AJ134" s="81"/>
      <c r="AK134" s="89" t="s">
        <v>1149</v>
      </c>
      <c r="AL134" s="81" t="b">
        <v>0</v>
      </c>
      <c r="AM134" s="81">
        <v>37</v>
      </c>
      <c r="AN134" s="89" t="s">
        <v>1142</v>
      </c>
      <c r="AO134" s="81" t="s">
        <v>1172</v>
      </c>
      <c r="AP134" s="81" t="b">
        <v>0</v>
      </c>
      <c r="AQ134" s="89" t="s">
        <v>1142</v>
      </c>
      <c r="AR134" s="81" t="s">
        <v>325</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8">
        <v>3</v>
      </c>
      <c r="BG134" s="49">
        <v>7.5</v>
      </c>
      <c r="BH134" s="48">
        <v>0</v>
      </c>
      <c r="BI134" s="49">
        <v>0</v>
      </c>
      <c r="BJ134" s="48">
        <v>0</v>
      </c>
      <c r="BK134" s="49">
        <v>0</v>
      </c>
      <c r="BL134" s="48">
        <v>37</v>
      </c>
      <c r="BM134" s="49">
        <v>92.5</v>
      </c>
      <c r="BN134" s="48">
        <v>40</v>
      </c>
    </row>
    <row r="135" spans="1:66" ht="15">
      <c r="A135" s="66" t="s">
        <v>432</v>
      </c>
      <c r="B135" s="66" t="s">
        <v>513</v>
      </c>
      <c r="C135" s="67" t="s">
        <v>3149</v>
      </c>
      <c r="D135" s="68">
        <v>4</v>
      </c>
      <c r="E135" s="69" t="s">
        <v>132</v>
      </c>
      <c r="F135" s="70">
        <v>30</v>
      </c>
      <c r="G135" s="67"/>
      <c r="H135" s="71"/>
      <c r="I135" s="72"/>
      <c r="J135" s="72"/>
      <c r="K135" s="34" t="s">
        <v>65</v>
      </c>
      <c r="L135" s="79">
        <v>135</v>
      </c>
      <c r="M135" s="79"/>
      <c r="N135" s="74"/>
      <c r="O135" s="81" t="s">
        <v>588</v>
      </c>
      <c r="P135" s="83">
        <v>44004.82199074074</v>
      </c>
      <c r="Q135" s="81" t="s">
        <v>595</v>
      </c>
      <c r="R135" s="81"/>
      <c r="S135" s="81"/>
      <c r="T135" s="81"/>
      <c r="U135" s="81"/>
      <c r="V135" s="84" t="str">
        <f>HYPERLINK("http://pbs.twimg.com/profile_images/1234049276851970048/XhutsjwL_normal.jpg")</f>
        <v>http://pbs.twimg.com/profile_images/1234049276851970048/XhutsjwL_normal.jpg</v>
      </c>
      <c r="W135" s="83">
        <v>44004.82199074074</v>
      </c>
      <c r="X135" s="87">
        <v>44004</v>
      </c>
      <c r="Y135" s="89" t="s">
        <v>799</v>
      </c>
      <c r="Z135" s="84" t="str">
        <f>HYPERLINK("https://twitter.com/emmamarkiewicz/status/1275152493585014784")</f>
        <v>https://twitter.com/emmamarkiewicz/status/1275152493585014784</v>
      </c>
      <c r="AA135" s="81"/>
      <c r="AB135" s="81"/>
      <c r="AC135" s="89" t="s">
        <v>1008</v>
      </c>
      <c r="AD135" s="81"/>
      <c r="AE135" s="81" t="b">
        <v>0</v>
      </c>
      <c r="AF135" s="81">
        <v>0</v>
      </c>
      <c r="AG135" s="89" t="s">
        <v>1149</v>
      </c>
      <c r="AH135" s="81" t="b">
        <v>0</v>
      </c>
      <c r="AI135" s="81" t="s">
        <v>1150</v>
      </c>
      <c r="AJ135" s="81"/>
      <c r="AK135" s="89" t="s">
        <v>1149</v>
      </c>
      <c r="AL135" s="81" t="b">
        <v>0</v>
      </c>
      <c r="AM135" s="81">
        <v>37</v>
      </c>
      <c r="AN135" s="89" t="s">
        <v>1142</v>
      </c>
      <c r="AO135" s="81" t="s">
        <v>1177</v>
      </c>
      <c r="AP135" s="81" t="b">
        <v>0</v>
      </c>
      <c r="AQ135" s="89" t="s">
        <v>1142</v>
      </c>
      <c r="AR135" s="81" t="s">
        <v>325</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8"/>
      <c r="BG135" s="49"/>
      <c r="BH135" s="48"/>
      <c r="BI135" s="49"/>
      <c r="BJ135" s="48"/>
      <c r="BK135" s="49"/>
      <c r="BL135" s="48"/>
      <c r="BM135" s="49"/>
      <c r="BN135" s="48"/>
    </row>
    <row r="136" spans="1:66" ht="15">
      <c r="A136" s="66" t="s">
        <v>432</v>
      </c>
      <c r="B136" s="66" t="s">
        <v>514</v>
      </c>
      <c r="C136" s="67" t="s">
        <v>3149</v>
      </c>
      <c r="D136" s="68">
        <v>4</v>
      </c>
      <c r="E136" s="69" t="s">
        <v>132</v>
      </c>
      <c r="F136" s="70">
        <v>30</v>
      </c>
      <c r="G136" s="67"/>
      <c r="H136" s="71"/>
      <c r="I136" s="72"/>
      <c r="J136" s="72"/>
      <c r="K136" s="34" t="s">
        <v>65</v>
      </c>
      <c r="L136" s="79">
        <v>136</v>
      </c>
      <c r="M136" s="79"/>
      <c r="N136" s="74"/>
      <c r="O136" s="81" t="s">
        <v>586</v>
      </c>
      <c r="P136" s="83">
        <v>44004.82199074074</v>
      </c>
      <c r="Q136" s="81" t="s">
        <v>595</v>
      </c>
      <c r="R136" s="81"/>
      <c r="S136" s="81"/>
      <c r="T136" s="81"/>
      <c r="U136" s="81"/>
      <c r="V136" s="84" t="str">
        <f>HYPERLINK("http://pbs.twimg.com/profile_images/1234049276851970048/XhutsjwL_normal.jpg")</f>
        <v>http://pbs.twimg.com/profile_images/1234049276851970048/XhutsjwL_normal.jpg</v>
      </c>
      <c r="W136" s="83">
        <v>44004.82199074074</v>
      </c>
      <c r="X136" s="87">
        <v>44004</v>
      </c>
      <c r="Y136" s="89" t="s">
        <v>799</v>
      </c>
      <c r="Z136" s="84" t="str">
        <f>HYPERLINK("https://twitter.com/emmamarkiewicz/status/1275152493585014784")</f>
        <v>https://twitter.com/emmamarkiewicz/status/1275152493585014784</v>
      </c>
      <c r="AA136" s="81"/>
      <c r="AB136" s="81"/>
      <c r="AC136" s="89" t="s">
        <v>1008</v>
      </c>
      <c r="AD136" s="81"/>
      <c r="AE136" s="81" t="b">
        <v>0</v>
      </c>
      <c r="AF136" s="81">
        <v>0</v>
      </c>
      <c r="AG136" s="89" t="s">
        <v>1149</v>
      </c>
      <c r="AH136" s="81" t="b">
        <v>0</v>
      </c>
      <c r="AI136" s="81" t="s">
        <v>1150</v>
      </c>
      <c r="AJ136" s="81"/>
      <c r="AK136" s="89" t="s">
        <v>1149</v>
      </c>
      <c r="AL136" s="81" t="b">
        <v>0</v>
      </c>
      <c r="AM136" s="81">
        <v>37</v>
      </c>
      <c r="AN136" s="89" t="s">
        <v>1142</v>
      </c>
      <c r="AO136" s="81" t="s">
        <v>1177</v>
      </c>
      <c r="AP136" s="81" t="b">
        <v>0</v>
      </c>
      <c r="AQ136" s="89" t="s">
        <v>1142</v>
      </c>
      <c r="AR136" s="81" t="s">
        <v>325</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8">
        <v>3</v>
      </c>
      <c r="BG136" s="49">
        <v>7.5</v>
      </c>
      <c r="BH136" s="48">
        <v>0</v>
      </c>
      <c r="BI136" s="49">
        <v>0</v>
      </c>
      <c r="BJ136" s="48">
        <v>0</v>
      </c>
      <c r="BK136" s="49">
        <v>0</v>
      </c>
      <c r="BL136" s="48">
        <v>37</v>
      </c>
      <c r="BM136" s="49">
        <v>92.5</v>
      </c>
      <c r="BN136" s="48">
        <v>40</v>
      </c>
    </row>
    <row r="137" spans="1:66" ht="15">
      <c r="A137" s="66" t="s">
        <v>433</v>
      </c>
      <c r="B137" s="66" t="s">
        <v>513</v>
      </c>
      <c r="C137" s="67" t="s">
        <v>3149</v>
      </c>
      <c r="D137" s="68">
        <v>4</v>
      </c>
      <c r="E137" s="69" t="s">
        <v>132</v>
      </c>
      <c r="F137" s="70">
        <v>30</v>
      </c>
      <c r="G137" s="67"/>
      <c r="H137" s="71"/>
      <c r="I137" s="72"/>
      <c r="J137" s="72"/>
      <c r="K137" s="34" t="s">
        <v>65</v>
      </c>
      <c r="L137" s="79">
        <v>137</v>
      </c>
      <c r="M137" s="79"/>
      <c r="N137" s="74"/>
      <c r="O137" s="81" t="s">
        <v>588</v>
      </c>
      <c r="P137" s="83">
        <v>44004.823958333334</v>
      </c>
      <c r="Q137" s="81" t="s">
        <v>595</v>
      </c>
      <c r="R137" s="81"/>
      <c r="S137" s="81"/>
      <c r="T137" s="81"/>
      <c r="U137" s="81"/>
      <c r="V137" s="84" t="str">
        <f>HYPERLINK("http://pbs.twimg.com/profile_images/1216879724217163776/40wFa6-9_normal.jpg")</f>
        <v>http://pbs.twimg.com/profile_images/1216879724217163776/40wFa6-9_normal.jpg</v>
      </c>
      <c r="W137" s="83">
        <v>44004.823958333334</v>
      </c>
      <c r="X137" s="87">
        <v>44004</v>
      </c>
      <c r="Y137" s="89" t="s">
        <v>800</v>
      </c>
      <c r="Z137" s="84" t="str">
        <f>HYPERLINK("https://twitter.com/maggotlaw/status/1275153207510122497")</f>
        <v>https://twitter.com/maggotlaw/status/1275153207510122497</v>
      </c>
      <c r="AA137" s="81"/>
      <c r="AB137" s="81"/>
      <c r="AC137" s="89" t="s">
        <v>1009</v>
      </c>
      <c r="AD137" s="81"/>
      <c r="AE137" s="81" t="b">
        <v>0</v>
      </c>
      <c r="AF137" s="81">
        <v>0</v>
      </c>
      <c r="AG137" s="89" t="s">
        <v>1149</v>
      </c>
      <c r="AH137" s="81" t="b">
        <v>0</v>
      </c>
      <c r="AI137" s="81" t="s">
        <v>1150</v>
      </c>
      <c r="AJ137" s="81"/>
      <c r="AK137" s="89" t="s">
        <v>1149</v>
      </c>
      <c r="AL137" s="81" t="b">
        <v>0</v>
      </c>
      <c r="AM137" s="81">
        <v>37</v>
      </c>
      <c r="AN137" s="89" t="s">
        <v>1142</v>
      </c>
      <c r="AO137" s="81" t="s">
        <v>1165</v>
      </c>
      <c r="AP137" s="81" t="b">
        <v>0</v>
      </c>
      <c r="AQ137" s="89" t="s">
        <v>1142</v>
      </c>
      <c r="AR137" s="81" t="s">
        <v>325</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8"/>
      <c r="BG137" s="49"/>
      <c r="BH137" s="48"/>
      <c r="BI137" s="49"/>
      <c r="BJ137" s="48"/>
      <c r="BK137" s="49"/>
      <c r="BL137" s="48"/>
      <c r="BM137" s="49"/>
      <c r="BN137" s="48"/>
    </row>
    <row r="138" spans="1:66" ht="15">
      <c r="A138" s="66" t="s">
        <v>433</v>
      </c>
      <c r="B138" s="66" t="s">
        <v>514</v>
      </c>
      <c r="C138" s="67" t="s">
        <v>3149</v>
      </c>
      <c r="D138" s="68">
        <v>4</v>
      </c>
      <c r="E138" s="69" t="s">
        <v>132</v>
      </c>
      <c r="F138" s="70">
        <v>30</v>
      </c>
      <c r="G138" s="67"/>
      <c r="H138" s="71"/>
      <c r="I138" s="72"/>
      <c r="J138" s="72"/>
      <c r="K138" s="34" t="s">
        <v>65</v>
      </c>
      <c r="L138" s="79">
        <v>138</v>
      </c>
      <c r="M138" s="79"/>
      <c r="N138" s="74"/>
      <c r="O138" s="81" t="s">
        <v>586</v>
      </c>
      <c r="P138" s="83">
        <v>44004.823958333334</v>
      </c>
      <c r="Q138" s="81" t="s">
        <v>595</v>
      </c>
      <c r="R138" s="81"/>
      <c r="S138" s="81"/>
      <c r="T138" s="81"/>
      <c r="U138" s="81"/>
      <c r="V138" s="84" t="str">
        <f>HYPERLINK("http://pbs.twimg.com/profile_images/1216879724217163776/40wFa6-9_normal.jpg")</f>
        <v>http://pbs.twimg.com/profile_images/1216879724217163776/40wFa6-9_normal.jpg</v>
      </c>
      <c r="W138" s="83">
        <v>44004.823958333334</v>
      </c>
      <c r="X138" s="87">
        <v>44004</v>
      </c>
      <c r="Y138" s="89" t="s">
        <v>800</v>
      </c>
      <c r="Z138" s="84" t="str">
        <f>HYPERLINK("https://twitter.com/maggotlaw/status/1275153207510122497")</f>
        <v>https://twitter.com/maggotlaw/status/1275153207510122497</v>
      </c>
      <c r="AA138" s="81"/>
      <c r="AB138" s="81"/>
      <c r="AC138" s="89" t="s">
        <v>1009</v>
      </c>
      <c r="AD138" s="81"/>
      <c r="AE138" s="81" t="b">
        <v>0</v>
      </c>
      <c r="AF138" s="81">
        <v>0</v>
      </c>
      <c r="AG138" s="89" t="s">
        <v>1149</v>
      </c>
      <c r="AH138" s="81" t="b">
        <v>0</v>
      </c>
      <c r="AI138" s="81" t="s">
        <v>1150</v>
      </c>
      <c r="AJ138" s="81"/>
      <c r="AK138" s="89" t="s">
        <v>1149</v>
      </c>
      <c r="AL138" s="81" t="b">
        <v>0</v>
      </c>
      <c r="AM138" s="81">
        <v>37</v>
      </c>
      <c r="AN138" s="89" t="s">
        <v>1142</v>
      </c>
      <c r="AO138" s="81" t="s">
        <v>1165</v>
      </c>
      <c r="AP138" s="81" t="b">
        <v>0</v>
      </c>
      <c r="AQ138" s="89" t="s">
        <v>1142</v>
      </c>
      <c r="AR138" s="81" t="s">
        <v>325</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8">
        <v>3</v>
      </c>
      <c r="BG138" s="49">
        <v>7.5</v>
      </c>
      <c r="BH138" s="48">
        <v>0</v>
      </c>
      <c r="BI138" s="49">
        <v>0</v>
      </c>
      <c r="BJ138" s="48">
        <v>0</v>
      </c>
      <c r="BK138" s="49">
        <v>0</v>
      </c>
      <c r="BL138" s="48">
        <v>37</v>
      </c>
      <c r="BM138" s="49">
        <v>92.5</v>
      </c>
      <c r="BN138" s="48">
        <v>40</v>
      </c>
    </row>
    <row r="139" spans="1:66" ht="15">
      <c r="A139" s="66" t="s">
        <v>434</v>
      </c>
      <c r="B139" s="66" t="s">
        <v>513</v>
      </c>
      <c r="C139" s="67" t="s">
        <v>3149</v>
      </c>
      <c r="D139" s="68">
        <v>4</v>
      </c>
      <c r="E139" s="69" t="s">
        <v>132</v>
      </c>
      <c r="F139" s="70">
        <v>30</v>
      </c>
      <c r="G139" s="67"/>
      <c r="H139" s="71"/>
      <c r="I139" s="72"/>
      <c r="J139" s="72"/>
      <c r="K139" s="34" t="s">
        <v>65</v>
      </c>
      <c r="L139" s="79">
        <v>139</v>
      </c>
      <c r="M139" s="79"/>
      <c r="N139" s="74"/>
      <c r="O139" s="81" t="s">
        <v>588</v>
      </c>
      <c r="P139" s="83">
        <v>44004.825636574074</v>
      </c>
      <c r="Q139" s="81" t="s">
        <v>595</v>
      </c>
      <c r="R139" s="81"/>
      <c r="S139" s="81"/>
      <c r="T139" s="81"/>
      <c r="U139" s="81"/>
      <c r="V139" s="84" t="str">
        <f>HYPERLINK("http://pbs.twimg.com/profile_images/1128296472640880642/4uFC-Crr_normal.png")</f>
        <v>http://pbs.twimg.com/profile_images/1128296472640880642/4uFC-Crr_normal.png</v>
      </c>
      <c r="W139" s="83">
        <v>44004.825636574074</v>
      </c>
      <c r="X139" s="87">
        <v>44004</v>
      </c>
      <c r="Y139" s="89" t="s">
        <v>801</v>
      </c>
      <c r="Z139" s="84" t="str">
        <f>HYPERLINK("https://twitter.com/aliceolilly/status/1275153816049127424")</f>
        <v>https://twitter.com/aliceolilly/status/1275153816049127424</v>
      </c>
      <c r="AA139" s="81"/>
      <c r="AB139" s="81"/>
      <c r="AC139" s="89" t="s">
        <v>1010</v>
      </c>
      <c r="AD139" s="81"/>
      <c r="AE139" s="81" t="b">
        <v>0</v>
      </c>
      <c r="AF139" s="81">
        <v>0</v>
      </c>
      <c r="AG139" s="89" t="s">
        <v>1149</v>
      </c>
      <c r="AH139" s="81" t="b">
        <v>0</v>
      </c>
      <c r="AI139" s="81" t="s">
        <v>1150</v>
      </c>
      <c r="AJ139" s="81"/>
      <c r="AK139" s="89" t="s">
        <v>1149</v>
      </c>
      <c r="AL139" s="81" t="b">
        <v>0</v>
      </c>
      <c r="AM139" s="81">
        <v>37</v>
      </c>
      <c r="AN139" s="89" t="s">
        <v>1142</v>
      </c>
      <c r="AO139" s="81" t="s">
        <v>1172</v>
      </c>
      <c r="AP139" s="81" t="b">
        <v>0</v>
      </c>
      <c r="AQ139" s="89" t="s">
        <v>1142</v>
      </c>
      <c r="AR139" s="81" t="s">
        <v>325</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8"/>
      <c r="BG139" s="49"/>
      <c r="BH139" s="48"/>
      <c r="BI139" s="49"/>
      <c r="BJ139" s="48"/>
      <c r="BK139" s="49"/>
      <c r="BL139" s="48"/>
      <c r="BM139" s="49"/>
      <c r="BN139" s="48"/>
    </row>
    <row r="140" spans="1:66" ht="15">
      <c r="A140" s="66" t="s">
        <v>434</v>
      </c>
      <c r="B140" s="66" t="s">
        <v>514</v>
      </c>
      <c r="C140" s="67" t="s">
        <v>3149</v>
      </c>
      <c r="D140" s="68">
        <v>4</v>
      </c>
      <c r="E140" s="69" t="s">
        <v>132</v>
      </c>
      <c r="F140" s="70">
        <v>30</v>
      </c>
      <c r="G140" s="67"/>
      <c r="H140" s="71"/>
      <c r="I140" s="72"/>
      <c r="J140" s="72"/>
      <c r="K140" s="34" t="s">
        <v>65</v>
      </c>
      <c r="L140" s="79">
        <v>140</v>
      </c>
      <c r="M140" s="79"/>
      <c r="N140" s="74"/>
      <c r="O140" s="81" t="s">
        <v>586</v>
      </c>
      <c r="P140" s="83">
        <v>44004.825636574074</v>
      </c>
      <c r="Q140" s="81" t="s">
        <v>595</v>
      </c>
      <c r="R140" s="81"/>
      <c r="S140" s="81"/>
      <c r="T140" s="81"/>
      <c r="U140" s="81"/>
      <c r="V140" s="84" t="str">
        <f>HYPERLINK("http://pbs.twimg.com/profile_images/1128296472640880642/4uFC-Crr_normal.png")</f>
        <v>http://pbs.twimg.com/profile_images/1128296472640880642/4uFC-Crr_normal.png</v>
      </c>
      <c r="W140" s="83">
        <v>44004.825636574074</v>
      </c>
      <c r="X140" s="87">
        <v>44004</v>
      </c>
      <c r="Y140" s="89" t="s">
        <v>801</v>
      </c>
      <c r="Z140" s="84" t="str">
        <f>HYPERLINK("https://twitter.com/aliceolilly/status/1275153816049127424")</f>
        <v>https://twitter.com/aliceolilly/status/1275153816049127424</v>
      </c>
      <c r="AA140" s="81"/>
      <c r="AB140" s="81"/>
      <c r="AC140" s="89" t="s">
        <v>1010</v>
      </c>
      <c r="AD140" s="81"/>
      <c r="AE140" s="81" t="b">
        <v>0</v>
      </c>
      <c r="AF140" s="81">
        <v>0</v>
      </c>
      <c r="AG140" s="89" t="s">
        <v>1149</v>
      </c>
      <c r="AH140" s="81" t="b">
        <v>0</v>
      </c>
      <c r="AI140" s="81" t="s">
        <v>1150</v>
      </c>
      <c r="AJ140" s="81"/>
      <c r="AK140" s="89" t="s">
        <v>1149</v>
      </c>
      <c r="AL140" s="81" t="b">
        <v>0</v>
      </c>
      <c r="AM140" s="81">
        <v>37</v>
      </c>
      <c r="AN140" s="89" t="s">
        <v>1142</v>
      </c>
      <c r="AO140" s="81" t="s">
        <v>1172</v>
      </c>
      <c r="AP140" s="81" t="b">
        <v>0</v>
      </c>
      <c r="AQ140" s="89" t="s">
        <v>1142</v>
      </c>
      <c r="AR140" s="81" t="s">
        <v>325</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8">
        <v>3</v>
      </c>
      <c r="BG140" s="49">
        <v>7.5</v>
      </c>
      <c r="BH140" s="48">
        <v>0</v>
      </c>
      <c r="BI140" s="49">
        <v>0</v>
      </c>
      <c r="BJ140" s="48">
        <v>0</v>
      </c>
      <c r="BK140" s="49">
        <v>0</v>
      </c>
      <c r="BL140" s="48">
        <v>37</v>
      </c>
      <c r="BM140" s="49">
        <v>92.5</v>
      </c>
      <c r="BN140" s="48">
        <v>40</v>
      </c>
    </row>
    <row r="141" spans="1:66" ht="15">
      <c r="A141" s="66" t="s">
        <v>435</v>
      </c>
      <c r="B141" s="66" t="s">
        <v>534</v>
      </c>
      <c r="C141" s="67" t="s">
        <v>3149</v>
      </c>
      <c r="D141" s="68">
        <v>4</v>
      </c>
      <c r="E141" s="69" t="s">
        <v>132</v>
      </c>
      <c r="F141" s="70">
        <v>30</v>
      </c>
      <c r="G141" s="67"/>
      <c r="H141" s="71"/>
      <c r="I141" s="72"/>
      <c r="J141" s="72"/>
      <c r="K141" s="34" t="s">
        <v>65</v>
      </c>
      <c r="L141" s="79">
        <v>141</v>
      </c>
      <c r="M141" s="79"/>
      <c r="N141" s="74"/>
      <c r="O141" s="81" t="s">
        <v>588</v>
      </c>
      <c r="P141" s="83">
        <v>44004.8328125</v>
      </c>
      <c r="Q141" s="81" t="s">
        <v>611</v>
      </c>
      <c r="R141" s="81"/>
      <c r="S141" s="81"/>
      <c r="T141" s="81" t="s">
        <v>711</v>
      </c>
      <c r="U141" s="81"/>
      <c r="V141" s="84" t="str">
        <f>HYPERLINK("http://pbs.twimg.com/profile_images/1270044490762465280/wFVYXJz-_normal.jpg")</f>
        <v>http://pbs.twimg.com/profile_images/1270044490762465280/wFVYXJz-_normal.jpg</v>
      </c>
      <c r="W141" s="83">
        <v>44004.8328125</v>
      </c>
      <c r="X141" s="87">
        <v>44004</v>
      </c>
      <c r="Y141" s="89" t="s">
        <v>802</v>
      </c>
      <c r="Z141" s="84" t="str">
        <f>HYPERLINK("https://twitter.com/ryansagare/status/1275156416748281857")</f>
        <v>https://twitter.com/ryansagare/status/1275156416748281857</v>
      </c>
      <c r="AA141" s="81"/>
      <c r="AB141" s="81"/>
      <c r="AC141" s="89" t="s">
        <v>1011</v>
      </c>
      <c r="AD141" s="81"/>
      <c r="AE141" s="81" t="b">
        <v>0</v>
      </c>
      <c r="AF141" s="81">
        <v>0</v>
      </c>
      <c r="AG141" s="89" t="s">
        <v>1149</v>
      </c>
      <c r="AH141" s="81" t="b">
        <v>0</v>
      </c>
      <c r="AI141" s="81" t="s">
        <v>1150</v>
      </c>
      <c r="AJ141" s="81"/>
      <c r="AK141" s="89" t="s">
        <v>1149</v>
      </c>
      <c r="AL141" s="81" t="b">
        <v>0</v>
      </c>
      <c r="AM141" s="81">
        <v>23</v>
      </c>
      <c r="AN141" s="89" t="s">
        <v>1139</v>
      </c>
      <c r="AO141" s="81" t="s">
        <v>1172</v>
      </c>
      <c r="AP141" s="81" t="b">
        <v>0</v>
      </c>
      <c r="AQ141" s="89" t="s">
        <v>1139</v>
      </c>
      <c r="AR141" s="81" t="s">
        <v>325</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8"/>
      <c r="BG141" s="49"/>
      <c r="BH141" s="48"/>
      <c r="BI141" s="49"/>
      <c r="BJ141" s="48"/>
      <c r="BK141" s="49"/>
      <c r="BL141" s="48"/>
      <c r="BM141" s="49"/>
      <c r="BN141" s="48"/>
    </row>
    <row r="142" spans="1:66" ht="15">
      <c r="A142" s="66" t="s">
        <v>435</v>
      </c>
      <c r="B142" s="66" t="s">
        <v>511</v>
      </c>
      <c r="C142" s="67" t="s">
        <v>3149</v>
      </c>
      <c r="D142" s="68">
        <v>4</v>
      </c>
      <c r="E142" s="69" t="s">
        <v>132</v>
      </c>
      <c r="F142" s="70">
        <v>30</v>
      </c>
      <c r="G142" s="67"/>
      <c r="H142" s="71"/>
      <c r="I142" s="72"/>
      <c r="J142" s="72"/>
      <c r="K142" s="34" t="s">
        <v>65</v>
      </c>
      <c r="L142" s="79">
        <v>142</v>
      </c>
      <c r="M142" s="79"/>
      <c r="N142" s="74"/>
      <c r="O142" s="81" t="s">
        <v>586</v>
      </c>
      <c r="P142" s="83">
        <v>44004.8328125</v>
      </c>
      <c r="Q142" s="81" t="s">
        <v>611</v>
      </c>
      <c r="R142" s="81"/>
      <c r="S142" s="81"/>
      <c r="T142" s="81" t="s">
        <v>711</v>
      </c>
      <c r="U142" s="81"/>
      <c r="V142" s="84" t="str">
        <f>HYPERLINK("http://pbs.twimg.com/profile_images/1270044490762465280/wFVYXJz-_normal.jpg")</f>
        <v>http://pbs.twimg.com/profile_images/1270044490762465280/wFVYXJz-_normal.jpg</v>
      </c>
      <c r="W142" s="83">
        <v>44004.8328125</v>
      </c>
      <c r="X142" s="87">
        <v>44004</v>
      </c>
      <c r="Y142" s="89" t="s">
        <v>802</v>
      </c>
      <c r="Z142" s="84" t="str">
        <f>HYPERLINK("https://twitter.com/ryansagare/status/1275156416748281857")</f>
        <v>https://twitter.com/ryansagare/status/1275156416748281857</v>
      </c>
      <c r="AA142" s="81"/>
      <c r="AB142" s="81"/>
      <c r="AC142" s="89" t="s">
        <v>1011</v>
      </c>
      <c r="AD142" s="81"/>
      <c r="AE142" s="81" t="b">
        <v>0</v>
      </c>
      <c r="AF142" s="81">
        <v>0</v>
      </c>
      <c r="AG142" s="89" t="s">
        <v>1149</v>
      </c>
      <c r="AH142" s="81" t="b">
        <v>0</v>
      </c>
      <c r="AI142" s="81" t="s">
        <v>1150</v>
      </c>
      <c r="AJ142" s="81"/>
      <c r="AK142" s="89" t="s">
        <v>1149</v>
      </c>
      <c r="AL142" s="81" t="b">
        <v>0</v>
      </c>
      <c r="AM142" s="81">
        <v>23</v>
      </c>
      <c r="AN142" s="89" t="s">
        <v>1139</v>
      </c>
      <c r="AO142" s="81" t="s">
        <v>1172</v>
      </c>
      <c r="AP142" s="81" t="b">
        <v>0</v>
      </c>
      <c r="AQ142" s="89" t="s">
        <v>1139</v>
      </c>
      <c r="AR142" s="81" t="s">
        <v>325</v>
      </c>
      <c r="AS142" s="81">
        <v>0</v>
      </c>
      <c r="AT142" s="81">
        <v>0</v>
      </c>
      <c r="AU142" s="81"/>
      <c r="AV142" s="81"/>
      <c r="AW142" s="81"/>
      <c r="AX142" s="81"/>
      <c r="AY142" s="81"/>
      <c r="AZ142" s="81"/>
      <c r="BA142" s="81"/>
      <c r="BB142" s="81"/>
      <c r="BC142">
        <v>1</v>
      </c>
      <c r="BD142" s="80" t="str">
        <f>REPLACE(INDEX(GroupVertices[Group],MATCH(Edges[[#This Row],[Vertex 1]],GroupVertices[Vertex],0)),1,1,"")</f>
        <v>4</v>
      </c>
      <c r="BE142" s="80" t="str">
        <f>REPLACE(INDEX(GroupVertices[Group],MATCH(Edges[[#This Row],[Vertex 2]],GroupVertices[Vertex],0)),1,1,"")</f>
        <v>4</v>
      </c>
      <c r="BF142" s="48">
        <v>1</v>
      </c>
      <c r="BG142" s="49">
        <v>3.125</v>
      </c>
      <c r="BH142" s="48">
        <v>1</v>
      </c>
      <c r="BI142" s="49">
        <v>3.125</v>
      </c>
      <c r="BJ142" s="48">
        <v>0</v>
      </c>
      <c r="BK142" s="49">
        <v>0</v>
      </c>
      <c r="BL142" s="48">
        <v>30</v>
      </c>
      <c r="BM142" s="49">
        <v>93.75</v>
      </c>
      <c r="BN142" s="48">
        <v>32</v>
      </c>
    </row>
    <row r="143" spans="1:66" ht="15">
      <c r="A143" s="66" t="s">
        <v>436</v>
      </c>
      <c r="B143" s="66" t="s">
        <v>513</v>
      </c>
      <c r="C143" s="67" t="s">
        <v>3149</v>
      </c>
      <c r="D143" s="68">
        <v>4</v>
      </c>
      <c r="E143" s="69" t="s">
        <v>132</v>
      </c>
      <c r="F143" s="70">
        <v>30</v>
      </c>
      <c r="G143" s="67"/>
      <c r="H143" s="71"/>
      <c r="I143" s="72"/>
      <c r="J143" s="72"/>
      <c r="K143" s="34" t="s">
        <v>65</v>
      </c>
      <c r="L143" s="79">
        <v>143</v>
      </c>
      <c r="M143" s="79"/>
      <c r="N143" s="74"/>
      <c r="O143" s="81" t="s">
        <v>588</v>
      </c>
      <c r="P143" s="83">
        <v>44004.834444444445</v>
      </c>
      <c r="Q143" s="81" t="s">
        <v>595</v>
      </c>
      <c r="R143" s="81"/>
      <c r="S143" s="81"/>
      <c r="T143" s="81"/>
      <c r="U143" s="81"/>
      <c r="V143" s="84" t="str">
        <f>HYPERLINK("http://pbs.twimg.com/profile_images/1228314766223069184/4ZlSbaZL_normal.jpg")</f>
        <v>http://pbs.twimg.com/profile_images/1228314766223069184/4ZlSbaZL_normal.jpg</v>
      </c>
      <c r="W143" s="83">
        <v>44004.834444444445</v>
      </c>
      <c r="X143" s="87">
        <v>44004</v>
      </c>
      <c r="Y143" s="89" t="s">
        <v>803</v>
      </c>
      <c r="Z143" s="84" t="str">
        <f>HYPERLINK("https://twitter.com/agilchristpike/status/1275157005573992449")</f>
        <v>https://twitter.com/agilchristpike/status/1275157005573992449</v>
      </c>
      <c r="AA143" s="81"/>
      <c r="AB143" s="81"/>
      <c r="AC143" s="89" t="s">
        <v>1012</v>
      </c>
      <c r="AD143" s="81"/>
      <c r="AE143" s="81" t="b">
        <v>0</v>
      </c>
      <c r="AF143" s="81">
        <v>0</v>
      </c>
      <c r="AG143" s="89" t="s">
        <v>1149</v>
      </c>
      <c r="AH143" s="81" t="b">
        <v>0</v>
      </c>
      <c r="AI143" s="81" t="s">
        <v>1150</v>
      </c>
      <c r="AJ143" s="81"/>
      <c r="AK143" s="89" t="s">
        <v>1149</v>
      </c>
      <c r="AL143" s="81" t="b">
        <v>0</v>
      </c>
      <c r="AM143" s="81">
        <v>37</v>
      </c>
      <c r="AN143" s="89" t="s">
        <v>1142</v>
      </c>
      <c r="AO143" s="81" t="s">
        <v>1172</v>
      </c>
      <c r="AP143" s="81" t="b">
        <v>0</v>
      </c>
      <c r="AQ143" s="89" t="s">
        <v>1142</v>
      </c>
      <c r="AR143" s="81" t="s">
        <v>325</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8"/>
      <c r="BG143" s="49"/>
      <c r="BH143" s="48"/>
      <c r="BI143" s="49"/>
      <c r="BJ143" s="48"/>
      <c r="BK143" s="49"/>
      <c r="BL143" s="48"/>
      <c r="BM143" s="49"/>
      <c r="BN143" s="48"/>
    </row>
    <row r="144" spans="1:66" ht="15">
      <c r="A144" s="66" t="s">
        <v>436</v>
      </c>
      <c r="B144" s="66" t="s">
        <v>514</v>
      </c>
      <c r="C144" s="67" t="s">
        <v>3149</v>
      </c>
      <c r="D144" s="68">
        <v>4</v>
      </c>
      <c r="E144" s="69" t="s">
        <v>132</v>
      </c>
      <c r="F144" s="70">
        <v>30</v>
      </c>
      <c r="G144" s="67"/>
      <c r="H144" s="71"/>
      <c r="I144" s="72"/>
      <c r="J144" s="72"/>
      <c r="K144" s="34" t="s">
        <v>65</v>
      </c>
      <c r="L144" s="79">
        <v>144</v>
      </c>
      <c r="M144" s="79"/>
      <c r="N144" s="74"/>
      <c r="O144" s="81" t="s">
        <v>586</v>
      </c>
      <c r="P144" s="83">
        <v>44004.834444444445</v>
      </c>
      <c r="Q144" s="81" t="s">
        <v>595</v>
      </c>
      <c r="R144" s="81"/>
      <c r="S144" s="81"/>
      <c r="T144" s="81"/>
      <c r="U144" s="81"/>
      <c r="V144" s="84" t="str">
        <f>HYPERLINK("http://pbs.twimg.com/profile_images/1228314766223069184/4ZlSbaZL_normal.jpg")</f>
        <v>http://pbs.twimg.com/profile_images/1228314766223069184/4ZlSbaZL_normal.jpg</v>
      </c>
      <c r="W144" s="83">
        <v>44004.834444444445</v>
      </c>
      <c r="X144" s="87">
        <v>44004</v>
      </c>
      <c r="Y144" s="89" t="s">
        <v>803</v>
      </c>
      <c r="Z144" s="84" t="str">
        <f>HYPERLINK("https://twitter.com/agilchristpike/status/1275157005573992449")</f>
        <v>https://twitter.com/agilchristpike/status/1275157005573992449</v>
      </c>
      <c r="AA144" s="81"/>
      <c r="AB144" s="81"/>
      <c r="AC144" s="89" t="s">
        <v>1012</v>
      </c>
      <c r="AD144" s="81"/>
      <c r="AE144" s="81" t="b">
        <v>0</v>
      </c>
      <c r="AF144" s="81">
        <v>0</v>
      </c>
      <c r="AG144" s="89" t="s">
        <v>1149</v>
      </c>
      <c r="AH144" s="81" t="b">
        <v>0</v>
      </c>
      <c r="AI144" s="81" t="s">
        <v>1150</v>
      </c>
      <c r="AJ144" s="81"/>
      <c r="AK144" s="89" t="s">
        <v>1149</v>
      </c>
      <c r="AL144" s="81" t="b">
        <v>0</v>
      </c>
      <c r="AM144" s="81">
        <v>37</v>
      </c>
      <c r="AN144" s="89" t="s">
        <v>1142</v>
      </c>
      <c r="AO144" s="81" t="s">
        <v>1172</v>
      </c>
      <c r="AP144" s="81" t="b">
        <v>0</v>
      </c>
      <c r="AQ144" s="89" t="s">
        <v>1142</v>
      </c>
      <c r="AR144" s="81" t="s">
        <v>325</v>
      </c>
      <c r="AS144" s="81">
        <v>0</v>
      </c>
      <c r="AT144" s="81">
        <v>0</v>
      </c>
      <c r="AU144" s="81"/>
      <c r="AV144" s="81"/>
      <c r="AW144" s="81"/>
      <c r="AX144" s="81"/>
      <c r="AY144" s="81"/>
      <c r="AZ144" s="81"/>
      <c r="BA144" s="81"/>
      <c r="BB144" s="81"/>
      <c r="BC144">
        <v>1</v>
      </c>
      <c r="BD144" s="80" t="str">
        <f>REPLACE(INDEX(GroupVertices[Group],MATCH(Edges[[#This Row],[Vertex 1]],GroupVertices[Vertex],0)),1,1,"")</f>
        <v>2</v>
      </c>
      <c r="BE144" s="80" t="str">
        <f>REPLACE(INDEX(GroupVertices[Group],MATCH(Edges[[#This Row],[Vertex 2]],GroupVertices[Vertex],0)),1,1,"")</f>
        <v>2</v>
      </c>
      <c r="BF144" s="48">
        <v>3</v>
      </c>
      <c r="BG144" s="49">
        <v>7.5</v>
      </c>
      <c r="BH144" s="48">
        <v>0</v>
      </c>
      <c r="BI144" s="49">
        <v>0</v>
      </c>
      <c r="BJ144" s="48">
        <v>0</v>
      </c>
      <c r="BK144" s="49">
        <v>0</v>
      </c>
      <c r="BL144" s="48">
        <v>37</v>
      </c>
      <c r="BM144" s="49">
        <v>92.5</v>
      </c>
      <c r="BN144" s="48">
        <v>40</v>
      </c>
    </row>
    <row r="145" spans="1:66" ht="15">
      <c r="A145" s="66" t="s">
        <v>437</v>
      </c>
      <c r="B145" s="66" t="s">
        <v>526</v>
      </c>
      <c r="C145" s="67" t="s">
        <v>3149</v>
      </c>
      <c r="D145" s="68">
        <v>4</v>
      </c>
      <c r="E145" s="69" t="s">
        <v>132</v>
      </c>
      <c r="F145" s="70">
        <v>30</v>
      </c>
      <c r="G145" s="67"/>
      <c r="H145" s="71"/>
      <c r="I145" s="72"/>
      <c r="J145" s="72"/>
      <c r="K145" s="34" t="s">
        <v>65</v>
      </c>
      <c r="L145" s="79">
        <v>145</v>
      </c>
      <c r="M145" s="79"/>
      <c r="N145" s="74"/>
      <c r="O145" s="81" t="s">
        <v>588</v>
      </c>
      <c r="P145" s="83">
        <v>44004.834872685184</v>
      </c>
      <c r="Q145" s="81" t="s">
        <v>612</v>
      </c>
      <c r="R145" s="81"/>
      <c r="S145" s="81"/>
      <c r="T145" s="81" t="s">
        <v>703</v>
      </c>
      <c r="U145" s="81"/>
      <c r="V145" s="84" t="str">
        <f>HYPERLINK("http://pbs.twimg.com/profile_images/1247792742849056769/ngW359z8_normal.jpg")</f>
        <v>http://pbs.twimg.com/profile_images/1247792742849056769/ngW359z8_normal.jpg</v>
      </c>
      <c r="W145" s="83">
        <v>44004.834872685184</v>
      </c>
      <c r="X145" s="87">
        <v>44004</v>
      </c>
      <c r="Y145" s="89" t="s">
        <v>804</v>
      </c>
      <c r="Z145" s="84" t="str">
        <f>HYPERLINK("https://twitter.com/mrvisgeography/status/1275157164286451716")</f>
        <v>https://twitter.com/mrvisgeography/status/1275157164286451716</v>
      </c>
      <c r="AA145" s="81"/>
      <c r="AB145" s="81"/>
      <c r="AC145" s="89" t="s">
        <v>1013</v>
      </c>
      <c r="AD145" s="81"/>
      <c r="AE145" s="81" t="b">
        <v>0</v>
      </c>
      <c r="AF145" s="81">
        <v>0</v>
      </c>
      <c r="AG145" s="89" t="s">
        <v>1149</v>
      </c>
      <c r="AH145" s="81" t="b">
        <v>0</v>
      </c>
      <c r="AI145" s="81" t="s">
        <v>1150</v>
      </c>
      <c r="AJ145" s="81"/>
      <c r="AK145" s="89" t="s">
        <v>1149</v>
      </c>
      <c r="AL145" s="81" t="b">
        <v>0</v>
      </c>
      <c r="AM145" s="81">
        <v>16</v>
      </c>
      <c r="AN145" s="89" t="s">
        <v>1137</v>
      </c>
      <c r="AO145" s="81" t="s">
        <v>1176</v>
      </c>
      <c r="AP145" s="81" t="b">
        <v>0</v>
      </c>
      <c r="AQ145" s="89" t="s">
        <v>1137</v>
      </c>
      <c r="AR145" s="81" t="s">
        <v>325</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8"/>
      <c r="BG145" s="49"/>
      <c r="BH145" s="48"/>
      <c r="BI145" s="49"/>
      <c r="BJ145" s="48"/>
      <c r="BK145" s="49"/>
      <c r="BL145" s="48"/>
      <c r="BM145" s="49"/>
      <c r="BN145" s="48"/>
    </row>
    <row r="146" spans="1:66" ht="15">
      <c r="A146" s="66" t="s">
        <v>437</v>
      </c>
      <c r="B146" s="66" t="s">
        <v>527</v>
      </c>
      <c r="C146" s="67" t="s">
        <v>3149</v>
      </c>
      <c r="D146" s="68">
        <v>4</v>
      </c>
      <c r="E146" s="69" t="s">
        <v>132</v>
      </c>
      <c r="F146" s="70">
        <v>30</v>
      </c>
      <c r="G146" s="67"/>
      <c r="H146" s="71"/>
      <c r="I146" s="72"/>
      <c r="J146" s="72"/>
      <c r="K146" s="34" t="s">
        <v>65</v>
      </c>
      <c r="L146" s="79">
        <v>146</v>
      </c>
      <c r="M146" s="79"/>
      <c r="N146" s="74"/>
      <c r="O146" s="81" t="s">
        <v>588</v>
      </c>
      <c r="P146" s="83">
        <v>44004.834872685184</v>
      </c>
      <c r="Q146" s="81" t="s">
        <v>612</v>
      </c>
      <c r="R146" s="81"/>
      <c r="S146" s="81"/>
      <c r="T146" s="81" t="s">
        <v>703</v>
      </c>
      <c r="U146" s="81"/>
      <c r="V146" s="84" t="str">
        <f>HYPERLINK("http://pbs.twimg.com/profile_images/1247792742849056769/ngW359z8_normal.jpg")</f>
        <v>http://pbs.twimg.com/profile_images/1247792742849056769/ngW359z8_normal.jpg</v>
      </c>
      <c r="W146" s="83">
        <v>44004.834872685184</v>
      </c>
      <c r="X146" s="87">
        <v>44004</v>
      </c>
      <c r="Y146" s="89" t="s">
        <v>804</v>
      </c>
      <c r="Z146" s="84" t="str">
        <f>HYPERLINK("https://twitter.com/mrvisgeography/status/1275157164286451716")</f>
        <v>https://twitter.com/mrvisgeography/status/1275157164286451716</v>
      </c>
      <c r="AA146" s="81"/>
      <c r="AB146" s="81"/>
      <c r="AC146" s="89" t="s">
        <v>1013</v>
      </c>
      <c r="AD146" s="81"/>
      <c r="AE146" s="81" t="b">
        <v>0</v>
      </c>
      <c r="AF146" s="81">
        <v>0</v>
      </c>
      <c r="AG146" s="89" t="s">
        <v>1149</v>
      </c>
      <c r="AH146" s="81" t="b">
        <v>0</v>
      </c>
      <c r="AI146" s="81" t="s">
        <v>1150</v>
      </c>
      <c r="AJ146" s="81"/>
      <c r="AK146" s="89" t="s">
        <v>1149</v>
      </c>
      <c r="AL146" s="81" t="b">
        <v>0</v>
      </c>
      <c r="AM146" s="81">
        <v>16</v>
      </c>
      <c r="AN146" s="89" t="s">
        <v>1137</v>
      </c>
      <c r="AO146" s="81" t="s">
        <v>1176</v>
      </c>
      <c r="AP146" s="81" t="b">
        <v>0</v>
      </c>
      <c r="AQ146" s="89" t="s">
        <v>1137</v>
      </c>
      <c r="AR146" s="81" t="s">
        <v>325</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8"/>
      <c r="BG146" s="49"/>
      <c r="BH146" s="48"/>
      <c r="BI146" s="49"/>
      <c r="BJ146" s="48"/>
      <c r="BK146" s="49"/>
      <c r="BL146" s="48"/>
      <c r="BM146" s="49"/>
      <c r="BN146" s="48"/>
    </row>
    <row r="147" spans="1:66" ht="15">
      <c r="A147" s="66" t="s">
        <v>437</v>
      </c>
      <c r="B147" s="66" t="s">
        <v>509</v>
      </c>
      <c r="C147" s="67" t="s">
        <v>3149</v>
      </c>
      <c r="D147" s="68">
        <v>4</v>
      </c>
      <c r="E147" s="69" t="s">
        <v>132</v>
      </c>
      <c r="F147" s="70">
        <v>30</v>
      </c>
      <c r="G147" s="67"/>
      <c r="H147" s="71"/>
      <c r="I147" s="72"/>
      <c r="J147" s="72"/>
      <c r="K147" s="34" t="s">
        <v>65</v>
      </c>
      <c r="L147" s="79">
        <v>147</v>
      </c>
      <c r="M147" s="79"/>
      <c r="N147" s="74"/>
      <c r="O147" s="81" t="s">
        <v>586</v>
      </c>
      <c r="P147" s="83">
        <v>44004.834872685184</v>
      </c>
      <c r="Q147" s="81" t="s">
        <v>612</v>
      </c>
      <c r="R147" s="81"/>
      <c r="S147" s="81"/>
      <c r="T147" s="81" t="s">
        <v>703</v>
      </c>
      <c r="U147" s="81"/>
      <c r="V147" s="84" t="str">
        <f>HYPERLINK("http://pbs.twimg.com/profile_images/1247792742849056769/ngW359z8_normal.jpg")</f>
        <v>http://pbs.twimg.com/profile_images/1247792742849056769/ngW359z8_normal.jpg</v>
      </c>
      <c r="W147" s="83">
        <v>44004.834872685184</v>
      </c>
      <c r="X147" s="87">
        <v>44004</v>
      </c>
      <c r="Y147" s="89" t="s">
        <v>804</v>
      </c>
      <c r="Z147" s="84" t="str">
        <f>HYPERLINK("https://twitter.com/mrvisgeography/status/1275157164286451716")</f>
        <v>https://twitter.com/mrvisgeography/status/1275157164286451716</v>
      </c>
      <c r="AA147" s="81"/>
      <c r="AB147" s="81"/>
      <c r="AC147" s="89" t="s">
        <v>1013</v>
      </c>
      <c r="AD147" s="81"/>
      <c r="AE147" s="81" t="b">
        <v>0</v>
      </c>
      <c r="AF147" s="81">
        <v>0</v>
      </c>
      <c r="AG147" s="89" t="s">
        <v>1149</v>
      </c>
      <c r="AH147" s="81" t="b">
        <v>0</v>
      </c>
      <c r="AI147" s="81" t="s">
        <v>1150</v>
      </c>
      <c r="AJ147" s="81"/>
      <c r="AK147" s="89" t="s">
        <v>1149</v>
      </c>
      <c r="AL147" s="81" t="b">
        <v>0</v>
      </c>
      <c r="AM147" s="81">
        <v>16</v>
      </c>
      <c r="AN147" s="89" t="s">
        <v>1137</v>
      </c>
      <c r="AO147" s="81" t="s">
        <v>1176</v>
      </c>
      <c r="AP147" s="81" t="b">
        <v>0</v>
      </c>
      <c r="AQ147" s="89" t="s">
        <v>1137</v>
      </c>
      <c r="AR147" s="81" t="s">
        <v>325</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8">
        <v>1</v>
      </c>
      <c r="BG147" s="49">
        <v>4.761904761904762</v>
      </c>
      <c r="BH147" s="48">
        <v>0</v>
      </c>
      <c r="BI147" s="49">
        <v>0</v>
      </c>
      <c r="BJ147" s="48">
        <v>0</v>
      </c>
      <c r="BK147" s="49">
        <v>0</v>
      </c>
      <c r="BL147" s="48">
        <v>20</v>
      </c>
      <c r="BM147" s="49">
        <v>95.23809523809524</v>
      </c>
      <c r="BN147" s="48">
        <v>21</v>
      </c>
    </row>
    <row r="148" spans="1:66" ht="15">
      <c r="A148" s="66" t="s">
        <v>438</v>
      </c>
      <c r="B148" s="66" t="s">
        <v>513</v>
      </c>
      <c r="C148" s="67" t="s">
        <v>3149</v>
      </c>
      <c r="D148" s="68">
        <v>4</v>
      </c>
      <c r="E148" s="69" t="s">
        <v>132</v>
      </c>
      <c r="F148" s="70">
        <v>30</v>
      </c>
      <c r="G148" s="67"/>
      <c r="H148" s="71"/>
      <c r="I148" s="72"/>
      <c r="J148" s="72"/>
      <c r="K148" s="34" t="s">
        <v>65</v>
      </c>
      <c r="L148" s="79">
        <v>148</v>
      </c>
      <c r="M148" s="79"/>
      <c r="N148" s="74"/>
      <c r="O148" s="81" t="s">
        <v>588</v>
      </c>
      <c r="P148" s="83">
        <v>44004.837743055556</v>
      </c>
      <c r="Q148" s="81" t="s">
        <v>595</v>
      </c>
      <c r="R148" s="81"/>
      <c r="S148" s="81"/>
      <c r="T148" s="81"/>
      <c r="U148" s="81"/>
      <c r="V148" s="84" t="str">
        <f>HYPERLINK("http://pbs.twimg.com/profile_images/1150333779573166080/5Gh56cGN_normal.jpg")</f>
        <v>http://pbs.twimg.com/profile_images/1150333779573166080/5Gh56cGN_normal.jpg</v>
      </c>
      <c r="W148" s="83">
        <v>44004.837743055556</v>
      </c>
      <c r="X148" s="87">
        <v>44004</v>
      </c>
      <c r="Y148" s="89" t="s">
        <v>805</v>
      </c>
      <c r="Z148" s="84" t="str">
        <f>HYPERLINK("https://twitter.com/eoinmcfadden/status/1275158202611568641")</f>
        <v>https://twitter.com/eoinmcfadden/status/1275158202611568641</v>
      </c>
      <c r="AA148" s="81"/>
      <c r="AB148" s="81"/>
      <c r="AC148" s="89" t="s">
        <v>1014</v>
      </c>
      <c r="AD148" s="81"/>
      <c r="AE148" s="81" t="b">
        <v>0</v>
      </c>
      <c r="AF148" s="81">
        <v>0</v>
      </c>
      <c r="AG148" s="89" t="s">
        <v>1149</v>
      </c>
      <c r="AH148" s="81" t="b">
        <v>0</v>
      </c>
      <c r="AI148" s="81" t="s">
        <v>1150</v>
      </c>
      <c r="AJ148" s="81"/>
      <c r="AK148" s="89" t="s">
        <v>1149</v>
      </c>
      <c r="AL148" s="81" t="b">
        <v>0</v>
      </c>
      <c r="AM148" s="81">
        <v>37</v>
      </c>
      <c r="AN148" s="89" t="s">
        <v>1142</v>
      </c>
      <c r="AO148" s="81" t="s">
        <v>1172</v>
      </c>
      <c r="AP148" s="81" t="b">
        <v>0</v>
      </c>
      <c r="AQ148" s="89" t="s">
        <v>1142</v>
      </c>
      <c r="AR148" s="81" t="s">
        <v>325</v>
      </c>
      <c r="AS148" s="81">
        <v>0</v>
      </c>
      <c r="AT148" s="81">
        <v>0</v>
      </c>
      <c r="AU148" s="81"/>
      <c r="AV148" s="81"/>
      <c r="AW148" s="81"/>
      <c r="AX148" s="81"/>
      <c r="AY148" s="81"/>
      <c r="AZ148" s="81"/>
      <c r="BA148" s="81"/>
      <c r="BB148" s="81"/>
      <c r="BC148">
        <v>1</v>
      </c>
      <c r="BD148" s="80" t="str">
        <f>REPLACE(INDEX(GroupVertices[Group],MATCH(Edges[[#This Row],[Vertex 1]],GroupVertices[Vertex],0)),1,1,"")</f>
        <v>2</v>
      </c>
      <c r="BE148" s="80" t="str">
        <f>REPLACE(INDEX(GroupVertices[Group],MATCH(Edges[[#This Row],[Vertex 2]],GroupVertices[Vertex],0)),1,1,"")</f>
        <v>2</v>
      </c>
      <c r="BF148" s="48"/>
      <c r="BG148" s="49"/>
      <c r="BH148" s="48"/>
      <c r="BI148" s="49"/>
      <c r="BJ148" s="48"/>
      <c r="BK148" s="49"/>
      <c r="BL148" s="48"/>
      <c r="BM148" s="49"/>
      <c r="BN148" s="48"/>
    </row>
    <row r="149" spans="1:66" ht="15">
      <c r="A149" s="66" t="s">
        <v>438</v>
      </c>
      <c r="B149" s="66" t="s">
        <v>514</v>
      </c>
      <c r="C149" s="67" t="s">
        <v>3149</v>
      </c>
      <c r="D149" s="68">
        <v>4</v>
      </c>
      <c r="E149" s="69" t="s">
        <v>132</v>
      </c>
      <c r="F149" s="70">
        <v>30</v>
      </c>
      <c r="G149" s="67"/>
      <c r="H149" s="71"/>
      <c r="I149" s="72"/>
      <c r="J149" s="72"/>
      <c r="K149" s="34" t="s">
        <v>65</v>
      </c>
      <c r="L149" s="79">
        <v>149</v>
      </c>
      <c r="M149" s="79"/>
      <c r="N149" s="74"/>
      <c r="O149" s="81" t="s">
        <v>586</v>
      </c>
      <c r="P149" s="83">
        <v>44004.837743055556</v>
      </c>
      <c r="Q149" s="81" t="s">
        <v>595</v>
      </c>
      <c r="R149" s="81"/>
      <c r="S149" s="81"/>
      <c r="T149" s="81"/>
      <c r="U149" s="81"/>
      <c r="V149" s="84" t="str">
        <f>HYPERLINK("http://pbs.twimg.com/profile_images/1150333779573166080/5Gh56cGN_normal.jpg")</f>
        <v>http://pbs.twimg.com/profile_images/1150333779573166080/5Gh56cGN_normal.jpg</v>
      </c>
      <c r="W149" s="83">
        <v>44004.837743055556</v>
      </c>
      <c r="X149" s="87">
        <v>44004</v>
      </c>
      <c r="Y149" s="89" t="s">
        <v>805</v>
      </c>
      <c r="Z149" s="84" t="str">
        <f>HYPERLINK("https://twitter.com/eoinmcfadden/status/1275158202611568641")</f>
        <v>https://twitter.com/eoinmcfadden/status/1275158202611568641</v>
      </c>
      <c r="AA149" s="81"/>
      <c r="AB149" s="81"/>
      <c r="AC149" s="89" t="s">
        <v>1014</v>
      </c>
      <c r="AD149" s="81"/>
      <c r="AE149" s="81" t="b">
        <v>0</v>
      </c>
      <c r="AF149" s="81">
        <v>0</v>
      </c>
      <c r="AG149" s="89" t="s">
        <v>1149</v>
      </c>
      <c r="AH149" s="81" t="b">
        <v>0</v>
      </c>
      <c r="AI149" s="81" t="s">
        <v>1150</v>
      </c>
      <c r="AJ149" s="81"/>
      <c r="AK149" s="89" t="s">
        <v>1149</v>
      </c>
      <c r="AL149" s="81" t="b">
        <v>0</v>
      </c>
      <c r="AM149" s="81">
        <v>37</v>
      </c>
      <c r="AN149" s="89" t="s">
        <v>1142</v>
      </c>
      <c r="AO149" s="81" t="s">
        <v>1172</v>
      </c>
      <c r="AP149" s="81" t="b">
        <v>0</v>
      </c>
      <c r="AQ149" s="89" t="s">
        <v>1142</v>
      </c>
      <c r="AR149" s="81" t="s">
        <v>325</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8">
        <v>3</v>
      </c>
      <c r="BG149" s="49">
        <v>7.5</v>
      </c>
      <c r="BH149" s="48">
        <v>0</v>
      </c>
      <c r="BI149" s="49">
        <v>0</v>
      </c>
      <c r="BJ149" s="48">
        <v>0</v>
      </c>
      <c r="BK149" s="49">
        <v>0</v>
      </c>
      <c r="BL149" s="48">
        <v>37</v>
      </c>
      <c r="BM149" s="49">
        <v>92.5</v>
      </c>
      <c r="BN149" s="48">
        <v>40</v>
      </c>
    </row>
    <row r="150" spans="1:66" ht="15">
      <c r="A150" s="66" t="s">
        <v>439</v>
      </c>
      <c r="B150" s="66" t="s">
        <v>513</v>
      </c>
      <c r="C150" s="67" t="s">
        <v>3149</v>
      </c>
      <c r="D150" s="68">
        <v>4</v>
      </c>
      <c r="E150" s="69" t="s">
        <v>132</v>
      </c>
      <c r="F150" s="70">
        <v>30</v>
      </c>
      <c r="G150" s="67"/>
      <c r="H150" s="71"/>
      <c r="I150" s="72"/>
      <c r="J150" s="72"/>
      <c r="K150" s="34" t="s">
        <v>65</v>
      </c>
      <c r="L150" s="79">
        <v>150</v>
      </c>
      <c r="M150" s="79"/>
      <c r="N150" s="74"/>
      <c r="O150" s="81" t="s">
        <v>588</v>
      </c>
      <c r="P150" s="83">
        <v>44004.83871527778</v>
      </c>
      <c r="Q150" s="81" t="s">
        <v>595</v>
      </c>
      <c r="R150" s="81"/>
      <c r="S150" s="81"/>
      <c r="T150" s="81"/>
      <c r="U150" s="81"/>
      <c r="V150" s="84" t="str">
        <f>HYPERLINK("http://pbs.twimg.com/profile_images/1270622425563217921/tU7vG6JV_normal.jpg")</f>
        <v>http://pbs.twimg.com/profile_images/1270622425563217921/tU7vG6JV_normal.jpg</v>
      </c>
      <c r="W150" s="83">
        <v>44004.83871527778</v>
      </c>
      <c r="X150" s="87">
        <v>44004</v>
      </c>
      <c r="Y150" s="89" t="s">
        <v>806</v>
      </c>
      <c r="Z150" s="84" t="str">
        <f>HYPERLINK("https://twitter.com/jasonbelldata/status/1275158554014597122")</f>
        <v>https://twitter.com/jasonbelldata/status/1275158554014597122</v>
      </c>
      <c r="AA150" s="81"/>
      <c r="AB150" s="81"/>
      <c r="AC150" s="89" t="s">
        <v>1015</v>
      </c>
      <c r="AD150" s="81"/>
      <c r="AE150" s="81" t="b">
        <v>0</v>
      </c>
      <c r="AF150" s="81">
        <v>0</v>
      </c>
      <c r="AG150" s="89" t="s">
        <v>1149</v>
      </c>
      <c r="AH150" s="81" t="b">
        <v>0</v>
      </c>
      <c r="AI150" s="81" t="s">
        <v>1150</v>
      </c>
      <c r="AJ150" s="81"/>
      <c r="AK150" s="89" t="s">
        <v>1149</v>
      </c>
      <c r="AL150" s="81" t="b">
        <v>0</v>
      </c>
      <c r="AM150" s="81">
        <v>37</v>
      </c>
      <c r="AN150" s="89" t="s">
        <v>1142</v>
      </c>
      <c r="AO150" s="81" t="s">
        <v>1176</v>
      </c>
      <c r="AP150" s="81" t="b">
        <v>0</v>
      </c>
      <c r="AQ150" s="89" t="s">
        <v>1142</v>
      </c>
      <c r="AR150" s="81" t="s">
        <v>325</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8"/>
      <c r="BG150" s="49"/>
      <c r="BH150" s="48"/>
      <c r="BI150" s="49"/>
      <c r="BJ150" s="48"/>
      <c r="BK150" s="49"/>
      <c r="BL150" s="48"/>
      <c r="BM150" s="49"/>
      <c r="BN150" s="48"/>
    </row>
    <row r="151" spans="1:66" ht="15">
      <c r="A151" s="66" t="s">
        <v>439</v>
      </c>
      <c r="B151" s="66" t="s">
        <v>514</v>
      </c>
      <c r="C151" s="67" t="s">
        <v>3149</v>
      </c>
      <c r="D151" s="68">
        <v>4</v>
      </c>
      <c r="E151" s="69" t="s">
        <v>132</v>
      </c>
      <c r="F151" s="70">
        <v>30</v>
      </c>
      <c r="G151" s="67"/>
      <c r="H151" s="71"/>
      <c r="I151" s="72"/>
      <c r="J151" s="72"/>
      <c r="K151" s="34" t="s">
        <v>65</v>
      </c>
      <c r="L151" s="79">
        <v>151</v>
      </c>
      <c r="M151" s="79"/>
      <c r="N151" s="74"/>
      <c r="O151" s="81" t="s">
        <v>586</v>
      </c>
      <c r="P151" s="83">
        <v>44004.83871527778</v>
      </c>
      <c r="Q151" s="81" t="s">
        <v>595</v>
      </c>
      <c r="R151" s="81"/>
      <c r="S151" s="81"/>
      <c r="T151" s="81"/>
      <c r="U151" s="81"/>
      <c r="V151" s="84" t="str">
        <f>HYPERLINK("http://pbs.twimg.com/profile_images/1270622425563217921/tU7vG6JV_normal.jpg")</f>
        <v>http://pbs.twimg.com/profile_images/1270622425563217921/tU7vG6JV_normal.jpg</v>
      </c>
      <c r="W151" s="83">
        <v>44004.83871527778</v>
      </c>
      <c r="X151" s="87">
        <v>44004</v>
      </c>
      <c r="Y151" s="89" t="s">
        <v>806</v>
      </c>
      <c r="Z151" s="84" t="str">
        <f>HYPERLINK("https://twitter.com/jasonbelldata/status/1275158554014597122")</f>
        <v>https://twitter.com/jasonbelldata/status/1275158554014597122</v>
      </c>
      <c r="AA151" s="81"/>
      <c r="AB151" s="81"/>
      <c r="AC151" s="89" t="s">
        <v>1015</v>
      </c>
      <c r="AD151" s="81"/>
      <c r="AE151" s="81" t="b">
        <v>0</v>
      </c>
      <c r="AF151" s="81">
        <v>0</v>
      </c>
      <c r="AG151" s="89" t="s">
        <v>1149</v>
      </c>
      <c r="AH151" s="81" t="b">
        <v>0</v>
      </c>
      <c r="AI151" s="81" t="s">
        <v>1150</v>
      </c>
      <c r="AJ151" s="81"/>
      <c r="AK151" s="89" t="s">
        <v>1149</v>
      </c>
      <c r="AL151" s="81" t="b">
        <v>0</v>
      </c>
      <c r="AM151" s="81">
        <v>37</v>
      </c>
      <c r="AN151" s="89" t="s">
        <v>1142</v>
      </c>
      <c r="AO151" s="81" t="s">
        <v>1176</v>
      </c>
      <c r="AP151" s="81" t="b">
        <v>0</v>
      </c>
      <c r="AQ151" s="89" t="s">
        <v>1142</v>
      </c>
      <c r="AR151" s="81" t="s">
        <v>325</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8">
        <v>3</v>
      </c>
      <c r="BG151" s="49">
        <v>7.5</v>
      </c>
      <c r="BH151" s="48">
        <v>0</v>
      </c>
      <c r="BI151" s="49">
        <v>0</v>
      </c>
      <c r="BJ151" s="48">
        <v>0</v>
      </c>
      <c r="BK151" s="49">
        <v>0</v>
      </c>
      <c r="BL151" s="48">
        <v>37</v>
      </c>
      <c r="BM151" s="49">
        <v>92.5</v>
      </c>
      <c r="BN151" s="48">
        <v>40</v>
      </c>
    </row>
    <row r="152" spans="1:66" ht="15">
      <c r="A152" s="66" t="s">
        <v>440</v>
      </c>
      <c r="B152" s="66" t="s">
        <v>514</v>
      </c>
      <c r="C152" s="67" t="s">
        <v>3149</v>
      </c>
      <c r="D152" s="68">
        <v>4</v>
      </c>
      <c r="E152" s="69" t="s">
        <v>132</v>
      </c>
      <c r="F152" s="70">
        <v>30</v>
      </c>
      <c r="G152" s="67"/>
      <c r="H152" s="71"/>
      <c r="I152" s="72"/>
      <c r="J152" s="72"/>
      <c r="K152" s="34" t="s">
        <v>65</v>
      </c>
      <c r="L152" s="79">
        <v>152</v>
      </c>
      <c r="M152" s="79"/>
      <c r="N152" s="74"/>
      <c r="O152" s="81" t="s">
        <v>586</v>
      </c>
      <c r="P152" s="83">
        <v>44004.841365740744</v>
      </c>
      <c r="Q152" s="81" t="s">
        <v>613</v>
      </c>
      <c r="R152" s="81"/>
      <c r="S152" s="81"/>
      <c r="T152" s="81" t="s">
        <v>699</v>
      </c>
      <c r="U152" s="81"/>
      <c r="V152" s="84" t="str">
        <f>HYPERLINK("http://pbs.twimg.com/profile_images/2695904339/942121048881be1d5f306d6df33688be_normal.jpeg")</f>
        <v>http://pbs.twimg.com/profile_images/2695904339/942121048881be1d5f306d6df33688be_normal.jpeg</v>
      </c>
      <c r="W152" s="83">
        <v>44004.841365740744</v>
      </c>
      <c r="X152" s="87">
        <v>44004</v>
      </c>
      <c r="Y152" s="89" t="s">
        <v>807</v>
      </c>
      <c r="Z152" s="84" t="str">
        <f>HYPERLINK("https://twitter.com/mortlin/status/1275159513595875331")</f>
        <v>https://twitter.com/mortlin/status/1275159513595875331</v>
      </c>
      <c r="AA152" s="81"/>
      <c r="AB152" s="81"/>
      <c r="AC152" s="89" t="s">
        <v>1016</v>
      </c>
      <c r="AD152" s="81"/>
      <c r="AE152" s="81" t="b">
        <v>0</v>
      </c>
      <c r="AF152" s="81">
        <v>0</v>
      </c>
      <c r="AG152" s="89" t="s">
        <v>1149</v>
      </c>
      <c r="AH152" s="81" t="b">
        <v>0</v>
      </c>
      <c r="AI152" s="81" t="s">
        <v>1150</v>
      </c>
      <c r="AJ152" s="81"/>
      <c r="AK152" s="89" t="s">
        <v>1149</v>
      </c>
      <c r="AL152" s="81" t="b">
        <v>0</v>
      </c>
      <c r="AM152" s="81">
        <v>3</v>
      </c>
      <c r="AN152" s="89" t="s">
        <v>1143</v>
      </c>
      <c r="AO152" s="81" t="s">
        <v>1176</v>
      </c>
      <c r="AP152" s="81" t="b">
        <v>0</v>
      </c>
      <c r="AQ152" s="89" t="s">
        <v>1143</v>
      </c>
      <c r="AR152" s="81" t="s">
        <v>325</v>
      </c>
      <c r="AS152" s="81">
        <v>0</v>
      </c>
      <c r="AT152" s="81">
        <v>0</v>
      </c>
      <c r="AU152" s="81"/>
      <c r="AV152" s="81"/>
      <c r="AW152" s="81"/>
      <c r="AX152" s="81"/>
      <c r="AY152" s="81"/>
      <c r="AZ152" s="81"/>
      <c r="BA152" s="81"/>
      <c r="BB152" s="81"/>
      <c r="BC152">
        <v>1</v>
      </c>
      <c r="BD152" s="80" t="str">
        <f>REPLACE(INDEX(GroupVertices[Group],MATCH(Edges[[#This Row],[Vertex 1]],GroupVertices[Vertex],0)),1,1,"")</f>
        <v>2</v>
      </c>
      <c r="BE152" s="80" t="str">
        <f>REPLACE(INDEX(GroupVertices[Group],MATCH(Edges[[#This Row],[Vertex 2]],GroupVertices[Vertex],0)),1,1,"")</f>
        <v>2</v>
      </c>
      <c r="BF152" s="48">
        <v>1</v>
      </c>
      <c r="BG152" s="49">
        <v>4.545454545454546</v>
      </c>
      <c r="BH152" s="48">
        <v>1</v>
      </c>
      <c r="BI152" s="49">
        <v>4.545454545454546</v>
      </c>
      <c r="BJ152" s="48">
        <v>0</v>
      </c>
      <c r="BK152" s="49">
        <v>0</v>
      </c>
      <c r="BL152" s="48">
        <v>20</v>
      </c>
      <c r="BM152" s="49">
        <v>90.9090909090909</v>
      </c>
      <c r="BN152" s="48">
        <v>22</v>
      </c>
    </row>
    <row r="153" spans="1:66" ht="15">
      <c r="A153" s="66" t="s">
        <v>441</v>
      </c>
      <c r="B153" s="66" t="s">
        <v>513</v>
      </c>
      <c r="C153" s="67" t="s">
        <v>3149</v>
      </c>
      <c r="D153" s="68">
        <v>4</v>
      </c>
      <c r="E153" s="69" t="s">
        <v>132</v>
      </c>
      <c r="F153" s="70">
        <v>30</v>
      </c>
      <c r="G153" s="67"/>
      <c r="H153" s="71"/>
      <c r="I153" s="72"/>
      <c r="J153" s="72"/>
      <c r="K153" s="34" t="s">
        <v>65</v>
      </c>
      <c r="L153" s="79">
        <v>153</v>
      </c>
      <c r="M153" s="79"/>
      <c r="N153" s="74"/>
      <c r="O153" s="81" t="s">
        <v>588</v>
      </c>
      <c r="P153" s="83">
        <v>44004.84394675926</v>
      </c>
      <c r="Q153" s="81" t="s">
        <v>595</v>
      </c>
      <c r="R153" s="81"/>
      <c r="S153" s="81"/>
      <c r="T153" s="81"/>
      <c r="U153" s="81"/>
      <c r="V153" s="84" t="str">
        <f>HYPERLINK("http://pbs.twimg.com/profile_images/1172140587803451394/qMUerOdK_normal.jpg")</f>
        <v>http://pbs.twimg.com/profile_images/1172140587803451394/qMUerOdK_normal.jpg</v>
      </c>
      <c r="W153" s="83">
        <v>44004.84394675926</v>
      </c>
      <c r="X153" s="87">
        <v>44004</v>
      </c>
      <c r="Y153" s="89" t="s">
        <v>808</v>
      </c>
      <c r="Z153" s="84" t="str">
        <f>HYPERLINK("https://twitter.com/cariannewhit/status/1275160450980892677")</f>
        <v>https://twitter.com/cariannewhit/status/1275160450980892677</v>
      </c>
      <c r="AA153" s="81"/>
      <c r="AB153" s="81"/>
      <c r="AC153" s="89" t="s">
        <v>1017</v>
      </c>
      <c r="AD153" s="81"/>
      <c r="AE153" s="81" t="b">
        <v>0</v>
      </c>
      <c r="AF153" s="81">
        <v>0</v>
      </c>
      <c r="AG153" s="89" t="s">
        <v>1149</v>
      </c>
      <c r="AH153" s="81" t="b">
        <v>0</v>
      </c>
      <c r="AI153" s="81" t="s">
        <v>1150</v>
      </c>
      <c r="AJ153" s="81"/>
      <c r="AK153" s="89" t="s">
        <v>1149</v>
      </c>
      <c r="AL153" s="81" t="b">
        <v>0</v>
      </c>
      <c r="AM153" s="81">
        <v>37</v>
      </c>
      <c r="AN153" s="89" t="s">
        <v>1142</v>
      </c>
      <c r="AO153" s="81" t="s">
        <v>1176</v>
      </c>
      <c r="AP153" s="81" t="b">
        <v>0</v>
      </c>
      <c r="AQ153" s="89" t="s">
        <v>1142</v>
      </c>
      <c r="AR153" s="81" t="s">
        <v>325</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8"/>
      <c r="BG153" s="49"/>
      <c r="BH153" s="48"/>
      <c r="BI153" s="49"/>
      <c r="BJ153" s="48"/>
      <c r="BK153" s="49"/>
      <c r="BL153" s="48"/>
      <c r="BM153" s="49"/>
      <c r="BN153" s="48"/>
    </row>
    <row r="154" spans="1:66" ht="15">
      <c r="A154" s="66" t="s">
        <v>441</v>
      </c>
      <c r="B154" s="66" t="s">
        <v>514</v>
      </c>
      <c r="C154" s="67" t="s">
        <v>3149</v>
      </c>
      <c r="D154" s="68">
        <v>4</v>
      </c>
      <c r="E154" s="69" t="s">
        <v>132</v>
      </c>
      <c r="F154" s="70">
        <v>30</v>
      </c>
      <c r="G154" s="67"/>
      <c r="H154" s="71"/>
      <c r="I154" s="72"/>
      <c r="J154" s="72"/>
      <c r="K154" s="34" t="s">
        <v>65</v>
      </c>
      <c r="L154" s="79">
        <v>154</v>
      </c>
      <c r="M154" s="79"/>
      <c r="N154" s="74"/>
      <c r="O154" s="81" t="s">
        <v>586</v>
      </c>
      <c r="P154" s="83">
        <v>44004.84394675926</v>
      </c>
      <c r="Q154" s="81" t="s">
        <v>595</v>
      </c>
      <c r="R154" s="81"/>
      <c r="S154" s="81"/>
      <c r="T154" s="81"/>
      <c r="U154" s="81"/>
      <c r="V154" s="84" t="str">
        <f>HYPERLINK("http://pbs.twimg.com/profile_images/1172140587803451394/qMUerOdK_normal.jpg")</f>
        <v>http://pbs.twimg.com/profile_images/1172140587803451394/qMUerOdK_normal.jpg</v>
      </c>
      <c r="W154" s="83">
        <v>44004.84394675926</v>
      </c>
      <c r="X154" s="87">
        <v>44004</v>
      </c>
      <c r="Y154" s="89" t="s">
        <v>808</v>
      </c>
      <c r="Z154" s="84" t="str">
        <f>HYPERLINK("https://twitter.com/cariannewhit/status/1275160450980892677")</f>
        <v>https://twitter.com/cariannewhit/status/1275160450980892677</v>
      </c>
      <c r="AA154" s="81"/>
      <c r="AB154" s="81"/>
      <c r="AC154" s="89" t="s">
        <v>1017</v>
      </c>
      <c r="AD154" s="81"/>
      <c r="AE154" s="81" t="b">
        <v>0</v>
      </c>
      <c r="AF154" s="81">
        <v>0</v>
      </c>
      <c r="AG154" s="89" t="s">
        <v>1149</v>
      </c>
      <c r="AH154" s="81" t="b">
        <v>0</v>
      </c>
      <c r="AI154" s="81" t="s">
        <v>1150</v>
      </c>
      <c r="AJ154" s="81"/>
      <c r="AK154" s="89" t="s">
        <v>1149</v>
      </c>
      <c r="AL154" s="81" t="b">
        <v>0</v>
      </c>
      <c r="AM154" s="81">
        <v>37</v>
      </c>
      <c r="AN154" s="89" t="s">
        <v>1142</v>
      </c>
      <c r="AO154" s="81" t="s">
        <v>1176</v>
      </c>
      <c r="AP154" s="81" t="b">
        <v>0</v>
      </c>
      <c r="AQ154" s="89" t="s">
        <v>1142</v>
      </c>
      <c r="AR154" s="81" t="s">
        <v>325</v>
      </c>
      <c r="AS154" s="81">
        <v>0</v>
      </c>
      <c r="AT154" s="81">
        <v>0</v>
      </c>
      <c r="AU154" s="81"/>
      <c r="AV154" s="81"/>
      <c r="AW154" s="81"/>
      <c r="AX154" s="81"/>
      <c r="AY154" s="81"/>
      <c r="AZ154" s="81"/>
      <c r="BA154" s="81"/>
      <c r="BB154" s="81"/>
      <c r="BC154">
        <v>1</v>
      </c>
      <c r="BD154" s="80" t="str">
        <f>REPLACE(INDEX(GroupVertices[Group],MATCH(Edges[[#This Row],[Vertex 1]],GroupVertices[Vertex],0)),1,1,"")</f>
        <v>2</v>
      </c>
      <c r="BE154" s="80" t="str">
        <f>REPLACE(INDEX(GroupVertices[Group],MATCH(Edges[[#This Row],[Vertex 2]],GroupVertices[Vertex],0)),1,1,"")</f>
        <v>2</v>
      </c>
      <c r="BF154" s="48">
        <v>3</v>
      </c>
      <c r="BG154" s="49">
        <v>7.5</v>
      </c>
      <c r="BH154" s="48">
        <v>0</v>
      </c>
      <c r="BI154" s="49">
        <v>0</v>
      </c>
      <c r="BJ154" s="48">
        <v>0</v>
      </c>
      <c r="BK154" s="49">
        <v>0</v>
      </c>
      <c r="BL154" s="48">
        <v>37</v>
      </c>
      <c r="BM154" s="49">
        <v>92.5</v>
      </c>
      <c r="BN154" s="48">
        <v>40</v>
      </c>
    </row>
    <row r="155" spans="1:66" ht="15">
      <c r="A155" s="66" t="s">
        <v>442</v>
      </c>
      <c r="B155" s="66" t="s">
        <v>513</v>
      </c>
      <c r="C155" s="67" t="s">
        <v>3149</v>
      </c>
      <c r="D155" s="68">
        <v>4</v>
      </c>
      <c r="E155" s="69" t="s">
        <v>132</v>
      </c>
      <c r="F155" s="70">
        <v>30</v>
      </c>
      <c r="G155" s="67"/>
      <c r="H155" s="71"/>
      <c r="I155" s="72"/>
      <c r="J155" s="72"/>
      <c r="K155" s="34" t="s">
        <v>65</v>
      </c>
      <c r="L155" s="79">
        <v>155</v>
      </c>
      <c r="M155" s="79"/>
      <c r="N155" s="74"/>
      <c r="O155" s="81" t="s">
        <v>588</v>
      </c>
      <c r="P155" s="83">
        <v>44004.84416666667</v>
      </c>
      <c r="Q155" s="81" t="s">
        <v>595</v>
      </c>
      <c r="R155" s="81"/>
      <c r="S155" s="81"/>
      <c r="T155" s="81"/>
      <c r="U155" s="81"/>
      <c r="V155" s="84" t="str">
        <f>HYPERLINK("http://pbs.twimg.com/profile_images/1263206771461632000/gINCRVso_normal.jpg")</f>
        <v>http://pbs.twimg.com/profile_images/1263206771461632000/gINCRVso_normal.jpg</v>
      </c>
      <c r="W155" s="83">
        <v>44004.84416666667</v>
      </c>
      <c r="X155" s="87">
        <v>44004</v>
      </c>
      <c r="Y155" s="89" t="s">
        <v>809</v>
      </c>
      <c r="Z155" s="84" t="str">
        <f>HYPERLINK("https://twitter.com/meandvan/status/1275160531834474497")</f>
        <v>https://twitter.com/meandvan/status/1275160531834474497</v>
      </c>
      <c r="AA155" s="81"/>
      <c r="AB155" s="81"/>
      <c r="AC155" s="89" t="s">
        <v>1018</v>
      </c>
      <c r="AD155" s="81"/>
      <c r="AE155" s="81" t="b">
        <v>0</v>
      </c>
      <c r="AF155" s="81">
        <v>0</v>
      </c>
      <c r="AG155" s="89" t="s">
        <v>1149</v>
      </c>
      <c r="AH155" s="81" t="b">
        <v>0</v>
      </c>
      <c r="AI155" s="81" t="s">
        <v>1150</v>
      </c>
      <c r="AJ155" s="81"/>
      <c r="AK155" s="89" t="s">
        <v>1149</v>
      </c>
      <c r="AL155" s="81" t="b">
        <v>0</v>
      </c>
      <c r="AM155" s="81">
        <v>37</v>
      </c>
      <c r="AN155" s="89" t="s">
        <v>1142</v>
      </c>
      <c r="AO155" s="81" t="s">
        <v>1176</v>
      </c>
      <c r="AP155" s="81" t="b">
        <v>0</v>
      </c>
      <c r="AQ155" s="89" t="s">
        <v>1142</v>
      </c>
      <c r="AR155" s="81" t="s">
        <v>325</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8"/>
      <c r="BG155" s="49"/>
      <c r="BH155" s="48"/>
      <c r="BI155" s="49"/>
      <c r="BJ155" s="48"/>
      <c r="BK155" s="49"/>
      <c r="BL155" s="48"/>
      <c r="BM155" s="49"/>
      <c r="BN155" s="48"/>
    </row>
    <row r="156" spans="1:66" ht="15">
      <c r="A156" s="66" t="s">
        <v>442</v>
      </c>
      <c r="B156" s="66" t="s">
        <v>514</v>
      </c>
      <c r="C156" s="67" t="s">
        <v>3149</v>
      </c>
      <c r="D156" s="68">
        <v>4</v>
      </c>
      <c r="E156" s="69" t="s">
        <v>132</v>
      </c>
      <c r="F156" s="70">
        <v>30</v>
      </c>
      <c r="G156" s="67"/>
      <c r="H156" s="71"/>
      <c r="I156" s="72"/>
      <c r="J156" s="72"/>
      <c r="K156" s="34" t="s">
        <v>65</v>
      </c>
      <c r="L156" s="79">
        <v>156</v>
      </c>
      <c r="M156" s="79"/>
      <c r="N156" s="74"/>
      <c r="O156" s="81" t="s">
        <v>586</v>
      </c>
      <c r="P156" s="83">
        <v>44004.84416666667</v>
      </c>
      <c r="Q156" s="81" t="s">
        <v>595</v>
      </c>
      <c r="R156" s="81"/>
      <c r="S156" s="81"/>
      <c r="T156" s="81"/>
      <c r="U156" s="81"/>
      <c r="V156" s="84" t="str">
        <f>HYPERLINK("http://pbs.twimg.com/profile_images/1263206771461632000/gINCRVso_normal.jpg")</f>
        <v>http://pbs.twimg.com/profile_images/1263206771461632000/gINCRVso_normal.jpg</v>
      </c>
      <c r="W156" s="83">
        <v>44004.84416666667</v>
      </c>
      <c r="X156" s="87">
        <v>44004</v>
      </c>
      <c r="Y156" s="89" t="s">
        <v>809</v>
      </c>
      <c r="Z156" s="84" t="str">
        <f>HYPERLINK("https://twitter.com/meandvan/status/1275160531834474497")</f>
        <v>https://twitter.com/meandvan/status/1275160531834474497</v>
      </c>
      <c r="AA156" s="81"/>
      <c r="AB156" s="81"/>
      <c r="AC156" s="89" t="s">
        <v>1018</v>
      </c>
      <c r="AD156" s="81"/>
      <c r="AE156" s="81" t="b">
        <v>0</v>
      </c>
      <c r="AF156" s="81">
        <v>0</v>
      </c>
      <c r="AG156" s="89" t="s">
        <v>1149</v>
      </c>
      <c r="AH156" s="81" t="b">
        <v>0</v>
      </c>
      <c r="AI156" s="81" t="s">
        <v>1150</v>
      </c>
      <c r="AJ156" s="81"/>
      <c r="AK156" s="89" t="s">
        <v>1149</v>
      </c>
      <c r="AL156" s="81" t="b">
        <v>0</v>
      </c>
      <c r="AM156" s="81">
        <v>37</v>
      </c>
      <c r="AN156" s="89" t="s">
        <v>1142</v>
      </c>
      <c r="AO156" s="81" t="s">
        <v>1176</v>
      </c>
      <c r="AP156" s="81" t="b">
        <v>0</v>
      </c>
      <c r="AQ156" s="89" t="s">
        <v>1142</v>
      </c>
      <c r="AR156" s="81" t="s">
        <v>325</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8">
        <v>3</v>
      </c>
      <c r="BG156" s="49">
        <v>7.5</v>
      </c>
      <c r="BH156" s="48">
        <v>0</v>
      </c>
      <c r="BI156" s="49">
        <v>0</v>
      </c>
      <c r="BJ156" s="48">
        <v>0</v>
      </c>
      <c r="BK156" s="49">
        <v>0</v>
      </c>
      <c r="BL156" s="48">
        <v>37</v>
      </c>
      <c r="BM156" s="49">
        <v>92.5</v>
      </c>
      <c r="BN156" s="48">
        <v>40</v>
      </c>
    </row>
    <row r="157" spans="1:66" ht="15">
      <c r="A157" s="66" t="s">
        <v>443</v>
      </c>
      <c r="B157" s="66" t="s">
        <v>513</v>
      </c>
      <c r="C157" s="67" t="s">
        <v>3149</v>
      </c>
      <c r="D157" s="68">
        <v>4</v>
      </c>
      <c r="E157" s="69" t="s">
        <v>132</v>
      </c>
      <c r="F157" s="70">
        <v>30</v>
      </c>
      <c r="G157" s="67"/>
      <c r="H157" s="71"/>
      <c r="I157" s="72"/>
      <c r="J157" s="72"/>
      <c r="K157" s="34" t="s">
        <v>65</v>
      </c>
      <c r="L157" s="79">
        <v>157</v>
      </c>
      <c r="M157" s="79"/>
      <c r="N157" s="74"/>
      <c r="O157" s="81" t="s">
        <v>588</v>
      </c>
      <c r="P157" s="83">
        <v>44004.845347222225</v>
      </c>
      <c r="Q157" s="81" t="s">
        <v>595</v>
      </c>
      <c r="R157" s="81"/>
      <c r="S157" s="81"/>
      <c r="T157" s="81"/>
      <c r="U157" s="81"/>
      <c r="V157" s="84" t="str">
        <f>HYPERLINK("http://pbs.twimg.com/profile_images/1170012838229893120/5m-z9bsb_normal.jpg")</f>
        <v>http://pbs.twimg.com/profile_images/1170012838229893120/5m-z9bsb_normal.jpg</v>
      </c>
      <c r="W157" s="83">
        <v>44004.845347222225</v>
      </c>
      <c r="X157" s="87">
        <v>44004</v>
      </c>
      <c r="Y157" s="89" t="s">
        <v>810</v>
      </c>
      <c r="Z157" s="84" t="str">
        <f>HYPERLINK("https://twitter.com/timbrooks100/status/1275160957862453255")</f>
        <v>https://twitter.com/timbrooks100/status/1275160957862453255</v>
      </c>
      <c r="AA157" s="81"/>
      <c r="AB157" s="81"/>
      <c r="AC157" s="89" t="s">
        <v>1019</v>
      </c>
      <c r="AD157" s="81"/>
      <c r="AE157" s="81" t="b">
        <v>0</v>
      </c>
      <c r="AF157" s="81">
        <v>0</v>
      </c>
      <c r="AG157" s="89" t="s">
        <v>1149</v>
      </c>
      <c r="AH157" s="81" t="b">
        <v>0</v>
      </c>
      <c r="AI157" s="81" t="s">
        <v>1150</v>
      </c>
      <c r="AJ157" s="81"/>
      <c r="AK157" s="89" t="s">
        <v>1149</v>
      </c>
      <c r="AL157" s="81" t="b">
        <v>0</v>
      </c>
      <c r="AM157" s="81">
        <v>37</v>
      </c>
      <c r="AN157" s="89" t="s">
        <v>1142</v>
      </c>
      <c r="AO157" s="81" t="s">
        <v>1165</v>
      </c>
      <c r="AP157" s="81" t="b">
        <v>0</v>
      </c>
      <c r="AQ157" s="89" t="s">
        <v>1142</v>
      </c>
      <c r="AR157" s="81" t="s">
        <v>325</v>
      </c>
      <c r="AS157" s="81">
        <v>0</v>
      </c>
      <c r="AT157" s="81">
        <v>0</v>
      </c>
      <c r="AU157" s="81"/>
      <c r="AV157" s="81"/>
      <c r="AW157" s="81"/>
      <c r="AX157" s="81"/>
      <c r="AY157" s="81"/>
      <c r="AZ157" s="81"/>
      <c r="BA157" s="81"/>
      <c r="BB157" s="81"/>
      <c r="BC157">
        <v>1</v>
      </c>
      <c r="BD157" s="80" t="str">
        <f>REPLACE(INDEX(GroupVertices[Group],MATCH(Edges[[#This Row],[Vertex 1]],GroupVertices[Vertex],0)),1,1,"")</f>
        <v>2</v>
      </c>
      <c r="BE157" s="80" t="str">
        <f>REPLACE(INDEX(GroupVertices[Group],MATCH(Edges[[#This Row],[Vertex 2]],GroupVertices[Vertex],0)),1,1,"")</f>
        <v>2</v>
      </c>
      <c r="BF157" s="48"/>
      <c r="BG157" s="49"/>
      <c r="BH157" s="48"/>
      <c r="BI157" s="49"/>
      <c r="BJ157" s="48"/>
      <c r="BK157" s="49"/>
      <c r="BL157" s="48"/>
      <c r="BM157" s="49"/>
      <c r="BN157" s="48"/>
    </row>
    <row r="158" spans="1:66" ht="15">
      <c r="A158" s="66" t="s">
        <v>443</v>
      </c>
      <c r="B158" s="66" t="s">
        <v>514</v>
      </c>
      <c r="C158" s="67" t="s">
        <v>3149</v>
      </c>
      <c r="D158" s="68">
        <v>4</v>
      </c>
      <c r="E158" s="69" t="s">
        <v>132</v>
      </c>
      <c r="F158" s="70">
        <v>30</v>
      </c>
      <c r="G158" s="67"/>
      <c r="H158" s="71"/>
      <c r="I158" s="72"/>
      <c r="J158" s="72"/>
      <c r="K158" s="34" t="s">
        <v>65</v>
      </c>
      <c r="L158" s="79">
        <v>158</v>
      </c>
      <c r="M158" s="79"/>
      <c r="N158" s="74"/>
      <c r="O158" s="81" t="s">
        <v>586</v>
      </c>
      <c r="P158" s="83">
        <v>44004.845347222225</v>
      </c>
      <c r="Q158" s="81" t="s">
        <v>595</v>
      </c>
      <c r="R158" s="81"/>
      <c r="S158" s="81"/>
      <c r="T158" s="81"/>
      <c r="U158" s="81"/>
      <c r="V158" s="84" t="str">
        <f>HYPERLINK("http://pbs.twimg.com/profile_images/1170012838229893120/5m-z9bsb_normal.jpg")</f>
        <v>http://pbs.twimg.com/profile_images/1170012838229893120/5m-z9bsb_normal.jpg</v>
      </c>
      <c r="W158" s="83">
        <v>44004.845347222225</v>
      </c>
      <c r="X158" s="87">
        <v>44004</v>
      </c>
      <c r="Y158" s="89" t="s">
        <v>810</v>
      </c>
      <c r="Z158" s="84" t="str">
        <f>HYPERLINK("https://twitter.com/timbrooks100/status/1275160957862453255")</f>
        <v>https://twitter.com/timbrooks100/status/1275160957862453255</v>
      </c>
      <c r="AA158" s="81"/>
      <c r="AB158" s="81"/>
      <c r="AC158" s="89" t="s">
        <v>1019</v>
      </c>
      <c r="AD158" s="81"/>
      <c r="AE158" s="81" t="b">
        <v>0</v>
      </c>
      <c r="AF158" s="81">
        <v>0</v>
      </c>
      <c r="AG158" s="89" t="s">
        <v>1149</v>
      </c>
      <c r="AH158" s="81" t="b">
        <v>0</v>
      </c>
      <c r="AI158" s="81" t="s">
        <v>1150</v>
      </c>
      <c r="AJ158" s="81"/>
      <c r="AK158" s="89" t="s">
        <v>1149</v>
      </c>
      <c r="AL158" s="81" t="b">
        <v>0</v>
      </c>
      <c r="AM158" s="81">
        <v>37</v>
      </c>
      <c r="AN158" s="89" t="s">
        <v>1142</v>
      </c>
      <c r="AO158" s="81" t="s">
        <v>1165</v>
      </c>
      <c r="AP158" s="81" t="b">
        <v>0</v>
      </c>
      <c r="AQ158" s="89" t="s">
        <v>1142</v>
      </c>
      <c r="AR158" s="81" t="s">
        <v>325</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8">
        <v>3</v>
      </c>
      <c r="BG158" s="49">
        <v>7.5</v>
      </c>
      <c r="BH158" s="48">
        <v>0</v>
      </c>
      <c r="BI158" s="49">
        <v>0</v>
      </c>
      <c r="BJ158" s="48">
        <v>0</v>
      </c>
      <c r="BK158" s="49">
        <v>0</v>
      </c>
      <c r="BL158" s="48">
        <v>37</v>
      </c>
      <c r="BM158" s="49">
        <v>92.5</v>
      </c>
      <c r="BN158" s="48">
        <v>40</v>
      </c>
    </row>
    <row r="159" spans="1:66" ht="15">
      <c r="A159" s="66" t="s">
        <v>444</v>
      </c>
      <c r="B159" s="66" t="s">
        <v>526</v>
      </c>
      <c r="C159" s="67" t="s">
        <v>3149</v>
      </c>
      <c r="D159" s="68">
        <v>4</v>
      </c>
      <c r="E159" s="69" t="s">
        <v>132</v>
      </c>
      <c r="F159" s="70">
        <v>30</v>
      </c>
      <c r="G159" s="67"/>
      <c r="H159" s="71"/>
      <c r="I159" s="72"/>
      <c r="J159" s="72"/>
      <c r="K159" s="34" t="s">
        <v>65</v>
      </c>
      <c r="L159" s="79">
        <v>159</v>
      </c>
      <c r="M159" s="79"/>
      <c r="N159" s="74"/>
      <c r="O159" s="81" t="s">
        <v>588</v>
      </c>
      <c r="P159" s="83">
        <v>44004.847604166665</v>
      </c>
      <c r="Q159" s="81" t="s">
        <v>612</v>
      </c>
      <c r="R159" s="81"/>
      <c r="S159" s="81"/>
      <c r="T159" s="81" t="s">
        <v>703</v>
      </c>
      <c r="U159" s="81"/>
      <c r="V159" s="84" t="str">
        <f>HYPERLINK("http://pbs.twimg.com/profile_images/1032898545890852864/E1wkA-VS_normal.jpg")</f>
        <v>http://pbs.twimg.com/profile_images/1032898545890852864/E1wkA-VS_normal.jpg</v>
      </c>
      <c r="W159" s="83">
        <v>44004.847604166665</v>
      </c>
      <c r="X159" s="87">
        <v>44004</v>
      </c>
      <c r="Y159" s="89" t="s">
        <v>811</v>
      </c>
      <c r="Z159" s="84" t="str">
        <f>HYPERLINK("https://twitter.com/frankhannigan5/status/1275161775361658881")</f>
        <v>https://twitter.com/frankhannigan5/status/1275161775361658881</v>
      </c>
      <c r="AA159" s="81"/>
      <c r="AB159" s="81"/>
      <c r="AC159" s="89" t="s">
        <v>1020</v>
      </c>
      <c r="AD159" s="81"/>
      <c r="AE159" s="81" t="b">
        <v>0</v>
      </c>
      <c r="AF159" s="81">
        <v>0</v>
      </c>
      <c r="AG159" s="89" t="s">
        <v>1149</v>
      </c>
      <c r="AH159" s="81" t="b">
        <v>0</v>
      </c>
      <c r="AI159" s="81" t="s">
        <v>1150</v>
      </c>
      <c r="AJ159" s="81"/>
      <c r="AK159" s="89" t="s">
        <v>1149</v>
      </c>
      <c r="AL159" s="81" t="b">
        <v>0</v>
      </c>
      <c r="AM159" s="81">
        <v>16</v>
      </c>
      <c r="AN159" s="89" t="s">
        <v>1137</v>
      </c>
      <c r="AO159" s="81" t="s">
        <v>1165</v>
      </c>
      <c r="AP159" s="81" t="b">
        <v>0</v>
      </c>
      <c r="AQ159" s="89" t="s">
        <v>1137</v>
      </c>
      <c r="AR159" s="81" t="s">
        <v>325</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8"/>
      <c r="BG159" s="49"/>
      <c r="BH159" s="48"/>
      <c r="BI159" s="49"/>
      <c r="BJ159" s="48"/>
      <c r="BK159" s="49"/>
      <c r="BL159" s="48"/>
      <c r="BM159" s="49"/>
      <c r="BN159" s="48"/>
    </row>
    <row r="160" spans="1:66" ht="15">
      <c r="A160" s="66" t="s">
        <v>444</v>
      </c>
      <c r="B160" s="66" t="s">
        <v>527</v>
      </c>
      <c r="C160" s="67" t="s">
        <v>3149</v>
      </c>
      <c r="D160" s="68">
        <v>4</v>
      </c>
      <c r="E160" s="69" t="s">
        <v>132</v>
      </c>
      <c r="F160" s="70">
        <v>30</v>
      </c>
      <c r="G160" s="67"/>
      <c r="H160" s="71"/>
      <c r="I160" s="72"/>
      <c r="J160" s="72"/>
      <c r="K160" s="34" t="s">
        <v>65</v>
      </c>
      <c r="L160" s="79">
        <v>160</v>
      </c>
      <c r="M160" s="79"/>
      <c r="N160" s="74"/>
      <c r="O160" s="81" t="s">
        <v>588</v>
      </c>
      <c r="P160" s="83">
        <v>44004.847604166665</v>
      </c>
      <c r="Q160" s="81" t="s">
        <v>612</v>
      </c>
      <c r="R160" s="81"/>
      <c r="S160" s="81"/>
      <c r="T160" s="81" t="s">
        <v>703</v>
      </c>
      <c r="U160" s="81"/>
      <c r="V160" s="84" t="str">
        <f>HYPERLINK("http://pbs.twimg.com/profile_images/1032898545890852864/E1wkA-VS_normal.jpg")</f>
        <v>http://pbs.twimg.com/profile_images/1032898545890852864/E1wkA-VS_normal.jpg</v>
      </c>
      <c r="W160" s="83">
        <v>44004.847604166665</v>
      </c>
      <c r="X160" s="87">
        <v>44004</v>
      </c>
      <c r="Y160" s="89" t="s">
        <v>811</v>
      </c>
      <c r="Z160" s="84" t="str">
        <f>HYPERLINK("https://twitter.com/frankhannigan5/status/1275161775361658881")</f>
        <v>https://twitter.com/frankhannigan5/status/1275161775361658881</v>
      </c>
      <c r="AA160" s="81"/>
      <c r="AB160" s="81"/>
      <c r="AC160" s="89" t="s">
        <v>1020</v>
      </c>
      <c r="AD160" s="81"/>
      <c r="AE160" s="81" t="b">
        <v>0</v>
      </c>
      <c r="AF160" s="81">
        <v>0</v>
      </c>
      <c r="AG160" s="89" t="s">
        <v>1149</v>
      </c>
      <c r="AH160" s="81" t="b">
        <v>0</v>
      </c>
      <c r="AI160" s="81" t="s">
        <v>1150</v>
      </c>
      <c r="AJ160" s="81"/>
      <c r="AK160" s="89" t="s">
        <v>1149</v>
      </c>
      <c r="AL160" s="81" t="b">
        <v>0</v>
      </c>
      <c r="AM160" s="81">
        <v>16</v>
      </c>
      <c r="AN160" s="89" t="s">
        <v>1137</v>
      </c>
      <c r="AO160" s="81" t="s">
        <v>1165</v>
      </c>
      <c r="AP160" s="81" t="b">
        <v>0</v>
      </c>
      <c r="AQ160" s="89" t="s">
        <v>1137</v>
      </c>
      <c r="AR160" s="81" t="s">
        <v>325</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3</v>
      </c>
      <c r="BF160" s="48"/>
      <c r="BG160" s="49"/>
      <c r="BH160" s="48"/>
      <c r="BI160" s="49"/>
      <c r="BJ160" s="48"/>
      <c r="BK160" s="49"/>
      <c r="BL160" s="48"/>
      <c r="BM160" s="49"/>
      <c r="BN160" s="48"/>
    </row>
    <row r="161" spans="1:66" ht="15">
      <c r="A161" s="66" t="s">
        <v>444</v>
      </c>
      <c r="B161" s="66" t="s">
        <v>509</v>
      </c>
      <c r="C161" s="67" t="s">
        <v>3149</v>
      </c>
      <c r="D161" s="68">
        <v>4</v>
      </c>
      <c r="E161" s="69" t="s">
        <v>132</v>
      </c>
      <c r="F161" s="70">
        <v>30</v>
      </c>
      <c r="G161" s="67"/>
      <c r="H161" s="71"/>
      <c r="I161" s="72"/>
      <c r="J161" s="72"/>
      <c r="K161" s="34" t="s">
        <v>65</v>
      </c>
      <c r="L161" s="79">
        <v>161</v>
      </c>
      <c r="M161" s="79"/>
      <c r="N161" s="74"/>
      <c r="O161" s="81" t="s">
        <v>586</v>
      </c>
      <c r="P161" s="83">
        <v>44004.847604166665</v>
      </c>
      <c r="Q161" s="81" t="s">
        <v>612</v>
      </c>
      <c r="R161" s="81"/>
      <c r="S161" s="81"/>
      <c r="T161" s="81" t="s">
        <v>703</v>
      </c>
      <c r="U161" s="81"/>
      <c r="V161" s="84" t="str">
        <f>HYPERLINK("http://pbs.twimg.com/profile_images/1032898545890852864/E1wkA-VS_normal.jpg")</f>
        <v>http://pbs.twimg.com/profile_images/1032898545890852864/E1wkA-VS_normal.jpg</v>
      </c>
      <c r="W161" s="83">
        <v>44004.847604166665</v>
      </c>
      <c r="X161" s="87">
        <v>44004</v>
      </c>
      <c r="Y161" s="89" t="s">
        <v>811</v>
      </c>
      <c r="Z161" s="84" t="str">
        <f>HYPERLINK("https://twitter.com/frankhannigan5/status/1275161775361658881")</f>
        <v>https://twitter.com/frankhannigan5/status/1275161775361658881</v>
      </c>
      <c r="AA161" s="81"/>
      <c r="AB161" s="81"/>
      <c r="AC161" s="89" t="s">
        <v>1020</v>
      </c>
      <c r="AD161" s="81"/>
      <c r="AE161" s="81" t="b">
        <v>0</v>
      </c>
      <c r="AF161" s="81">
        <v>0</v>
      </c>
      <c r="AG161" s="89" t="s">
        <v>1149</v>
      </c>
      <c r="AH161" s="81" t="b">
        <v>0</v>
      </c>
      <c r="AI161" s="81" t="s">
        <v>1150</v>
      </c>
      <c r="AJ161" s="81"/>
      <c r="AK161" s="89" t="s">
        <v>1149</v>
      </c>
      <c r="AL161" s="81" t="b">
        <v>0</v>
      </c>
      <c r="AM161" s="81">
        <v>16</v>
      </c>
      <c r="AN161" s="89" t="s">
        <v>1137</v>
      </c>
      <c r="AO161" s="81" t="s">
        <v>1165</v>
      </c>
      <c r="AP161" s="81" t="b">
        <v>0</v>
      </c>
      <c r="AQ161" s="89" t="s">
        <v>1137</v>
      </c>
      <c r="AR161" s="81" t="s">
        <v>325</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8">
        <v>1</v>
      </c>
      <c r="BG161" s="49">
        <v>4.761904761904762</v>
      </c>
      <c r="BH161" s="48">
        <v>0</v>
      </c>
      <c r="BI161" s="49">
        <v>0</v>
      </c>
      <c r="BJ161" s="48">
        <v>0</v>
      </c>
      <c r="BK161" s="49">
        <v>0</v>
      </c>
      <c r="BL161" s="48">
        <v>20</v>
      </c>
      <c r="BM161" s="49">
        <v>95.23809523809524</v>
      </c>
      <c r="BN161" s="48">
        <v>21</v>
      </c>
    </row>
    <row r="162" spans="1:66" ht="15">
      <c r="A162" s="66" t="s">
        <v>445</v>
      </c>
      <c r="B162" s="66" t="s">
        <v>514</v>
      </c>
      <c r="C162" s="67" t="s">
        <v>3149</v>
      </c>
      <c r="D162" s="68">
        <v>4</v>
      </c>
      <c r="E162" s="69" t="s">
        <v>132</v>
      </c>
      <c r="F162" s="70">
        <v>30</v>
      </c>
      <c r="G162" s="67"/>
      <c r="H162" s="71"/>
      <c r="I162" s="72"/>
      <c r="J162" s="72"/>
      <c r="K162" s="34" t="s">
        <v>65</v>
      </c>
      <c r="L162" s="79">
        <v>162</v>
      </c>
      <c r="M162" s="79"/>
      <c r="N162" s="74"/>
      <c r="O162" s="81" t="s">
        <v>586</v>
      </c>
      <c r="P162" s="83">
        <v>44004.84789351852</v>
      </c>
      <c r="Q162" s="81" t="s">
        <v>613</v>
      </c>
      <c r="R162" s="81"/>
      <c r="S162" s="81"/>
      <c r="T162" s="81" t="s">
        <v>699</v>
      </c>
      <c r="U162" s="81"/>
      <c r="V162" s="84" t="str">
        <f>HYPERLINK("http://pbs.twimg.com/profile_images/1236600745299972096/YMyoFFkS_normal.jpg")</f>
        <v>http://pbs.twimg.com/profile_images/1236600745299972096/YMyoFFkS_normal.jpg</v>
      </c>
      <c r="W162" s="83">
        <v>44004.84789351852</v>
      </c>
      <c r="X162" s="87">
        <v>44004</v>
      </c>
      <c r="Y162" s="89" t="s">
        <v>812</v>
      </c>
      <c r="Z162" s="84" t="str">
        <f>HYPERLINK("https://twitter.com/watty62/status/1275161883042091014")</f>
        <v>https://twitter.com/watty62/status/1275161883042091014</v>
      </c>
      <c r="AA162" s="81"/>
      <c r="AB162" s="81"/>
      <c r="AC162" s="89" t="s">
        <v>1021</v>
      </c>
      <c r="AD162" s="81"/>
      <c r="AE162" s="81" t="b">
        <v>0</v>
      </c>
      <c r="AF162" s="81">
        <v>0</v>
      </c>
      <c r="AG162" s="89" t="s">
        <v>1149</v>
      </c>
      <c r="AH162" s="81" t="b">
        <v>0</v>
      </c>
      <c r="AI162" s="81" t="s">
        <v>1150</v>
      </c>
      <c r="AJ162" s="81"/>
      <c r="AK162" s="89" t="s">
        <v>1149</v>
      </c>
      <c r="AL162" s="81" t="b">
        <v>0</v>
      </c>
      <c r="AM162" s="81">
        <v>3</v>
      </c>
      <c r="AN162" s="89" t="s">
        <v>1143</v>
      </c>
      <c r="AO162" s="81" t="s">
        <v>1176</v>
      </c>
      <c r="AP162" s="81" t="b">
        <v>0</v>
      </c>
      <c r="AQ162" s="89" t="s">
        <v>1143</v>
      </c>
      <c r="AR162" s="81" t="s">
        <v>325</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8">
        <v>1</v>
      </c>
      <c r="BG162" s="49">
        <v>4.545454545454546</v>
      </c>
      <c r="BH162" s="48">
        <v>1</v>
      </c>
      <c r="BI162" s="49">
        <v>4.545454545454546</v>
      </c>
      <c r="BJ162" s="48">
        <v>0</v>
      </c>
      <c r="BK162" s="49">
        <v>0</v>
      </c>
      <c r="BL162" s="48">
        <v>20</v>
      </c>
      <c r="BM162" s="49">
        <v>90.9090909090909</v>
      </c>
      <c r="BN162" s="48">
        <v>22</v>
      </c>
    </row>
    <row r="163" spans="1:66" ht="15">
      <c r="A163" s="66" t="s">
        <v>446</v>
      </c>
      <c r="B163" s="66" t="s">
        <v>526</v>
      </c>
      <c r="C163" s="67" t="s">
        <v>3149</v>
      </c>
      <c r="D163" s="68">
        <v>4</v>
      </c>
      <c r="E163" s="69" t="s">
        <v>132</v>
      </c>
      <c r="F163" s="70">
        <v>30</v>
      </c>
      <c r="G163" s="67"/>
      <c r="H163" s="71"/>
      <c r="I163" s="72"/>
      <c r="J163" s="72"/>
      <c r="K163" s="34" t="s">
        <v>65</v>
      </c>
      <c r="L163" s="79">
        <v>163</v>
      </c>
      <c r="M163" s="79"/>
      <c r="N163" s="74"/>
      <c r="O163" s="81" t="s">
        <v>588</v>
      </c>
      <c r="P163" s="83">
        <v>44004.84881944444</v>
      </c>
      <c r="Q163" s="81" t="s">
        <v>612</v>
      </c>
      <c r="R163" s="81"/>
      <c r="S163" s="81"/>
      <c r="T163" s="81" t="s">
        <v>703</v>
      </c>
      <c r="U163" s="81"/>
      <c r="V163" s="84" t="str">
        <f>HYPERLINK("http://pbs.twimg.com/profile_images/677443783978557440/q3pe4llc_normal.jpg")</f>
        <v>http://pbs.twimg.com/profile_images/677443783978557440/q3pe4llc_normal.jpg</v>
      </c>
      <c r="W163" s="83">
        <v>44004.84881944444</v>
      </c>
      <c r="X163" s="87">
        <v>44004</v>
      </c>
      <c r="Y163" s="89" t="s">
        <v>813</v>
      </c>
      <c r="Z163" s="84" t="str">
        <f>HYPERLINK("https://twitter.com/lms_geography/status/1275162218225643529")</f>
        <v>https://twitter.com/lms_geography/status/1275162218225643529</v>
      </c>
      <c r="AA163" s="81"/>
      <c r="AB163" s="81"/>
      <c r="AC163" s="89" t="s">
        <v>1022</v>
      </c>
      <c r="AD163" s="81"/>
      <c r="AE163" s="81" t="b">
        <v>0</v>
      </c>
      <c r="AF163" s="81">
        <v>0</v>
      </c>
      <c r="AG163" s="89" t="s">
        <v>1149</v>
      </c>
      <c r="AH163" s="81" t="b">
        <v>0</v>
      </c>
      <c r="AI163" s="81" t="s">
        <v>1150</v>
      </c>
      <c r="AJ163" s="81"/>
      <c r="AK163" s="89" t="s">
        <v>1149</v>
      </c>
      <c r="AL163" s="81" t="b">
        <v>0</v>
      </c>
      <c r="AM163" s="81">
        <v>16</v>
      </c>
      <c r="AN163" s="89" t="s">
        <v>1137</v>
      </c>
      <c r="AO163" s="81" t="s">
        <v>1172</v>
      </c>
      <c r="AP163" s="81" t="b">
        <v>0</v>
      </c>
      <c r="AQ163" s="89" t="s">
        <v>1137</v>
      </c>
      <c r="AR163" s="81" t="s">
        <v>325</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8"/>
      <c r="BG163" s="49"/>
      <c r="BH163" s="48"/>
      <c r="BI163" s="49"/>
      <c r="BJ163" s="48"/>
      <c r="BK163" s="49"/>
      <c r="BL163" s="48"/>
      <c r="BM163" s="49"/>
      <c r="BN163" s="48"/>
    </row>
    <row r="164" spans="1:66" ht="15">
      <c r="A164" s="66" t="s">
        <v>446</v>
      </c>
      <c r="B164" s="66" t="s">
        <v>527</v>
      </c>
      <c r="C164" s="67" t="s">
        <v>3149</v>
      </c>
      <c r="D164" s="68">
        <v>4</v>
      </c>
      <c r="E164" s="69" t="s">
        <v>132</v>
      </c>
      <c r="F164" s="70">
        <v>30</v>
      </c>
      <c r="G164" s="67"/>
      <c r="H164" s="71"/>
      <c r="I164" s="72"/>
      <c r="J164" s="72"/>
      <c r="K164" s="34" t="s">
        <v>65</v>
      </c>
      <c r="L164" s="79">
        <v>164</v>
      </c>
      <c r="M164" s="79"/>
      <c r="N164" s="74"/>
      <c r="O164" s="81" t="s">
        <v>588</v>
      </c>
      <c r="P164" s="83">
        <v>44004.84881944444</v>
      </c>
      <c r="Q164" s="81" t="s">
        <v>612</v>
      </c>
      <c r="R164" s="81"/>
      <c r="S164" s="81"/>
      <c r="T164" s="81" t="s">
        <v>703</v>
      </c>
      <c r="U164" s="81"/>
      <c r="V164" s="84" t="str">
        <f>HYPERLINK("http://pbs.twimg.com/profile_images/677443783978557440/q3pe4llc_normal.jpg")</f>
        <v>http://pbs.twimg.com/profile_images/677443783978557440/q3pe4llc_normal.jpg</v>
      </c>
      <c r="W164" s="83">
        <v>44004.84881944444</v>
      </c>
      <c r="X164" s="87">
        <v>44004</v>
      </c>
      <c r="Y164" s="89" t="s">
        <v>813</v>
      </c>
      <c r="Z164" s="84" t="str">
        <f>HYPERLINK("https://twitter.com/lms_geography/status/1275162218225643529")</f>
        <v>https://twitter.com/lms_geography/status/1275162218225643529</v>
      </c>
      <c r="AA164" s="81"/>
      <c r="AB164" s="81"/>
      <c r="AC164" s="89" t="s">
        <v>1022</v>
      </c>
      <c r="AD164" s="81"/>
      <c r="AE164" s="81" t="b">
        <v>0</v>
      </c>
      <c r="AF164" s="81">
        <v>0</v>
      </c>
      <c r="AG164" s="89" t="s">
        <v>1149</v>
      </c>
      <c r="AH164" s="81" t="b">
        <v>0</v>
      </c>
      <c r="AI164" s="81" t="s">
        <v>1150</v>
      </c>
      <c r="AJ164" s="81"/>
      <c r="AK164" s="89" t="s">
        <v>1149</v>
      </c>
      <c r="AL164" s="81" t="b">
        <v>0</v>
      </c>
      <c r="AM164" s="81">
        <v>16</v>
      </c>
      <c r="AN164" s="89" t="s">
        <v>1137</v>
      </c>
      <c r="AO164" s="81" t="s">
        <v>1172</v>
      </c>
      <c r="AP164" s="81" t="b">
        <v>0</v>
      </c>
      <c r="AQ164" s="89" t="s">
        <v>1137</v>
      </c>
      <c r="AR164" s="81" t="s">
        <v>325</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8"/>
      <c r="BG164" s="49"/>
      <c r="BH164" s="48"/>
      <c r="BI164" s="49"/>
      <c r="BJ164" s="48"/>
      <c r="BK164" s="49"/>
      <c r="BL164" s="48"/>
      <c r="BM164" s="49"/>
      <c r="BN164" s="48"/>
    </row>
    <row r="165" spans="1:66" ht="15">
      <c r="A165" s="66" t="s">
        <v>446</v>
      </c>
      <c r="B165" s="66" t="s">
        <v>509</v>
      </c>
      <c r="C165" s="67" t="s">
        <v>3149</v>
      </c>
      <c r="D165" s="68">
        <v>4</v>
      </c>
      <c r="E165" s="69" t="s">
        <v>132</v>
      </c>
      <c r="F165" s="70">
        <v>30</v>
      </c>
      <c r="G165" s="67"/>
      <c r="H165" s="71"/>
      <c r="I165" s="72"/>
      <c r="J165" s="72"/>
      <c r="K165" s="34" t="s">
        <v>65</v>
      </c>
      <c r="L165" s="79">
        <v>165</v>
      </c>
      <c r="M165" s="79"/>
      <c r="N165" s="74"/>
      <c r="O165" s="81" t="s">
        <v>586</v>
      </c>
      <c r="P165" s="83">
        <v>44004.84881944444</v>
      </c>
      <c r="Q165" s="81" t="s">
        <v>612</v>
      </c>
      <c r="R165" s="81"/>
      <c r="S165" s="81"/>
      <c r="T165" s="81" t="s">
        <v>703</v>
      </c>
      <c r="U165" s="81"/>
      <c r="V165" s="84" t="str">
        <f>HYPERLINK("http://pbs.twimg.com/profile_images/677443783978557440/q3pe4llc_normal.jpg")</f>
        <v>http://pbs.twimg.com/profile_images/677443783978557440/q3pe4llc_normal.jpg</v>
      </c>
      <c r="W165" s="83">
        <v>44004.84881944444</v>
      </c>
      <c r="X165" s="87">
        <v>44004</v>
      </c>
      <c r="Y165" s="89" t="s">
        <v>813</v>
      </c>
      <c r="Z165" s="84" t="str">
        <f>HYPERLINK("https://twitter.com/lms_geography/status/1275162218225643529")</f>
        <v>https://twitter.com/lms_geography/status/1275162218225643529</v>
      </c>
      <c r="AA165" s="81"/>
      <c r="AB165" s="81"/>
      <c r="AC165" s="89" t="s">
        <v>1022</v>
      </c>
      <c r="AD165" s="81"/>
      <c r="AE165" s="81" t="b">
        <v>0</v>
      </c>
      <c r="AF165" s="81">
        <v>0</v>
      </c>
      <c r="AG165" s="89" t="s">
        <v>1149</v>
      </c>
      <c r="AH165" s="81" t="b">
        <v>0</v>
      </c>
      <c r="AI165" s="81" t="s">
        <v>1150</v>
      </c>
      <c r="AJ165" s="81"/>
      <c r="AK165" s="89" t="s">
        <v>1149</v>
      </c>
      <c r="AL165" s="81" t="b">
        <v>0</v>
      </c>
      <c r="AM165" s="81">
        <v>16</v>
      </c>
      <c r="AN165" s="89" t="s">
        <v>1137</v>
      </c>
      <c r="AO165" s="81" t="s">
        <v>1172</v>
      </c>
      <c r="AP165" s="81" t="b">
        <v>0</v>
      </c>
      <c r="AQ165" s="89" t="s">
        <v>1137</v>
      </c>
      <c r="AR165" s="81" t="s">
        <v>325</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8">
        <v>1</v>
      </c>
      <c r="BG165" s="49">
        <v>4.761904761904762</v>
      </c>
      <c r="BH165" s="48">
        <v>0</v>
      </c>
      <c r="BI165" s="49">
        <v>0</v>
      </c>
      <c r="BJ165" s="48">
        <v>0</v>
      </c>
      <c r="BK165" s="49">
        <v>0</v>
      </c>
      <c r="BL165" s="48">
        <v>20</v>
      </c>
      <c r="BM165" s="49">
        <v>95.23809523809524</v>
      </c>
      <c r="BN165" s="48">
        <v>21</v>
      </c>
    </row>
    <row r="166" spans="1:66" ht="15">
      <c r="A166" s="66" t="s">
        <v>447</v>
      </c>
      <c r="B166" s="66" t="s">
        <v>526</v>
      </c>
      <c r="C166" s="67" t="s">
        <v>3149</v>
      </c>
      <c r="D166" s="68">
        <v>4</v>
      </c>
      <c r="E166" s="69" t="s">
        <v>132</v>
      </c>
      <c r="F166" s="70">
        <v>30</v>
      </c>
      <c r="G166" s="67"/>
      <c r="H166" s="71"/>
      <c r="I166" s="72"/>
      <c r="J166" s="72"/>
      <c r="K166" s="34" t="s">
        <v>65</v>
      </c>
      <c r="L166" s="79">
        <v>166</v>
      </c>
      <c r="M166" s="79"/>
      <c r="N166" s="74"/>
      <c r="O166" s="81" t="s">
        <v>588</v>
      </c>
      <c r="P166" s="83">
        <v>44004.883518518516</v>
      </c>
      <c r="Q166" s="81" t="s">
        <v>612</v>
      </c>
      <c r="R166" s="81"/>
      <c r="S166" s="81"/>
      <c r="T166" s="81" t="s">
        <v>703</v>
      </c>
      <c r="U166" s="81"/>
      <c r="V166" s="84" t="str">
        <f>HYPERLINK("http://pbs.twimg.com/profile_images/965169509869989888/RNPmn_cM_normal.jpg")</f>
        <v>http://pbs.twimg.com/profile_images/965169509869989888/RNPmn_cM_normal.jpg</v>
      </c>
      <c r="W166" s="83">
        <v>44004.883518518516</v>
      </c>
      <c r="X166" s="87">
        <v>44004</v>
      </c>
      <c r="Y166" s="89" t="s">
        <v>814</v>
      </c>
      <c r="Z166" s="84" t="str">
        <f>HYPERLINK("https://twitter.com/chsiceland18/status/1275174792124080131")</f>
        <v>https://twitter.com/chsiceland18/status/1275174792124080131</v>
      </c>
      <c r="AA166" s="81"/>
      <c r="AB166" s="81"/>
      <c r="AC166" s="89" t="s">
        <v>1023</v>
      </c>
      <c r="AD166" s="81"/>
      <c r="AE166" s="81" t="b">
        <v>0</v>
      </c>
      <c r="AF166" s="81">
        <v>0</v>
      </c>
      <c r="AG166" s="89" t="s">
        <v>1149</v>
      </c>
      <c r="AH166" s="81" t="b">
        <v>0</v>
      </c>
      <c r="AI166" s="81" t="s">
        <v>1150</v>
      </c>
      <c r="AJ166" s="81"/>
      <c r="AK166" s="89" t="s">
        <v>1149</v>
      </c>
      <c r="AL166" s="81" t="b">
        <v>0</v>
      </c>
      <c r="AM166" s="81">
        <v>16</v>
      </c>
      <c r="AN166" s="89" t="s">
        <v>1137</v>
      </c>
      <c r="AO166" s="81" t="s">
        <v>1165</v>
      </c>
      <c r="AP166" s="81" t="b">
        <v>0</v>
      </c>
      <c r="AQ166" s="89" t="s">
        <v>1137</v>
      </c>
      <c r="AR166" s="81" t="s">
        <v>325</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8"/>
      <c r="BG166" s="49"/>
      <c r="BH166" s="48"/>
      <c r="BI166" s="49"/>
      <c r="BJ166" s="48"/>
      <c r="BK166" s="49"/>
      <c r="BL166" s="48"/>
      <c r="BM166" s="49"/>
      <c r="BN166" s="48"/>
    </row>
    <row r="167" spans="1:66" ht="15">
      <c r="A167" s="66" t="s">
        <v>447</v>
      </c>
      <c r="B167" s="66" t="s">
        <v>527</v>
      </c>
      <c r="C167" s="67" t="s">
        <v>3149</v>
      </c>
      <c r="D167" s="68">
        <v>4</v>
      </c>
      <c r="E167" s="69" t="s">
        <v>132</v>
      </c>
      <c r="F167" s="70">
        <v>30</v>
      </c>
      <c r="G167" s="67"/>
      <c r="H167" s="71"/>
      <c r="I167" s="72"/>
      <c r="J167" s="72"/>
      <c r="K167" s="34" t="s">
        <v>65</v>
      </c>
      <c r="L167" s="79">
        <v>167</v>
      </c>
      <c r="M167" s="79"/>
      <c r="N167" s="74"/>
      <c r="O167" s="81" t="s">
        <v>588</v>
      </c>
      <c r="P167" s="83">
        <v>44004.883518518516</v>
      </c>
      <c r="Q167" s="81" t="s">
        <v>612</v>
      </c>
      <c r="R167" s="81"/>
      <c r="S167" s="81"/>
      <c r="T167" s="81" t="s">
        <v>703</v>
      </c>
      <c r="U167" s="81"/>
      <c r="V167" s="84" t="str">
        <f>HYPERLINK("http://pbs.twimg.com/profile_images/965169509869989888/RNPmn_cM_normal.jpg")</f>
        <v>http://pbs.twimg.com/profile_images/965169509869989888/RNPmn_cM_normal.jpg</v>
      </c>
      <c r="W167" s="83">
        <v>44004.883518518516</v>
      </c>
      <c r="X167" s="87">
        <v>44004</v>
      </c>
      <c r="Y167" s="89" t="s">
        <v>814</v>
      </c>
      <c r="Z167" s="84" t="str">
        <f>HYPERLINK("https://twitter.com/chsiceland18/status/1275174792124080131")</f>
        <v>https://twitter.com/chsiceland18/status/1275174792124080131</v>
      </c>
      <c r="AA167" s="81"/>
      <c r="AB167" s="81"/>
      <c r="AC167" s="89" t="s">
        <v>1023</v>
      </c>
      <c r="AD167" s="81"/>
      <c r="AE167" s="81" t="b">
        <v>0</v>
      </c>
      <c r="AF167" s="81">
        <v>0</v>
      </c>
      <c r="AG167" s="89" t="s">
        <v>1149</v>
      </c>
      <c r="AH167" s="81" t="b">
        <v>0</v>
      </c>
      <c r="AI167" s="81" t="s">
        <v>1150</v>
      </c>
      <c r="AJ167" s="81"/>
      <c r="AK167" s="89" t="s">
        <v>1149</v>
      </c>
      <c r="AL167" s="81" t="b">
        <v>0</v>
      </c>
      <c r="AM167" s="81">
        <v>16</v>
      </c>
      <c r="AN167" s="89" t="s">
        <v>1137</v>
      </c>
      <c r="AO167" s="81" t="s">
        <v>1165</v>
      </c>
      <c r="AP167" s="81" t="b">
        <v>0</v>
      </c>
      <c r="AQ167" s="89" t="s">
        <v>1137</v>
      </c>
      <c r="AR167" s="81" t="s">
        <v>325</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3</v>
      </c>
      <c r="BF167" s="48"/>
      <c r="BG167" s="49"/>
      <c r="BH167" s="48"/>
      <c r="BI167" s="49"/>
      <c r="BJ167" s="48"/>
      <c r="BK167" s="49"/>
      <c r="BL167" s="48"/>
      <c r="BM167" s="49"/>
      <c r="BN167" s="48"/>
    </row>
    <row r="168" spans="1:66" ht="15">
      <c r="A168" s="66" t="s">
        <v>447</v>
      </c>
      <c r="B168" s="66" t="s">
        <v>509</v>
      </c>
      <c r="C168" s="67" t="s">
        <v>3149</v>
      </c>
      <c r="D168" s="68">
        <v>4</v>
      </c>
      <c r="E168" s="69" t="s">
        <v>132</v>
      </c>
      <c r="F168" s="70">
        <v>30</v>
      </c>
      <c r="G168" s="67"/>
      <c r="H168" s="71"/>
      <c r="I168" s="72"/>
      <c r="J168" s="72"/>
      <c r="K168" s="34" t="s">
        <v>65</v>
      </c>
      <c r="L168" s="79">
        <v>168</v>
      </c>
      <c r="M168" s="79"/>
      <c r="N168" s="74"/>
      <c r="O168" s="81" t="s">
        <v>586</v>
      </c>
      <c r="P168" s="83">
        <v>44004.883518518516</v>
      </c>
      <c r="Q168" s="81" t="s">
        <v>612</v>
      </c>
      <c r="R168" s="81"/>
      <c r="S168" s="81"/>
      <c r="T168" s="81" t="s">
        <v>703</v>
      </c>
      <c r="U168" s="81"/>
      <c r="V168" s="84" t="str">
        <f>HYPERLINK("http://pbs.twimg.com/profile_images/965169509869989888/RNPmn_cM_normal.jpg")</f>
        <v>http://pbs.twimg.com/profile_images/965169509869989888/RNPmn_cM_normal.jpg</v>
      </c>
      <c r="W168" s="83">
        <v>44004.883518518516</v>
      </c>
      <c r="X168" s="87">
        <v>44004</v>
      </c>
      <c r="Y168" s="89" t="s">
        <v>814</v>
      </c>
      <c r="Z168" s="84" t="str">
        <f>HYPERLINK("https://twitter.com/chsiceland18/status/1275174792124080131")</f>
        <v>https://twitter.com/chsiceland18/status/1275174792124080131</v>
      </c>
      <c r="AA168" s="81"/>
      <c r="AB168" s="81"/>
      <c r="AC168" s="89" t="s">
        <v>1023</v>
      </c>
      <c r="AD168" s="81"/>
      <c r="AE168" s="81" t="b">
        <v>0</v>
      </c>
      <c r="AF168" s="81">
        <v>0</v>
      </c>
      <c r="AG168" s="89" t="s">
        <v>1149</v>
      </c>
      <c r="AH168" s="81" t="b">
        <v>0</v>
      </c>
      <c r="AI168" s="81" t="s">
        <v>1150</v>
      </c>
      <c r="AJ168" s="81"/>
      <c r="AK168" s="89" t="s">
        <v>1149</v>
      </c>
      <c r="AL168" s="81" t="b">
        <v>0</v>
      </c>
      <c r="AM168" s="81">
        <v>16</v>
      </c>
      <c r="AN168" s="89" t="s">
        <v>1137</v>
      </c>
      <c r="AO168" s="81" t="s">
        <v>1165</v>
      </c>
      <c r="AP168" s="81" t="b">
        <v>0</v>
      </c>
      <c r="AQ168" s="89" t="s">
        <v>1137</v>
      </c>
      <c r="AR168" s="81" t="s">
        <v>325</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8">
        <v>1</v>
      </c>
      <c r="BG168" s="49">
        <v>4.761904761904762</v>
      </c>
      <c r="BH168" s="48">
        <v>0</v>
      </c>
      <c r="BI168" s="49">
        <v>0</v>
      </c>
      <c r="BJ168" s="48">
        <v>0</v>
      </c>
      <c r="BK168" s="49">
        <v>0</v>
      </c>
      <c r="BL168" s="48">
        <v>20</v>
      </c>
      <c r="BM168" s="49">
        <v>95.23809523809524</v>
      </c>
      <c r="BN168" s="48">
        <v>21</v>
      </c>
    </row>
    <row r="169" spans="1:66" ht="15">
      <c r="A169" s="66" t="s">
        <v>448</v>
      </c>
      <c r="B169" s="66" t="s">
        <v>475</v>
      </c>
      <c r="C169" s="67" t="s">
        <v>3149</v>
      </c>
      <c r="D169" s="68">
        <v>4</v>
      </c>
      <c r="E169" s="69" t="s">
        <v>132</v>
      </c>
      <c r="F169" s="70">
        <v>30</v>
      </c>
      <c r="G169" s="67"/>
      <c r="H169" s="71"/>
      <c r="I169" s="72"/>
      <c r="J169" s="72"/>
      <c r="K169" s="34" t="s">
        <v>65</v>
      </c>
      <c r="L169" s="79">
        <v>169</v>
      </c>
      <c r="M169" s="79"/>
      <c r="N169" s="74"/>
      <c r="O169" s="81" t="s">
        <v>586</v>
      </c>
      <c r="P169" s="83">
        <v>44004.884409722225</v>
      </c>
      <c r="Q169" s="81" t="s">
        <v>614</v>
      </c>
      <c r="R169" s="84" t="str">
        <f>HYPERLINK("https://twitter.com/_fiquemsabendo/status/1275156603893878784")</f>
        <v>https://twitter.com/_fiquemsabendo/status/1275156603893878784</v>
      </c>
      <c r="S169" s="81" t="s">
        <v>676</v>
      </c>
      <c r="T169" s="81" t="s">
        <v>712</v>
      </c>
      <c r="U169" s="81"/>
      <c r="V169" s="84" t="str">
        <f>HYPERLINK("http://pbs.twimg.com/profile_images/1267701669862805504/47N4-Xma_normal.jpg")</f>
        <v>http://pbs.twimg.com/profile_images/1267701669862805504/47N4-Xma_normal.jpg</v>
      </c>
      <c r="W169" s="83">
        <v>44004.884409722225</v>
      </c>
      <c r="X169" s="87">
        <v>44004</v>
      </c>
      <c r="Y169" s="89" t="s">
        <v>815</v>
      </c>
      <c r="Z169" s="84" t="str">
        <f>HYPERLINK("https://twitter.com/barbalhofernand/status/1275175115727294467")</f>
        <v>https://twitter.com/barbalhofernand/status/1275175115727294467</v>
      </c>
      <c r="AA169" s="81"/>
      <c r="AB169" s="81"/>
      <c r="AC169" s="89" t="s">
        <v>1024</v>
      </c>
      <c r="AD169" s="81"/>
      <c r="AE169" s="81" t="b">
        <v>0</v>
      </c>
      <c r="AF169" s="81">
        <v>0</v>
      </c>
      <c r="AG169" s="89" t="s">
        <v>1149</v>
      </c>
      <c r="AH169" s="81" t="b">
        <v>1</v>
      </c>
      <c r="AI169" s="81" t="s">
        <v>1155</v>
      </c>
      <c r="AJ169" s="81"/>
      <c r="AK169" s="89" t="s">
        <v>1161</v>
      </c>
      <c r="AL169" s="81" t="b">
        <v>0</v>
      </c>
      <c r="AM169" s="81">
        <v>2</v>
      </c>
      <c r="AN169" s="89" t="s">
        <v>1094</v>
      </c>
      <c r="AO169" s="81" t="s">
        <v>1172</v>
      </c>
      <c r="AP169" s="81" t="b">
        <v>0</v>
      </c>
      <c r="AQ169" s="89" t="s">
        <v>1094</v>
      </c>
      <c r="AR169" s="81" t="s">
        <v>325</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8">
        <v>0</v>
      </c>
      <c r="BG169" s="49">
        <v>0</v>
      </c>
      <c r="BH169" s="48">
        <v>0</v>
      </c>
      <c r="BI169" s="49">
        <v>0</v>
      </c>
      <c r="BJ169" s="48">
        <v>0</v>
      </c>
      <c r="BK169" s="49">
        <v>0</v>
      </c>
      <c r="BL169" s="48">
        <v>5</v>
      </c>
      <c r="BM169" s="49">
        <v>100</v>
      </c>
      <c r="BN169" s="48">
        <v>5</v>
      </c>
    </row>
    <row r="170" spans="1:66" ht="15">
      <c r="A170" s="66" t="s">
        <v>449</v>
      </c>
      <c r="B170" s="66" t="s">
        <v>513</v>
      </c>
      <c r="C170" s="67" t="s">
        <v>3149</v>
      </c>
      <c r="D170" s="68">
        <v>4</v>
      </c>
      <c r="E170" s="69" t="s">
        <v>132</v>
      </c>
      <c r="F170" s="70">
        <v>30</v>
      </c>
      <c r="G170" s="67"/>
      <c r="H170" s="71"/>
      <c r="I170" s="72"/>
      <c r="J170" s="72"/>
      <c r="K170" s="34" t="s">
        <v>65</v>
      </c>
      <c r="L170" s="79">
        <v>170</v>
      </c>
      <c r="M170" s="79"/>
      <c r="N170" s="74"/>
      <c r="O170" s="81" t="s">
        <v>588</v>
      </c>
      <c r="P170" s="83">
        <v>44004.89232638889</v>
      </c>
      <c r="Q170" s="81" t="s">
        <v>595</v>
      </c>
      <c r="R170" s="81"/>
      <c r="S170" s="81"/>
      <c r="T170" s="81"/>
      <c r="U170" s="81"/>
      <c r="V170" s="84" t="str">
        <f>HYPERLINK("http://pbs.twimg.com/profile_images/1063924442508783616/cWwIObmK_normal.jpg")</f>
        <v>http://pbs.twimg.com/profile_images/1063924442508783616/cWwIObmK_normal.jpg</v>
      </c>
      <c r="W170" s="83">
        <v>44004.89232638889</v>
      </c>
      <c r="X170" s="87">
        <v>44004</v>
      </c>
      <c r="Y170" s="89" t="s">
        <v>816</v>
      </c>
      <c r="Z170" s="84" t="str">
        <f>HYPERLINK("https://twitter.com/holgerhke/status/1275177984954118145")</f>
        <v>https://twitter.com/holgerhke/status/1275177984954118145</v>
      </c>
      <c r="AA170" s="81"/>
      <c r="AB170" s="81"/>
      <c r="AC170" s="89" t="s">
        <v>1025</v>
      </c>
      <c r="AD170" s="81"/>
      <c r="AE170" s="81" t="b">
        <v>0</v>
      </c>
      <c r="AF170" s="81">
        <v>0</v>
      </c>
      <c r="AG170" s="89" t="s">
        <v>1149</v>
      </c>
      <c r="AH170" s="81" t="b">
        <v>0</v>
      </c>
      <c r="AI170" s="81" t="s">
        <v>1150</v>
      </c>
      <c r="AJ170" s="81"/>
      <c r="AK170" s="89" t="s">
        <v>1149</v>
      </c>
      <c r="AL170" s="81" t="b">
        <v>0</v>
      </c>
      <c r="AM170" s="81">
        <v>37</v>
      </c>
      <c r="AN170" s="89" t="s">
        <v>1142</v>
      </c>
      <c r="AO170" s="81" t="s">
        <v>1165</v>
      </c>
      <c r="AP170" s="81" t="b">
        <v>0</v>
      </c>
      <c r="AQ170" s="89" t="s">
        <v>1142</v>
      </c>
      <c r="AR170" s="81" t="s">
        <v>325</v>
      </c>
      <c r="AS170" s="81">
        <v>0</v>
      </c>
      <c r="AT170" s="81">
        <v>0</v>
      </c>
      <c r="AU170" s="81"/>
      <c r="AV170" s="81"/>
      <c r="AW170" s="81"/>
      <c r="AX170" s="81"/>
      <c r="AY170" s="81"/>
      <c r="AZ170" s="81"/>
      <c r="BA170" s="81"/>
      <c r="BB170" s="81"/>
      <c r="BC170">
        <v>1</v>
      </c>
      <c r="BD170" s="80" t="str">
        <f>REPLACE(INDEX(GroupVertices[Group],MATCH(Edges[[#This Row],[Vertex 1]],GroupVertices[Vertex],0)),1,1,"")</f>
        <v>2</v>
      </c>
      <c r="BE170" s="80" t="str">
        <f>REPLACE(INDEX(GroupVertices[Group],MATCH(Edges[[#This Row],[Vertex 2]],GroupVertices[Vertex],0)),1,1,"")</f>
        <v>2</v>
      </c>
      <c r="BF170" s="48"/>
      <c r="BG170" s="49"/>
      <c r="BH170" s="48"/>
      <c r="BI170" s="49"/>
      <c r="BJ170" s="48"/>
      <c r="BK170" s="49"/>
      <c r="BL170" s="48"/>
      <c r="BM170" s="49"/>
      <c r="BN170" s="48"/>
    </row>
    <row r="171" spans="1:66" ht="15">
      <c r="A171" s="66" t="s">
        <v>449</v>
      </c>
      <c r="B171" s="66" t="s">
        <v>514</v>
      </c>
      <c r="C171" s="67" t="s">
        <v>3149</v>
      </c>
      <c r="D171" s="68">
        <v>4</v>
      </c>
      <c r="E171" s="69" t="s">
        <v>132</v>
      </c>
      <c r="F171" s="70">
        <v>30</v>
      </c>
      <c r="G171" s="67"/>
      <c r="H171" s="71"/>
      <c r="I171" s="72"/>
      <c r="J171" s="72"/>
      <c r="K171" s="34" t="s">
        <v>65</v>
      </c>
      <c r="L171" s="79">
        <v>171</v>
      </c>
      <c r="M171" s="79"/>
      <c r="N171" s="74"/>
      <c r="O171" s="81" t="s">
        <v>586</v>
      </c>
      <c r="P171" s="83">
        <v>44004.89232638889</v>
      </c>
      <c r="Q171" s="81" t="s">
        <v>595</v>
      </c>
      <c r="R171" s="81"/>
      <c r="S171" s="81"/>
      <c r="T171" s="81"/>
      <c r="U171" s="81"/>
      <c r="V171" s="84" t="str">
        <f>HYPERLINK("http://pbs.twimg.com/profile_images/1063924442508783616/cWwIObmK_normal.jpg")</f>
        <v>http://pbs.twimg.com/profile_images/1063924442508783616/cWwIObmK_normal.jpg</v>
      </c>
      <c r="W171" s="83">
        <v>44004.89232638889</v>
      </c>
      <c r="X171" s="87">
        <v>44004</v>
      </c>
      <c r="Y171" s="89" t="s">
        <v>816</v>
      </c>
      <c r="Z171" s="84" t="str">
        <f>HYPERLINK("https://twitter.com/holgerhke/status/1275177984954118145")</f>
        <v>https://twitter.com/holgerhke/status/1275177984954118145</v>
      </c>
      <c r="AA171" s="81"/>
      <c r="AB171" s="81"/>
      <c r="AC171" s="89" t="s">
        <v>1025</v>
      </c>
      <c r="AD171" s="81"/>
      <c r="AE171" s="81" t="b">
        <v>0</v>
      </c>
      <c r="AF171" s="81">
        <v>0</v>
      </c>
      <c r="AG171" s="89" t="s">
        <v>1149</v>
      </c>
      <c r="AH171" s="81" t="b">
        <v>0</v>
      </c>
      <c r="AI171" s="81" t="s">
        <v>1150</v>
      </c>
      <c r="AJ171" s="81"/>
      <c r="AK171" s="89" t="s">
        <v>1149</v>
      </c>
      <c r="AL171" s="81" t="b">
        <v>0</v>
      </c>
      <c r="AM171" s="81">
        <v>37</v>
      </c>
      <c r="AN171" s="89" t="s">
        <v>1142</v>
      </c>
      <c r="AO171" s="81" t="s">
        <v>1165</v>
      </c>
      <c r="AP171" s="81" t="b">
        <v>0</v>
      </c>
      <c r="AQ171" s="89" t="s">
        <v>1142</v>
      </c>
      <c r="AR171" s="81" t="s">
        <v>325</v>
      </c>
      <c r="AS171" s="81">
        <v>0</v>
      </c>
      <c r="AT171" s="81">
        <v>0</v>
      </c>
      <c r="AU171" s="81"/>
      <c r="AV171" s="81"/>
      <c r="AW171" s="81"/>
      <c r="AX171" s="81"/>
      <c r="AY171" s="81"/>
      <c r="AZ171" s="81"/>
      <c r="BA171" s="81"/>
      <c r="BB171" s="81"/>
      <c r="BC171">
        <v>1</v>
      </c>
      <c r="BD171" s="80" t="str">
        <f>REPLACE(INDEX(GroupVertices[Group],MATCH(Edges[[#This Row],[Vertex 1]],GroupVertices[Vertex],0)),1,1,"")</f>
        <v>2</v>
      </c>
      <c r="BE171" s="80" t="str">
        <f>REPLACE(INDEX(GroupVertices[Group],MATCH(Edges[[#This Row],[Vertex 2]],GroupVertices[Vertex],0)),1,1,"")</f>
        <v>2</v>
      </c>
      <c r="BF171" s="48">
        <v>3</v>
      </c>
      <c r="BG171" s="49">
        <v>7.5</v>
      </c>
      <c r="BH171" s="48">
        <v>0</v>
      </c>
      <c r="BI171" s="49">
        <v>0</v>
      </c>
      <c r="BJ171" s="48">
        <v>0</v>
      </c>
      <c r="BK171" s="49">
        <v>0</v>
      </c>
      <c r="BL171" s="48">
        <v>37</v>
      </c>
      <c r="BM171" s="49">
        <v>92.5</v>
      </c>
      <c r="BN171" s="48">
        <v>40</v>
      </c>
    </row>
    <row r="172" spans="1:66" ht="15">
      <c r="A172" s="66" t="s">
        <v>450</v>
      </c>
      <c r="B172" s="66" t="s">
        <v>513</v>
      </c>
      <c r="C172" s="67" t="s">
        <v>3149</v>
      </c>
      <c r="D172" s="68">
        <v>4</v>
      </c>
      <c r="E172" s="69" t="s">
        <v>132</v>
      </c>
      <c r="F172" s="70">
        <v>30</v>
      </c>
      <c r="G172" s="67"/>
      <c r="H172" s="71"/>
      <c r="I172" s="72"/>
      <c r="J172" s="72"/>
      <c r="K172" s="34" t="s">
        <v>65</v>
      </c>
      <c r="L172" s="79">
        <v>172</v>
      </c>
      <c r="M172" s="79"/>
      <c r="N172" s="74"/>
      <c r="O172" s="81" t="s">
        <v>588</v>
      </c>
      <c r="P172" s="83">
        <v>44004.892372685186</v>
      </c>
      <c r="Q172" s="81" t="s">
        <v>595</v>
      </c>
      <c r="R172" s="81"/>
      <c r="S172" s="81"/>
      <c r="T172" s="81"/>
      <c r="U172" s="81"/>
      <c r="V172" s="84" t="str">
        <f>HYPERLINK("http://pbs.twimg.com/profile_images/1223573858814431234/C_wpiNHG_normal.jpg")</f>
        <v>http://pbs.twimg.com/profile_images/1223573858814431234/C_wpiNHG_normal.jpg</v>
      </c>
      <c r="W172" s="83">
        <v>44004.892372685186</v>
      </c>
      <c r="X172" s="87">
        <v>44004</v>
      </c>
      <c r="Y172" s="89" t="s">
        <v>817</v>
      </c>
      <c r="Z172" s="84" t="str">
        <f>HYPERLINK("https://twitter.com/garyshort/status/1275177999084793856")</f>
        <v>https://twitter.com/garyshort/status/1275177999084793856</v>
      </c>
      <c r="AA172" s="81"/>
      <c r="AB172" s="81"/>
      <c r="AC172" s="89" t="s">
        <v>1026</v>
      </c>
      <c r="AD172" s="81"/>
      <c r="AE172" s="81" t="b">
        <v>0</v>
      </c>
      <c r="AF172" s="81">
        <v>0</v>
      </c>
      <c r="AG172" s="89" t="s">
        <v>1149</v>
      </c>
      <c r="AH172" s="81" t="b">
        <v>0</v>
      </c>
      <c r="AI172" s="81" t="s">
        <v>1150</v>
      </c>
      <c r="AJ172" s="81"/>
      <c r="AK172" s="89" t="s">
        <v>1149</v>
      </c>
      <c r="AL172" s="81" t="b">
        <v>0</v>
      </c>
      <c r="AM172" s="81">
        <v>37</v>
      </c>
      <c r="AN172" s="89" t="s">
        <v>1142</v>
      </c>
      <c r="AO172" s="81" t="s">
        <v>1165</v>
      </c>
      <c r="AP172" s="81" t="b">
        <v>0</v>
      </c>
      <c r="AQ172" s="89" t="s">
        <v>1142</v>
      </c>
      <c r="AR172" s="81" t="s">
        <v>325</v>
      </c>
      <c r="AS172" s="81">
        <v>0</v>
      </c>
      <c r="AT172" s="81">
        <v>0</v>
      </c>
      <c r="AU172" s="81"/>
      <c r="AV172" s="81"/>
      <c r="AW172" s="81"/>
      <c r="AX172" s="81"/>
      <c r="AY172" s="81"/>
      <c r="AZ172" s="81"/>
      <c r="BA172" s="81"/>
      <c r="BB172" s="81"/>
      <c r="BC172">
        <v>1</v>
      </c>
      <c r="BD172" s="80" t="str">
        <f>REPLACE(INDEX(GroupVertices[Group],MATCH(Edges[[#This Row],[Vertex 1]],GroupVertices[Vertex],0)),1,1,"")</f>
        <v>2</v>
      </c>
      <c r="BE172" s="80" t="str">
        <f>REPLACE(INDEX(GroupVertices[Group],MATCH(Edges[[#This Row],[Vertex 2]],GroupVertices[Vertex],0)),1,1,"")</f>
        <v>2</v>
      </c>
      <c r="BF172" s="48"/>
      <c r="BG172" s="49"/>
      <c r="BH172" s="48"/>
      <c r="BI172" s="49"/>
      <c r="BJ172" s="48"/>
      <c r="BK172" s="49"/>
      <c r="BL172" s="48"/>
      <c r="BM172" s="49"/>
      <c r="BN172" s="48"/>
    </row>
    <row r="173" spans="1:66" ht="15">
      <c r="A173" s="66" t="s">
        <v>450</v>
      </c>
      <c r="B173" s="66" t="s">
        <v>514</v>
      </c>
      <c r="C173" s="67" t="s">
        <v>3149</v>
      </c>
      <c r="D173" s="68">
        <v>4</v>
      </c>
      <c r="E173" s="69" t="s">
        <v>132</v>
      </c>
      <c r="F173" s="70">
        <v>30</v>
      </c>
      <c r="G173" s="67"/>
      <c r="H173" s="71"/>
      <c r="I173" s="72"/>
      <c r="J173" s="72"/>
      <c r="K173" s="34" t="s">
        <v>65</v>
      </c>
      <c r="L173" s="79">
        <v>173</v>
      </c>
      <c r="M173" s="79"/>
      <c r="N173" s="74"/>
      <c r="O173" s="81" t="s">
        <v>586</v>
      </c>
      <c r="P173" s="83">
        <v>44004.892372685186</v>
      </c>
      <c r="Q173" s="81" t="s">
        <v>595</v>
      </c>
      <c r="R173" s="81"/>
      <c r="S173" s="81"/>
      <c r="T173" s="81"/>
      <c r="U173" s="81"/>
      <c r="V173" s="84" t="str">
        <f>HYPERLINK("http://pbs.twimg.com/profile_images/1223573858814431234/C_wpiNHG_normal.jpg")</f>
        <v>http://pbs.twimg.com/profile_images/1223573858814431234/C_wpiNHG_normal.jpg</v>
      </c>
      <c r="W173" s="83">
        <v>44004.892372685186</v>
      </c>
      <c r="X173" s="87">
        <v>44004</v>
      </c>
      <c r="Y173" s="89" t="s">
        <v>817</v>
      </c>
      <c r="Z173" s="84" t="str">
        <f>HYPERLINK("https://twitter.com/garyshort/status/1275177999084793856")</f>
        <v>https://twitter.com/garyshort/status/1275177999084793856</v>
      </c>
      <c r="AA173" s="81"/>
      <c r="AB173" s="81"/>
      <c r="AC173" s="89" t="s">
        <v>1026</v>
      </c>
      <c r="AD173" s="81"/>
      <c r="AE173" s="81" t="b">
        <v>0</v>
      </c>
      <c r="AF173" s="81">
        <v>0</v>
      </c>
      <c r="AG173" s="89" t="s">
        <v>1149</v>
      </c>
      <c r="AH173" s="81" t="b">
        <v>0</v>
      </c>
      <c r="AI173" s="81" t="s">
        <v>1150</v>
      </c>
      <c r="AJ173" s="81"/>
      <c r="AK173" s="89" t="s">
        <v>1149</v>
      </c>
      <c r="AL173" s="81" t="b">
        <v>0</v>
      </c>
      <c r="AM173" s="81">
        <v>37</v>
      </c>
      <c r="AN173" s="89" t="s">
        <v>1142</v>
      </c>
      <c r="AO173" s="81" t="s">
        <v>1165</v>
      </c>
      <c r="AP173" s="81" t="b">
        <v>0</v>
      </c>
      <c r="AQ173" s="89" t="s">
        <v>1142</v>
      </c>
      <c r="AR173" s="81" t="s">
        <v>325</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8">
        <v>3</v>
      </c>
      <c r="BG173" s="49">
        <v>7.5</v>
      </c>
      <c r="BH173" s="48">
        <v>0</v>
      </c>
      <c r="BI173" s="49">
        <v>0</v>
      </c>
      <c r="BJ173" s="48">
        <v>0</v>
      </c>
      <c r="BK173" s="49">
        <v>0</v>
      </c>
      <c r="BL173" s="48">
        <v>37</v>
      </c>
      <c r="BM173" s="49">
        <v>92.5</v>
      </c>
      <c r="BN173" s="48">
        <v>40</v>
      </c>
    </row>
    <row r="174" spans="1:66" ht="15">
      <c r="A174" s="66" t="s">
        <v>451</v>
      </c>
      <c r="B174" s="66" t="s">
        <v>524</v>
      </c>
      <c r="C174" s="67" t="s">
        <v>3149</v>
      </c>
      <c r="D174" s="68">
        <v>4</v>
      </c>
      <c r="E174" s="69" t="s">
        <v>132</v>
      </c>
      <c r="F174" s="70">
        <v>30</v>
      </c>
      <c r="G174" s="67"/>
      <c r="H174" s="71"/>
      <c r="I174" s="72"/>
      <c r="J174" s="72"/>
      <c r="K174" s="34" t="s">
        <v>65</v>
      </c>
      <c r="L174" s="79">
        <v>174</v>
      </c>
      <c r="M174" s="79"/>
      <c r="N174" s="74"/>
      <c r="O174" s="81" t="s">
        <v>588</v>
      </c>
      <c r="P174" s="83">
        <v>44004.892546296294</v>
      </c>
      <c r="Q174" s="81" t="s">
        <v>597</v>
      </c>
      <c r="R174" s="81"/>
      <c r="S174" s="81"/>
      <c r="T174" s="81" t="s">
        <v>699</v>
      </c>
      <c r="U174" s="81"/>
      <c r="V174" s="84" t="str">
        <f>HYPERLINK("http://pbs.twimg.com/profile_images/1180922167309017088/wZyFeG_Z_normal.png")</f>
        <v>http://pbs.twimg.com/profile_images/1180922167309017088/wZyFeG_Z_normal.png</v>
      </c>
      <c r="W174" s="83">
        <v>44004.892546296294</v>
      </c>
      <c r="X174" s="87">
        <v>44004</v>
      </c>
      <c r="Y174" s="89" t="s">
        <v>818</v>
      </c>
      <c r="Z174" s="84" t="str">
        <f>HYPERLINK("https://twitter.com/khalidpress7/status/1275178060959174656")</f>
        <v>https://twitter.com/khalidpress7/status/1275178060959174656</v>
      </c>
      <c r="AA174" s="81"/>
      <c r="AB174" s="81"/>
      <c r="AC174" s="89" t="s">
        <v>1027</v>
      </c>
      <c r="AD174" s="81"/>
      <c r="AE174" s="81" t="b">
        <v>0</v>
      </c>
      <c r="AF174" s="81">
        <v>0</v>
      </c>
      <c r="AG174" s="89" t="s">
        <v>1149</v>
      </c>
      <c r="AH174" s="81" t="b">
        <v>0</v>
      </c>
      <c r="AI174" s="81" t="s">
        <v>1150</v>
      </c>
      <c r="AJ174" s="81"/>
      <c r="AK174" s="89" t="s">
        <v>1149</v>
      </c>
      <c r="AL174" s="81" t="b">
        <v>0</v>
      </c>
      <c r="AM174" s="81">
        <v>6</v>
      </c>
      <c r="AN174" s="89" t="s">
        <v>1124</v>
      </c>
      <c r="AO174" s="81" t="s">
        <v>1176</v>
      </c>
      <c r="AP174" s="81" t="b">
        <v>0</v>
      </c>
      <c r="AQ174" s="89" t="s">
        <v>1124</v>
      </c>
      <c r="AR174" s="81" t="s">
        <v>325</v>
      </c>
      <c r="AS174" s="81">
        <v>0</v>
      </c>
      <c r="AT174" s="81">
        <v>0</v>
      </c>
      <c r="AU174" s="81"/>
      <c r="AV174" s="81"/>
      <c r="AW174" s="81"/>
      <c r="AX174" s="81"/>
      <c r="AY174" s="81"/>
      <c r="AZ174" s="81"/>
      <c r="BA174" s="81"/>
      <c r="BB174" s="81"/>
      <c r="BC174">
        <v>1</v>
      </c>
      <c r="BD174" s="80" t="str">
        <f>REPLACE(INDEX(GroupVertices[Group],MATCH(Edges[[#This Row],[Vertex 1]],GroupVertices[Vertex],0)),1,1,"")</f>
        <v>5</v>
      </c>
      <c r="BE174" s="80" t="str">
        <f>REPLACE(INDEX(GroupVertices[Group],MATCH(Edges[[#This Row],[Vertex 2]],GroupVertices[Vertex],0)),1,1,"")</f>
        <v>5</v>
      </c>
      <c r="BF174" s="48"/>
      <c r="BG174" s="49"/>
      <c r="BH174" s="48"/>
      <c r="BI174" s="49"/>
      <c r="BJ174" s="48"/>
      <c r="BK174" s="49"/>
      <c r="BL174" s="48"/>
      <c r="BM174" s="49"/>
      <c r="BN174" s="48"/>
    </row>
    <row r="175" spans="1:66" ht="15">
      <c r="A175" s="66" t="s">
        <v>451</v>
      </c>
      <c r="B175" s="66" t="s">
        <v>525</v>
      </c>
      <c r="C175" s="67" t="s">
        <v>3149</v>
      </c>
      <c r="D175" s="68">
        <v>4</v>
      </c>
      <c r="E175" s="69" t="s">
        <v>132</v>
      </c>
      <c r="F175" s="70">
        <v>30</v>
      </c>
      <c r="G175" s="67"/>
      <c r="H175" s="71"/>
      <c r="I175" s="72"/>
      <c r="J175" s="72"/>
      <c r="K175" s="34" t="s">
        <v>65</v>
      </c>
      <c r="L175" s="79">
        <v>175</v>
      </c>
      <c r="M175" s="79"/>
      <c r="N175" s="74"/>
      <c r="O175" s="81" t="s">
        <v>588</v>
      </c>
      <c r="P175" s="83">
        <v>44004.892546296294</v>
      </c>
      <c r="Q175" s="81" t="s">
        <v>597</v>
      </c>
      <c r="R175" s="81"/>
      <c r="S175" s="81"/>
      <c r="T175" s="81" t="s">
        <v>699</v>
      </c>
      <c r="U175" s="81"/>
      <c r="V175" s="84" t="str">
        <f>HYPERLINK("http://pbs.twimg.com/profile_images/1180922167309017088/wZyFeG_Z_normal.png")</f>
        <v>http://pbs.twimg.com/profile_images/1180922167309017088/wZyFeG_Z_normal.png</v>
      </c>
      <c r="W175" s="83">
        <v>44004.892546296294</v>
      </c>
      <c r="X175" s="87">
        <v>44004</v>
      </c>
      <c r="Y175" s="89" t="s">
        <v>818</v>
      </c>
      <c r="Z175" s="84" t="str">
        <f>HYPERLINK("https://twitter.com/khalidpress7/status/1275178060959174656")</f>
        <v>https://twitter.com/khalidpress7/status/1275178060959174656</v>
      </c>
      <c r="AA175" s="81"/>
      <c r="AB175" s="81"/>
      <c r="AC175" s="89" t="s">
        <v>1027</v>
      </c>
      <c r="AD175" s="81"/>
      <c r="AE175" s="81" t="b">
        <v>0</v>
      </c>
      <c r="AF175" s="81">
        <v>0</v>
      </c>
      <c r="AG175" s="89" t="s">
        <v>1149</v>
      </c>
      <c r="AH175" s="81" t="b">
        <v>0</v>
      </c>
      <c r="AI175" s="81" t="s">
        <v>1150</v>
      </c>
      <c r="AJ175" s="81"/>
      <c r="AK175" s="89" t="s">
        <v>1149</v>
      </c>
      <c r="AL175" s="81" t="b">
        <v>0</v>
      </c>
      <c r="AM175" s="81">
        <v>6</v>
      </c>
      <c r="AN175" s="89" t="s">
        <v>1124</v>
      </c>
      <c r="AO175" s="81" t="s">
        <v>1176</v>
      </c>
      <c r="AP175" s="81" t="b">
        <v>0</v>
      </c>
      <c r="AQ175" s="89" t="s">
        <v>1124</v>
      </c>
      <c r="AR175" s="81" t="s">
        <v>325</v>
      </c>
      <c r="AS175" s="81">
        <v>0</v>
      </c>
      <c r="AT175" s="81">
        <v>0</v>
      </c>
      <c r="AU175" s="81"/>
      <c r="AV175" s="81"/>
      <c r="AW175" s="81"/>
      <c r="AX175" s="81"/>
      <c r="AY175" s="81"/>
      <c r="AZ175" s="81"/>
      <c r="BA175" s="81"/>
      <c r="BB175" s="81"/>
      <c r="BC175">
        <v>1</v>
      </c>
      <c r="BD175" s="80" t="str">
        <f>REPLACE(INDEX(GroupVertices[Group],MATCH(Edges[[#This Row],[Vertex 1]],GroupVertices[Vertex],0)),1,1,"")</f>
        <v>5</v>
      </c>
      <c r="BE175" s="80" t="str">
        <f>REPLACE(INDEX(GroupVertices[Group],MATCH(Edges[[#This Row],[Vertex 2]],GroupVertices[Vertex],0)),1,1,"")</f>
        <v>5</v>
      </c>
      <c r="BF175" s="48"/>
      <c r="BG175" s="49"/>
      <c r="BH175" s="48"/>
      <c r="BI175" s="49"/>
      <c r="BJ175" s="48"/>
      <c r="BK175" s="49"/>
      <c r="BL175" s="48"/>
      <c r="BM175" s="49"/>
      <c r="BN175" s="48"/>
    </row>
    <row r="176" spans="1:66" ht="15">
      <c r="A176" s="66" t="s">
        <v>451</v>
      </c>
      <c r="B176" s="66" t="s">
        <v>482</v>
      </c>
      <c r="C176" s="67" t="s">
        <v>3149</v>
      </c>
      <c r="D176" s="68">
        <v>4</v>
      </c>
      <c r="E176" s="69" t="s">
        <v>132</v>
      </c>
      <c r="F176" s="70">
        <v>30</v>
      </c>
      <c r="G176" s="67"/>
      <c r="H176" s="71"/>
      <c r="I176" s="72"/>
      <c r="J176" s="72"/>
      <c r="K176" s="34" t="s">
        <v>65</v>
      </c>
      <c r="L176" s="79">
        <v>176</v>
      </c>
      <c r="M176" s="79"/>
      <c r="N176" s="74"/>
      <c r="O176" s="81" t="s">
        <v>586</v>
      </c>
      <c r="P176" s="83">
        <v>44004.892546296294</v>
      </c>
      <c r="Q176" s="81" t="s">
        <v>597</v>
      </c>
      <c r="R176" s="81"/>
      <c r="S176" s="81"/>
      <c r="T176" s="81" t="s">
        <v>699</v>
      </c>
      <c r="U176" s="81"/>
      <c r="V176" s="84" t="str">
        <f>HYPERLINK("http://pbs.twimg.com/profile_images/1180922167309017088/wZyFeG_Z_normal.png")</f>
        <v>http://pbs.twimg.com/profile_images/1180922167309017088/wZyFeG_Z_normal.png</v>
      </c>
      <c r="W176" s="83">
        <v>44004.892546296294</v>
      </c>
      <c r="X176" s="87">
        <v>44004</v>
      </c>
      <c r="Y176" s="89" t="s">
        <v>818</v>
      </c>
      <c r="Z176" s="84" t="str">
        <f>HYPERLINK("https://twitter.com/khalidpress7/status/1275178060959174656")</f>
        <v>https://twitter.com/khalidpress7/status/1275178060959174656</v>
      </c>
      <c r="AA176" s="81"/>
      <c r="AB176" s="81"/>
      <c r="AC176" s="89" t="s">
        <v>1027</v>
      </c>
      <c r="AD176" s="81"/>
      <c r="AE176" s="81" t="b">
        <v>0</v>
      </c>
      <c r="AF176" s="81">
        <v>0</v>
      </c>
      <c r="AG176" s="89" t="s">
        <v>1149</v>
      </c>
      <c r="AH176" s="81" t="b">
        <v>0</v>
      </c>
      <c r="AI176" s="81" t="s">
        <v>1150</v>
      </c>
      <c r="AJ176" s="81"/>
      <c r="AK176" s="89" t="s">
        <v>1149</v>
      </c>
      <c r="AL176" s="81" t="b">
        <v>0</v>
      </c>
      <c r="AM176" s="81">
        <v>6</v>
      </c>
      <c r="AN176" s="89" t="s">
        <v>1124</v>
      </c>
      <c r="AO176" s="81" t="s">
        <v>1176</v>
      </c>
      <c r="AP176" s="81" t="b">
        <v>0</v>
      </c>
      <c r="AQ176" s="89" t="s">
        <v>1124</v>
      </c>
      <c r="AR176" s="81" t="s">
        <v>325</v>
      </c>
      <c r="AS176" s="81">
        <v>0</v>
      </c>
      <c r="AT176" s="81">
        <v>0</v>
      </c>
      <c r="AU176" s="81"/>
      <c r="AV176" s="81"/>
      <c r="AW176" s="81"/>
      <c r="AX176" s="81"/>
      <c r="AY176" s="81"/>
      <c r="AZ176" s="81"/>
      <c r="BA176" s="81"/>
      <c r="BB176" s="81"/>
      <c r="BC176">
        <v>1</v>
      </c>
      <c r="BD176" s="80" t="str">
        <f>REPLACE(INDEX(GroupVertices[Group],MATCH(Edges[[#This Row],[Vertex 1]],GroupVertices[Vertex],0)),1,1,"")</f>
        <v>5</v>
      </c>
      <c r="BE176" s="80" t="str">
        <f>REPLACE(INDEX(GroupVertices[Group],MATCH(Edges[[#This Row],[Vertex 2]],GroupVertices[Vertex],0)),1,1,"")</f>
        <v>5</v>
      </c>
      <c r="BF176" s="48">
        <v>2</v>
      </c>
      <c r="BG176" s="49">
        <v>5.555555555555555</v>
      </c>
      <c r="BH176" s="48">
        <v>0</v>
      </c>
      <c r="BI176" s="49">
        <v>0</v>
      </c>
      <c r="BJ176" s="48">
        <v>0</v>
      </c>
      <c r="BK176" s="49">
        <v>0</v>
      </c>
      <c r="BL176" s="48">
        <v>34</v>
      </c>
      <c r="BM176" s="49">
        <v>94.44444444444444</v>
      </c>
      <c r="BN176" s="48">
        <v>36</v>
      </c>
    </row>
    <row r="177" spans="1:66" ht="15">
      <c r="A177" s="66" t="s">
        <v>452</v>
      </c>
      <c r="B177" s="66" t="s">
        <v>526</v>
      </c>
      <c r="C177" s="67" t="s">
        <v>3149</v>
      </c>
      <c r="D177" s="68">
        <v>4</v>
      </c>
      <c r="E177" s="69" t="s">
        <v>132</v>
      </c>
      <c r="F177" s="70">
        <v>30</v>
      </c>
      <c r="G177" s="67"/>
      <c r="H177" s="71"/>
      <c r="I177" s="72"/>
      <c r="J177" s="72"/>
      <c r="K177" s="34" t="s">
        <v>65</v>
      </c>
      <c r="L177" s="79">
        <v>177</v>
      </c>
      <c r="M177" s="79"/>
      <c r="N177" s="74"/>
      <c r="O177" s="81" t="s">
        <v>588</v>
      </c>
      <c r="P177" s="83">
        <v>44004.91203703704</v>
      </c>
      <c r="Q177" s="81" t="s">
        <v>612</v>
      </c>
      <c r="R177" s="81"/>
      <c r="S177" s="81"/>
      <c r="T177" s="81" t="s">
        <v>703</v>
      </c>
      <c r="U177" s="81"/>
      <c r="V177" s="84" t="str">
        <f>HYPERLINK("http://pbs.twimg.com/profile_images/929400926045130752/umAVJ3g__normal.jpg")</f>
        <v>http://pbs.twimg.com/profile_images/929400926045130752/umAVJ3g__normal.jpg</v>
      </c>
      <c r="W177" s="83">
        <v>44004.91203703704</v>
      </c>
      <c r="X177" s="87">
        <v>44004</v>
      </c>
      <c r="Y177" s="89" t="s">
        <v>819</v>
      </c>
      <c r="Z177" s="84" t="str">
        <f>HYPERLINK("https://twitter.com/bareftdoctor/status/1275185127698640896")</f>
        <v>https://twitter.com/bareftdoctor/status/1275185127698640896</v>
      </c>
      <c r="AA177" s="81"/>
      <c r="AB177" s="81"/>
      <c r="AC177" s="89" t="s">
        <v>1028</v>
      </c>
      <c r="AD177" s="81"/>
      <c r="AE177" s="81" t="b">
        <v>0</v>
      </c>
      <c r="AF177" s="81">
        <v>0</v>
      </c>
      <c r="AG177" s="89" t="s">
        <v>1149</v>
      </c>
      <c r="AH177" s="81" t="b">
        <v>0</v>
      </c>
      <c r="AI177" s="81" t="s">
        <v>1150</v>
      </c>
      <c r="AJ177" s="81"/>
      <c r="AK177" s="89" t="s">
        <v>1149</v>
      </c>
      <c r="AL177" s="81" t="b">
        <v>0</v>
      </c>
      <c r="AM177" s="81">
        <v>16</v>
      </c>
      <c r="AN177" s="89" t="s">
        <v>1137</v>
      </c>
      <c r="AO177" s="81" t="s">
        <v>1165</v>
      </c>
      <c r="AP177" s="81" t="b">
        <v>0</v>
      </c>
      <c r="AQ177" s="89" t="s">
        <v>1137</v>
      </c>
      <c r="AR177" s="81" t="s">
        <v>325</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8"/>
      <c r="BG177" s="49"/>
      <c r="BH177" s="48"/>
      <c r="BI177" s="49"/>
      <c r="BJ177" s="48"/>
      <c r="BK177" s="49"/>
      <c r="BL177" s="48"/>
      <c r="BM177" s="49"/>
      <c r="BN177" s="48"/>
    </row>
    <row r="178" spans="1:66" ht="15">
      <c r="A178" s="66" t="s">
        <v>452</v>
      </c>
      <c r="B178" s="66" t="s">
        <v>527</v>
      </c>
      <c r="C178" s="67" t="s">
        <v>3149</v>
      </c>
      <c r="D178" s="68">
        <v>4</v>
      </c>
      <c r="E178" s="69" t="s">
        <v>132</v>
      </c>
      <c r="F178" s="70">
        <v>30</v>
      </c>
      <c r="G178" s="67"/>
      <c r="H178" s="71"/>
      <c r="I178" s="72"/>
      <c r="J178" s="72"/>
      <c r="K178" s="34" t="s">
        <v>65</v>
      </c>
      <c r="L178" s="79">
        <v>178</v>
      </c>
      <c r="M178" s="79"/>
      <c r="N178" s="74"/>
      <c r="O178" s="81" t="s">
        <v>588</v>
      </c>
      <c r="P178" s="83">
        <v>44004.91203703704</v>
      </c>
      <c r="Q178" s="81" t="s">
        <v>612</v>
      </c>
      <c r="R178" s="81"/>
      <c r="S178" s="81"/>
      <c r="T178" s="81" t="s">
        <v>703</v>
      </c>
      <c r="U178" s="81"/>
      <c r="V178" s="84" t="str">
        <f>HYPERLINK("http://pbs.twimg.com/profile_images/929400926045130752/umAVJ3g__normal.jpg")</f>
        <v>http://pbs.twimg.com/profile_images/929400926045130752/umAVJ3g__normal.jpg</v>
      </c>
      <c r="W178" s="83">
        <v>44004.91203703704</v>
      </c>
      <c r="X178" s="87">
        <v>44004</v>
      </c>
      <c r="Y178" s="89" t="s">
        <v>819</v>
      </c>
      <c r="Z178" s="84" t="str">
        <f>HYPERLINK("https://twitter.com/bareftdoctor/status/1275185127698640896")</f>
        <v>https://twitter.com/bareftdoctor/status/1275185127698640896</v>
      </c>
      <c r="AA178" s="81"/>
      <c r="AB178" s="81"/>
      <c r="AC178" s="89" t="s">
        <v>1028</v>
      </c>
      <c r="AD178" s="81"/>
      <c r="AE178" s="81" t="b">
        <v>0</v>
      </c>
      <c r="AF178" s="81">
        <v>0</v>
      </c>
      <c r="AG178" s="89" t="s">
        <v>1149</v>
      </c>
      <c r="AH178" s="81" t="b">
        <v>0</v>
      </c>
      <c r="AI178" s="81" t="s">
        <v>1150</v>
      </c>
      <c r="AJ178" s="81"/>
      <c r="AK178" s="89" t="s">
        <v>1149</v>
      </c>
      <c r="AL178" s="81" t="b">
        <v>0</v>
      </c>
      <c r="AM178" s="81">
        <v>16</v>
      </c>
      <c r="AN178" s="89" t="s">
        <v>1137</v>
      </c>
      <c r="AO178" s="81" t="s">
        <v>1165</v>
      </c>
      <c r="AP178" s="81" t="b">
        <v>0</v>
      </c>
      <c r="AQ178" s="89" t="s">
        <v>1137</v>
      </c>
      <c r="AR178" s="81" t="s">
        <v>325</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8"/>
      <c r="BG178" s="49"/>
      <c r="BH178" s="48"/>
      <c r="BI178" s="49"/>
      <c r="BJ178" s="48"/>
      <c r="BK178" s="49"/>
      <c r="BL178" s="48"/>
      <c r="BM178" s="49"/>
      <c r="BN178" s="48"/>
    </row>
    <row r="179" spans="1:66" ht="15">
      <c r="A179" s="66" t="s">
        <v>452</v>
      </c>
      <c r="B179" s="66" t="s">
        <v>509</v>
      </c>
      <c r="C179" s="67" t="s">
        <v>3149</v>
      </c>
      <c r="D179" s="68">
        <v>4</v>
      </c>
      <c r="E179" s="69" t="s">
        <v>132</v>
      </c>
      <c r="F179" s="70">
        <v>30</v>
      </c>
      <c r="G179" s="67"/>
      <c r="H179" s="71"/>
      <c r="I179" s="72"/>
      <c r="J179" s="72"/>
      <c r="K179" s="34" t="s">
        <v>65</v>
      </c>
      <c r="L179" s="79">
        <v>179</v>
      </c>
      <c r="M179" s="79"/>
      <c r="N179" s="74"/>
      <c r="O179" s="81" t="s">
        <v>586</v>
      </c>
      <c r="P179" s="83">
        <v>44004.91203703704</v>
      </c>
      <c r="Q179" s="81" t="s">
        <v>612</v>
      </c>
      <c r="R179" s="81"/>
      <c r="S179" s="81"/>
      <c r="T179" s="81" t="s">
        <v>703</v>
      </c>
      <c r="U179" s="81"/>
      <c r="V179" s="84" t="str">
        <f>HYPERLINK("http://pbs.twimg.com/profile_images/929400926045130752/umAVJ3g__normal.jpg")</f>
        <v>http://pbs.twimg.com/profile_images/929400926045130752/umAVJ3g__normal.jpg</v>
      </c>
      <c r="W179" s="83">
        <v>44004.91203703704</v>
      </c>
      <c r="X179" s="87">
        <v>44004</v>
      </c>
      <c r="Y179" s="89" t="s">
        <v>819</v>
      </c>
      <c r="Z179" s="84" t="str">
        <f>HYPERLINK("https://twitter.com/bareftdoctor/status/1275185127698640896")</f>
        <v>https://twitter.com/bareftdoctor/status/1275185127698640896</v>
      </c>
      <c r="AA179" s="81"/>
      <c r="AB179" s="81"/>
      <c r="AC179" s="89" t="s">
        <v>1028</v>
      </c>
      <c r="AD179" s="81"/>
      <c r="AE179" s="81" t="b">
        <v>0</v>
      </c>
      <c r="AF179" s="81">
        <v>0</v>
      </c>
      <c r="AG179" s="89" t="s">
        <v>1149</v>
      </c>
      <c r="AH179" s="81" t="b">
        <v>0</v>
      </c>
      <c r="AI179" s="81" t="s">
        <v>1150</v>
      </c>
      <c r="AJ179" s="81"/>
      <c r="AK179" s="89" t="s">
        <v>1149</v>
      </c>
      <c r="AL179" s="81" t="b">
        <v>0</v>
      </c>
      <c r="AM179" s="81">
        <v>16</v>
      </c>
      <c r="AN179" s="89" t="s">
        <v>1137</v>
      </c>
      <c r="AO179" s="81" t="s">
        <v>1165</v>
      </c>
      <c r="AP179" s="81" t="b">
        <v>0</v>
      </c>
      <c r="AQ179" s="89" t="s">
        <v>1137</v>
      </c>
      <c r="AR179" s="81" t="s">
        <v>325</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8">
        <v>1</v>
      </c>
      <c r="BG179" s="49">
        <v>4.761904761904762</v>
      </c>
      <c r="BH179" s="48">
        <v>0</v>
      </c>
      <c r="BI179" s="49">
        <v>0</v>
      </c>
      <c r="BJ179" s="48">
        <v>0</v>
      </c>
      <c r="BK179" s="49">
        <v>0</v>
      </c>
      <c r="BL179" s="48">
        <v>20</v>
      </c>
      <c r="BM179" s="49">
        <v>95.23809523809524</v>
      </c>
      <c r="BN179" s="48">
        <v>21</v>
      </c>
    </row>
    <row r="180" spans="1:66" ht="15">
      <c r="A180" s="66" t="s">
        <v>453</v>
      </c>
      <c r="B180" s="66" t="s">
        <v>526</v>
      </c>
      <c r="C180" s="67" t="s">
        <v>3149</v>
      </c>
      <c r="D180" s="68">
        <v>4</v>
      </c>
      <c r="E180" s="69" t="s">
        <v>132</v>
      </c>
      <c r="F180" s="70">
        <v>30</v>
      </c>
      <c r="G180" s="67"/>
      <c r="H180" s="71"/>
      <c r="I180" s="72"/>
      <c r="J180" s="72"/>
      <c r="K180" s="34" t="s">
        <v>65</v>
      </c>
      <c r="L180" s="79">
        <v>180</v>
      </c>
      <c r="M180" s="79"/>
      <c r="N180" s="74"/>
      <c r="O180" s="81" t="s">
        <v>588</v>
      </c>
      <c r="P180" s="83">
        <v>44004.924780092595</v>
      </c>
      <c r="Q180" s="81" t="s">
        <v>612</v>
      </c>
      <c r="R180" s="81"/>
      <c r="S180" s="81"/>
      <c r="T180" s="81" t="s">
        <v>703</v>
      </c>
      <c r="U180" s="81"/>
      <c r="V180" s="84" t="str">
        <f>HYPERLINK("http://pbs.twimg.com/profile_images/663722079817216000/zrrrfqNE_normal.png")</f>
        <v>http://pbs.twimg.com/profile_images/663722079817216000/zrrrfqNE_normal.png</v>
      </c>
      <c r="W180" s="83">
        <v>44004.924780092595</v>
      </c>
      <c r="X180" s="87">
        <v>44004</v>
      </c>
      <c r="Y180" s="89" t="s">
        <v>820</v>
      </c>
      <c r="Z180" s="84" t="str">
        <f>HYPERLINK("https://twitter.com/geo_sjfdewsbury/status/1275189745887387651")</f>
        <v>https://twitter.com/geo_sjfdewsbury/status/1275189745887387651</v>
      </c>
      <c r="AA180" s="81"/>
      <c r="AB180" s="81"/>
      <c r="AC180" s="89" t="s">
        <v>1029</v>
      </c>
      <c r="AD180" s="81"/>
      <c r="AE180" s="81" t="b">
        <v>0</v>
      </c>
      <c r="AF180" s="81">
        <v>0</v>
      </c>
      <c r="AG180" s="89" t="s">
        <v>1149</v>
      </c>
      <c r="AH180" s="81" t="b">
        <v>0</v>
      </c>
      <c r="AI180" s="81" t="s">
        <v>1150</v>
      </c>
      <c r="AJ180" s="81"/>
      <c r="AK180" s="89" t="s">
        <v>1149</v>
      </c>
      <c r="AL180" s="81" t="b">
        <v>0</v>
      </c>
      <c r="AM180" s="81">
        <v>16</v>
      </c>
      <c r="AN180" s="89" t="s">
        <v>1137</v>
      </c>
      <c r="AO180" s="81" t="s">
        <v>1165</v>
      </c>
      <c r="AP180" s="81" t="b">
        <v>0</v>
      </c>
      <c r="AQ180" s="89" t="s">
        <v>1137</v>
      </c>
      <c r="AR180" s="81" t="s">
        <v>325</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8"/>
      <c r="BG180" s="49"/>
      <c r="BH180" s="48"/>
      <c r="BI180" s="49"/>
      <c r="BJ180" s="48"/>
      <c r="BK180" s="49"/>
      <c r="BL180" s="48"/>
      <c r="BM180" s="49"/>
      <c r="BN180" s="48"/>
    </row>
    <row r="181" spans="1:66" ht="15">
      <c r="A181" s="66" t="s">
        <v>453</v>
      </c>
      <c r="B181" s="66" t="s">
        <v>527</v>
      </c>
      <c r="C181" s="67" t="s">
        <v>3149</v>
      </c>
      <c r="D181" s="68">
        <v>4</v>
      </c>
      <c r="E181" s="69" t="s">
        <v>132</v>
      </c>
      <c r="F181" s="70">
        <v>30</v>
      </c>
      <c r="G181" s="67"/>
      <c r="H181" s="71"/>
      <c r="I181" s="72"/>
      <c r="J181" s="72"/>
      <c r="K181" s="34" t="s">
        <v>65</v>
      </c>
      <c r="L181" s="79">
        <v>181</v>
      </c>
      <c r="M181" s="79"/>
      <c r="N181" s="74"/>
      <c r="O181" s="81" t="s">
        <v>588</v>
      </c>
      <c r="P181" s="83">
        <v>44004.924780092595</v>
      </c>
      <c r="Q181" s="81" t="s">
        <v>612</v>
      </c>
      <c r="R181" s="81"/>
      <c r="S181" s="81"/>
      <c r="T181" s="81" t="s">
        <v>703</v>
      </c>
      <c r="U181" s="81"/>
      <c r="V181" s="84" t="str">
        <f>HYPERLINK("http://pbs.twimg.com/profile_images/663722079817216000/zrrrfqNE_normal.png")</f>
        <v>http://pbs.twimg.com/profile_images/663722079817216000/zrrrfqNE_normal.png</v>
      </c>
      <c r="W181" s="83">
        <v>44004.924780092595</v>
      </c>
      <c r="X181" s="87">
        <v>44004</v>
      </c>
      <c r="Y181" s="89" t="s">
        <v>820</v>
      </c>
      <c r="Z181" s="84" t="str">
        <f>HYPERLINK("https://twitter.com/geo_sjfdewsbury/status/1275189745887387651")</f>
        <v>https://twitter.com/geo_sjfdewsbury/status/1275189745887387651</v>
      </c>
      <c r="AA181" s="81"/>
      <c r="AB181" s="81"/>
      <c r="AC181" s="89" t="s">
        <v>1029</v>
      </c>
      <c r="AD181" s="81"/>
      <c r="AE181" s="81" t="b">
        <v>0</v>
      </c>
      <c r="AF181" s="81">
        <v>0</v>
      </c>
      <c r="AG181" s="89" t="s">
        <v>1149</v>
      </c>
      <c r="AH181" s="81" t="b">
        <v>0</v>
      </c>
      <c r="AI181" s="81" t="s">
        <v>1150</v>
      </c>
      <c r="AJ181" s="81"/>
      <c r="AK181" s="89" t="s">
        <v>1149</v>
      </c>
      <c r="AL181" s="81" t="b">
        <v>0</v>
      </c>
      <c r="AM181" s="81">
        <v>16</v>
      </c>
      <c r="AN181" s="89" t="s">
        <v>1137</v>
      </c>
      <c r="AO181" s="81" t="s">
        <v>1165</v>
      </c>
      <c r="AP181" s="81" t="b">
        <v>0</v>
      </c>
      <c r="AQ181" s="89" t="s">
        <v>1137</v>
      </c>
      <c r="AR181" s="81" t="s">
        <v>325</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8"/>
      <c r="BG181" s="49"/>
      <c r="BH181" s="48"/>
      <c r="BI181" s="49"/>
      <c r="BJ181" s="48"/>
      <c r="BK181" s="49"/>
      <c r="BL181" s="48"/>
      <c r="BM181" s="49"/>
      <c r="BN181" s="48"/>
    </row>
    <row r="182" spans="1:66" ht="15">
      <c r="A182" s="66" t="s">
        <v>453</v>
      </c>
      <c r="B182" s="66" t="s">
        <v>509</v>
      </c>
      <c r="C182" s="67" t="s">
        <v>3149</v>
      </c>
      <c r="D182" s="68">
        <v>4</v>
      </c>
      <c r="E182" s="69" t="s">
        <v>132</v>
      </c>
      <c r="F182" s="70">
        <v>30</v>
      </c>
      <c r="G182" s="67"/>
      <c r="H182" s="71"/>
      <c r="I182" s="72"/>
      <c r="J182" s="72"/>
      <c r="K182" s="34" t="s">
        <v>65</v>
      </c>
      <c r="L182" s="79">
        <v>182</v>
      </c>
      <c r="M182" s="79"/>
      <c r="N182" s="74"/>
      <c r="O182" s="81" t="s">
        <v>586</v>
      </c>
      <c r="P182" s="83">
        <v>44004.924780092595</v>
      </c>
      <c r="Q182" s="81" t="s">
        <v>612</v>
      </c>
      <c r="R182" s="81"/>
      <c r="S182" s="81"/>
      <c r="T182" s="81" t="s">
        <v>703</v>
      </c>
      <c r="U182" s="81"/>
      <c r="V182" s="84" t="str">
        <f>HYPERLINK("http://pbs.twimg.com/profile_images/663722079817216000/zrrrfqNE_normal.png")</f>
        <v>http://pbs.twimg.com/profile_images/663722079817216000/zrrrfqNE_normal.png</v>
      </c>
      <c r="W182" s="83">
        <v>44004.924780092595</v>
      </c>
      <c r="X182" s="87">
        <v>44004</v>
      </c>
      <c r="Y182" s="89" t="s">
        <v>820</v>
      </c>
      <c r="Z182" s="84" t="str">
        <f>HYPERLINK("https://twitter.com/geo_sjfdewsbury/status/1275189745887387651")</f>
        <v>https://twitter.com/geo_sjfdewsbury/status/1275189745887387651</v>
      </c>
      <c r="AA182" s="81"/>
      <c r="AB182" s="81"/>
      <c r="AC182" s="89" t="s">
        <v>1029</v>
      </c>
      <c r="AD182" s="81"/>
      <c r="AE182" s="81" t="b">
        <v>0</v>
      </c>
      <c r="AF182" s="81">
        <v>0</v>
      </c>
      <c r="AG182" s="89" t="s">
        <v>1149</v>
      </c>
      <c r="AH182" s="81" t="b">
        <v>0</v>
      </c>
      <c r="AI182" s="81" t="s">
        <v>1150</v>
      </c>
      <c r="AJ182" s="81"/>
      <c r="AK182" s="89" t="s">
        <v>1149</v>
      </c>
      <c r="AL182" s="81" t="b">
        <v>0</v>
      </c>
      <c r="AM182" s="81">
        <v>16</v>
      </c>
      <c r="AN182" s="89" t="s">
        <v>1137</v>
      </c>
      <c r="AO182" s="81" t="s">
        <v>1165</v>
      </c>
      <c r="AP182" s="81" t="b">
        <v>0</v>
      </c>
      <c r="AQ182" s="89" t="s">
        <v>1137</v>
      </c>
      <c r="AR182" s="81" t="s">
        <v>325</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8">
        <v>1</v>
      </c>
      <c r="BG182" s="49">
        <v>4.761904761904762</v>
      </c>
      <c r="BH182" s="48">
        <v>0</v>
      </c>
      <c r="BI182" s="49">
        <v>0</v>
      </c>
      <c r="BJ182" s="48">
        <v>0</v>
      </c>
      <c r="BK182" s="49">
        <v>0</v>
      </c>
      <c r="BL182" s="48">
        <v>20</v>
      </c>
      <c r="BM182" s="49">
        <v>95.23809523809524</v>
      </c>
      <c r="BN182" s="48">
        <v>21</v>
      </c>
    </row>
    <row r="183" spans="1:66" ht="15">
      <c r="A183" s="66" t="s">
        <v>454</v>
      </c>
      <c r="B183" s="66" t="s">
        <v>513</v>
      </c>
      <c r="C183" s="67" t="s">
        <v>3149</v>
      </c>
      <c r="D183" s="68">
        <v>4</v>
      </c>
      <c r="E183" s="69" t="s">
        <v>132</v>
      </c>
      <c r="F183" s="70">
        <v>30</v>
      </c>
      <c r="G183" s="67"/>
      <c r="H183" s="71"/>
      <c r="I183" s="72"/>
      <c r="J183" s="72"/>
      <c r="K183" s="34" t="s">
        <v>65</v>
      </c>
      <c r="L183" s="79">
        <v>183</v>
      </c>
      <c r="M183" s="79"/>
      <c r="N183" s="74"/>
      <c r="O183" s="81" t="s">
        <v>588</v>
      </c>
      <c r="P183" s="83">
        <v>44004.93918981482</v>
      </c>
      <c r="Q183" s="81" t="s">
        <v>595</v>
      </c>
      <c r="R183" s="81"/>
      <c r="S183" s="81"/>
      <c r="T183" s="81"/>
      <c r="U183" s="81"/>
      <c r="V183" s="84" t="str">
        <f>HYPERLINK("http://pbs.twimg.com/profile_images/1262043384325320706/l9AAXzAz_normal.jpg")</f>
        <v>http://pbs.twimg.com/profile_images/1262043384325320706/l9AAXzAz_normal.jpg</v>
      </c>
      <c r="W183" s="83">
        <v>44004.93918981482</v>
      </c>
      <c r="X183" s="87">
        <v>44004</v>
      </c>
      <c r="Y183" s="89" t="s">
        <v>821</v>
      </c>
      <c r="Z183" s="84" t="str">
        <f>HYPERLINK("https://twitter.com/ekoner/status/1275194967728754689")</f>
        <v>https://twitter.com/ekoner/status/1275194967728754689</v>
      </c>
      <c r="AA183" s="81"/>
      <c r="AB183" s="81"/>
      <c r="AC183" s="89" t="s">
        <v>1030</v>
      </c>
      <c r="AD183" s="81"/>
      <c r="AE183" s="81" t="b">
        <v>0</v>
      </c>
      <c r="AF183" s="81">
        <v>0</v>
      </c>
      <c r="AG183" s="89" t="s">
        <v>1149</v>
      </c>
      <c r="AH183" s="81" t="b">
        <v>0</v>
      </c>
      <c r="AI183" s="81" t="s">
        <v>1150</v>
      </c>
      <c r="AJ183" s="81"/>
      <c r="AK183" s="89" t="s">
        <v>1149</v>
      </c>
      <c r="AL183" s="81" t="b">
        <v>0</v>
      </c>
      <c r="AM183" s="81">
        <v>37</v>
      </c>
      <c r="AN183" s="89" t="s">
        <v>1142</v>
      </c>
      <c r="AO183" s="81" t="s">
        <v>1165</v>
      </c>
      <c r="AP183" s="81" t="b">
        <v>0</v>
      </c>
      <c r="AQ183" s="89" t="s">
        <v>1142</v>
      </c>
      <c r="AR183" s="81" t="s">
        <v>325</v>
      </c>
      <c r="AS183" s="81">
        <v>0</v>
      </c>
      <c r="AT183" s="81">
        <v>0</v>
      </c>
      <c r="AU183" s="81"/>
      <c r="AV183" s="81"/>
      <c r="AW183" s="81"/>
      <c r="AX183" s="81"/>
      <c r="AY183" s="81"/>
      <c r="AZ183" s="81"/>
      <c r="BA183" s="81"/>
      <c r="BB183" s="81"/>
      <c r="BC183">
        <v>1</v>
      </c>
      <c r="BD183" s="80" t="str">
        <f>REPLACE(INDEX(GroupVertices[Group],MATCH(Edges[[#This Row],[Vertex 1]],GroupVertices[Vertex],0)),1,1,"")</f>
        <v>2</v>
      </c>
      <c r="BE183" s="80" t="str">
        <f>REPLACE(INDEX(GroupVertices[Group],MATCH(Edges[[#This Row],[Vertex 2]],GroupVertices[Vertex],0)),1,1,"")</f>
        <v>2</v>
      </c>
      <c r="BF183" s="48"/>
      <c r="BG183" s="49"/>
      <c r="BH183" s="48"/>
      <c r="BI183" s="49"/>
      <c r="BJ183" s="48"/>
      <c r="BK183" s="49"/>
      <c r="BL183" s="48"/>
      <c r="BM183" s="49"/>
      <c r="BN183" s="48"/>
    </row>
    <row r="184" spans="1:66" ht="15">
      <c r="A184" s="66" t="s">
        <v>454</v>
      </c>
      <c r="B184" s="66" t="s">
        <v>514</v>
      </c>
      <c r="C184" s="67" t="s">
        <v>3149</v>
      </c>
      <c r="D184" s="68">
        <v>4</v>
      </c>
      <c r="E184" s="69" t="s">
        <v>132</v>
      </c>
      <c r="F184" s="70">
        <v>30</v>
      </c>
      <c r="G184" s="67"/>
      <c r="H184" s="71"/>
      <c r="I184" s="72"/>
      <c r="J184" s="72"/>
      <c r="K184" s="34" t="s">
        <v>65</v>
      </c>
      <c r="L184" s="79">
        <v>184</v>
      </c>
      <c r="M184" s="79"/>
      <c r="N184" s="74"/>
      <c r="O184" s="81" t="s">
        <v>586</v>
      </c>
      <c r="P184" s="83">
        <v>44004.93918981482</v>
      </c>
      <c r="Q184" s="81" t="s">
        <v>595</v>
      </c>
      <c r="R184" s="81"/>
      <c r="S184" s="81"/>
      <c r="T184" s="81"/>
      <c r="U184" s="81"/>
      <c r="V184" s="84" t="str">
        <f>HYPERLINK("http://pbs.twimg.com/profile_images/1262043384325320706/l9AAXzAz_normal.jpg")</f>
        <v>http://pbs.twimg.com/profile_images/1262043384325320706/l9AAXzAz_normal.jpg</v>
      </c>
      <c r="W184" s="83">
        <v>44004.93918981482</v>
      </c>
      <c r="X184" s="87">
        <v>44004</v>
      </c>
      <c r="Y184" s="89" t="s">
        <v>821</v>
      </c>
      <c r="Z184" s="84" t="str">
        <f>HYPERLINK("https://twitter.com/ekoner/status/1275194967728754689")</f>
        <v>https://twitter.com/ekoner/status/1275194967728754689</v>
      </c>
      <c r="AA184" s="81"/>
      <c r="AB184" s="81"/>
      <c r="AC184" s="89" t="s">
        <v>1030</v>
      </c>
      <c r="AD184" s="81"/>
      <c r="AE184" s="81" t="b">
        <v>0</v>
      </c>
      <c r="AF184" s="81">
        <v>0</v>
      </c>
      <c r="AG184" s="89" t="s">
        <v>1149</v>
      </c>
      <c r="AH184" s="81" t="b">
        <v>0</v>
      </c>
      <c r="AI184" s="81" t="s">
        <v>1150</v>
      </c>
      <c r="AJ184" s="81"/>
      <c r="AK184" s="89" t="s">
        <v>1149</v>
      </c>
      <c r="AL184" s="81" t="b">
        <v>0</v>
      </c>
      <c r="AM184" s="81">
        <v>37</v>
      </c>
      <c r="AN184" s="89" t="s">
        <v>1142</v>
      </c>
      <c r="AO184" s="81" t="s">
        <v>1165</v>
      </c>
      <c r="AP184" s="81" t="b">
        <v>0</v>
      </c>
      <c r="AQ184" s="89" t="s">
        <v>1142</v>
      </c>
      <c r="AR184" s="81" t="s">
        <v>325</v>
      </c>
      <c r="AS184" s="81">
        <v>0</v>
      </c>
      <c r="AT184" s="81">
        <v>0</v>
      </c>
      <c r="AU184" s="81"/>
      <c r="AV184" s="81"/>
      <c r="AW184" s="81"/>
      <c r="AX184" s="81"/>
      <c r="AY184" s="81"/>
      <c r="AZ184" s="81"/>
      <c r="BA184" s="81"/>
      <c r="BB184" s="81"/>
      <c r="BC184">
        <v>1</v>
      </c>
      <c r="BD184" s="80" t="str">
        <f>REPLACE(INDEX(GroupVertices[Group],MATCH(Edges[[#This Row],[Vertex 1]],GroupVertices[Vertex],0)),1,1,"")</f>
        <v>2</v>
      </c>
      <c r="BE184" s="80" t="str">
        <f>REPLACE(INDEX(GroupVertices[Group],MATCH(Edges[[#This Row],[Vertex 2]],GroupVertices[Vertex],0)),1,1,"")</f>
        <v>2</v>
      </c>
      <c r="BF184" s="48">
        <v>3</v>
      </c>
      <c r="BG184" s="49">
        <v>7.5</v>
      </c>
      <c r="BH184" s="48">
        <v>0</v>
      </c>
      <c r="BI184" s="49">
        <v>0</v>
      </c>
      <c r="BJ184" s="48">
        <v>0</v>
      </c>
      <c r="BK184" s="49">
        <v>0</v>
      </c>
      <c r="BL184" s="48">
        <v>37</v>
      </c>
      <c r="BM184" s="49">
        <v>92.5</v>
      </c>
      <c r="BN184" s="48">
        <v>40</v>
      </c>
    </row>
    <row r="185" spans="1:66" ht="15">
      <c r="A185" s="66" t="s">
        <v>455</v>
      </c>
      <c r="B185" s="66" t="s">
        <v>455</v>
      </c>
      <c r="C185" s="67" t="s">
        <v>3149</v>
      </c>
      <c r="D185" s="68">
        <v>4</v>
      </c>
      <c r="E185" s="69" t="s">
        <v>132</v>
      </c>
      <c r="F185" s="70">
        <v>30</v>
      </c>
      <c r="G185" s="67"/>
      <c r="H185" s="71"/>
      <c r="I185" s="72"/>
      <c r="J185" s="72"/>
      <c r="K185" s="34" t="s">
        <v>65</v>
      </c>
      <c r="L185" s="79">
        <v>185</v>
      </c>
      <c r="M185" s="79"/>
      <c r="N185" s="74"/>
      <c r="O185" s="81" t="s">
        <v>325</v>
      </c>
      <c r="P185" s="83">
        <v>44004.944027777776</v>
      </c>
      <c r="Q185" s="81" t="s">
        <v>615</v>
      </c>
      <c r="R185" s="84" t="str">
        <f>HYPERLINK("https://www.instagram.com/p/CBwMEuqFhG4/")</f>
        <v>https://www.instagram.com/p/CBwMEuqFhG4/</v>
      </c>
      <c r="S185" s="81" t="s">
        <v>681</v>
      </c>
      <c r="T185" s="81" t="s">
        <v>713</v>
      </c>
      <c r="U185" s="84" t="str">
        <f>HYPERLINK("https://pbs.twimg.com/media/EbJoqD2XgAEIlka.jpg")</f>
        <v>https://pbs.twimg.com/media/EbJoqD2XgAEIlka.jpg</v>
      </c>
      <c r="V185" s="84" t="str">
        <f>HYPERLINK("https://pbs.twimg.com/media/EbJoqD2XgAEIlka.jpg")</f>
        <v>https://pbs.twimg.com/media/EbJoqD2XgAEIlka.jpg</v>
      </c>
      <c r="W185" s="83">
        <v>44004.944027777776</v>
      </c>
      <c r="X185" s="87">
        <v>44004</v>
      </c>
      <c r="Y185" s="89" t="s">
        <v>822</v>
      </c>
      <c r="Z185" s="84" t="str">
        <f>HYPERLINK("https://twitter.com/djschoolhouten/status/1275196717621817350")</f>
        <v>https://twitter.com/djschoolhouten/status/1275196717621817350</v>
      </c>
      <c r="AA185" s="81"/>
      <c r="AB185" s="81"/>
      <c r="AC185" s="89" t="s">
        <v>1031</v>
      </c>
      <c r="AD185" s="81"/>
      <c r="AE185" s="81" t="b">
        <v>0</v>
      </c>
      <c r="AF185" s="81">
        <v>0</v>
      </c>
      <c r="AG185" s="89" t="s">
        <v>1149</v>
      </c>
      <c r="AH185" s="81" t="b">
        <v>0</v>
      </c>
      <c r="AI185" s="81" t="s">
        <v>1153</v>
      </c>
      <c r="AJ185" s="81"/>
      <c r="AK185" s="89" t="s">
        <v>1149</v>
      </c>
      <c r="AL185" s="81" t="b">
        <v>0</v>
      </c>
      <c r="AM185" s="81">
        <v>0</v>
      </c>
      <c r="AN185" s="89" t="s">
        <v>1149</v>
      </c>
      <c r="AO185" s="81" t="s">
        <v>1178</v>
      </c>
      <c r="AP185" s="81" t="b">
        <v>0</v>
      </c>
      <c r="AQ185" s="89" t="s">
        <v>1031</v>
      </c>
      <c r="AR185" s="81" t="s">
        <v>325</v>
      </c>
      <c r="AS185" s="81">
        <v>0</v>
      </c>
      <c r="AT185" s="81">
        <v>0</v>
      </c>
      <c r="AU185" s="81"/>
      <c r="AV185" s="81"/>
      <c r="AW185" s="81"/>
      <c r="AX185" s="81"/>
      <c r="AY185" s="81"/>
      <c r="AZ185" s="81"/>
      <c r="BA185" s="81"/>
      <c r="BB185" s="81"/>
      <c r="BC185">
        <v>1</v>
      </c>
      <c r="BD185" s="80" t="str">
        <f>REPLACE(INDEX(GroupVertices[Group],MATCH(Edges[[#This Row],[Vertex 1]],GroupVertices[Vertex],0)),1,1,"")</f>
        <v>8</v>
      </c>
      <c r="BE185" s="80" t="str">
        <f>REPLACE(INDEX(GroupVertices[Group],MATCH(Edges[[#This Row],[Vertex 2]],GroupVertices[Vertex],0)),1,1,"")</f>
        <v>8</v>
      </c>
      <c r="BF185" s="48">
        <v>0</v>
      </c>
      <c r="BG185" s="49">
        <v>0</v>
      </c>
      <c r="BH185" s="48">
        <v>0</v>
      </c>
      <c r="BI185" s="49">
        <v>0</v>
      </c>
      <c r="BJ185" s="48">
        <v>0</v>
      </c>
      <c r="BK185" s="49">
        <v>0</v>
      </c>
      <c r="BL185" s="48">
        <v>28</v>
      </c>
      <c r="BM185" s="49">
        <v>100</v>
      </c>
      <c r="BN185" s="48">
        <v>28</v>
      </c>
    </row>
    <row r="186" spans="1:66" ht="15">
      <c r="A186" s="66" t="s">
        <v>456</v>
      </c>
      <c r="B186" s="66" t="s">
        <v>456</v>
      </c>
      <c r="C186" s="67" t="s">
        <v>3149</v>
      </c>
      <c r="D186" s="68">
        <v>4</v>
      </c>
      <c r="E186" s="69" t="s">
        <v>132</v>
      </c>
      <c r="F186" s="70">
        <v>30</v>
      </c>
      <c r="G186" s="67"/>
      <c r="H186" s="71"/>
      <c r="I186" s="72"/>
      <c r="J186" s="72"/>
      <c r="K186" s="34" t="s">
        <v>65</v>
      </c>
      <c r="L186" s="79">
        <v>186</v>
      </c>
      <c r="M186" s="79"/>
      <c r="N186" s="74"/>
      <c r="O186" s="81" t="s">
        <v>325</v>
      </c>
      <c r="P186" s="83">
        <v>44004.953831018516</v>
      </c>
      <c r="Q186" s="81" t="s">
        <v>616</v>
      </c>
      <c r="R186" s="84" t="str">
        <f>HYPERLINK("https://www.instagram.com/p/CBwTzp0BUki/?igshid=9gpbtba4lceq")</f>
        <v>https://www.instagram.com/p/CBwTzp0BUki/?igshid=9gpbtba4lceq</v>
      </c>
      <c r="S186" s="81" t="s">
        <v>681</v>
      </c>
      <c r="T186" s="81" t="s">
        <v>714</v>
      </c>
      <c r="U186" s="81"/>
      <c r="V186" s="84" t="str">
        <f>HYPERLINK("http://pbs.twimg.com/profile_images/1050192400969129984/yQj50PWU_normal.jpg")</f>
        <v>http://pbs.twimg.com/profile_images/1050192400969129984/yQj50PWU_normal.jpg</v>
      </c>
      <c r="W186" s="83">
        <v>44004.953831018516</v>
      </c>
      <c r="X186" s="87">
        <v>44004</v>
      </c>
      <c r="Y186" s="89" t="s">
        <v>823</v>
      </c>
      <c r="Z186" s="84" t="str">
        <f>HYPERLINK("https://twitter.com/djment0rs/status/1275200273477251073")</f>
        <v>https://twitter.com/djment0rs/status/1275200273477251073</v>
      </c>
      <c r="AA186" s="81"/>
      <c r="AB186" s="81"/>
      <c r="AC186" s="89" t="s">
        <v>1032</v>
      </c>
      <c r="AD186" s="81"/>
      <c r="AE186" s="81" t="b">
        <v>0</v>
      </c>
      <c r="AF186" s="81">
        <v>0</v>
      </c>
      <c r="AG186" s="89" t="s">
        <v>1149</v>
      </c>
      <c r="AH186" s="81" t="b">
        <v>0</v>
      </c>
      <c r="AI186" s="81" t="s">
        <v>1150</v>
      </c>
      <c r="AJ186" s="81"/>
      <c r="AK186" s="89" t="s">
        <v>1149</v>
      </c>
      <c r="AL186" s="81" t="b">
        <v>0</v>
      </c>
      <c r="AM186" s="81">
        <v>0</v>
      </c>
      <c r="AN186" s="89" t="s">
        <v>1149</v>
      </c>
      <c r="AO186" s="81" t="s">
        <v>1179</v>
      </c>
      <c r="AP186" s="81" t="b">
        <v>0</v>
      </c>
      <c r="AQ186" s="89" t="s">
        <v>1032</v>
      </c>
      <c r="AR186" s="81" t="s">
        <v>325</v>
      </c>
      <c r="AS186" s="81">
        <v>0</v>
      </c>
      <c r="AT186" s="81">
        <v>0</v>
      </c>
      <c r="AU186" s="81"/>
      <c r="AV186" s="81"/>
      <c r="AW186" s="81"/>
      <c r="AX186" s="81"/>
      <c r="AY186" s="81"/>
      <c r="AZ186" s="81"/>
      <c r="BA186" s="81"/>
      <c r="BB186" s="81"/>
      <c r="BC186">
        <v>1</v>
      </c>
      <c r="BD186" s="80" t="str">
        <f>REPLACE(INDEX(GroupVertices[Group],MATCH(Edges[[#This Row],[Vertex 1]],GroupVertices[Vertex],0)),1,1,"")</f>
        <v>8</v>
      </c>
      <c r="BE186" s="80" t="str">
        <f>REPLACE(INDEX(GroupVertices[Group],MATCH(Edges[[#This Row],[Vertex 2]],GroupVertices[Vertex],0)),1,1,"")</f>
        <v>8</v>
      </c>
      <c r="BF186" s="48">
        <v>0</v>
      </c>
      <c r="BG186" s="49">
        <v>0</v>
      </c>
      <c r="BH186" s="48">
        <v>0</v>
      </c>
      <c r="BI186" s="49">
        <v>0</v>
      </c>
      <c r="BJ186" s="48">
        <v>0</v>
      </c>
      <c r="BK186" s="49">
        <v>0</v>
      </c>
      <c r="BL186" s="48">
        <v>15</v>
      </c>
      <c r="BM186" s="49">
        <v>100</v>
      </c>
      <c r="BN186" s="48">
        <v>15</v>
      </c>
    </row>
    <row r="187" spans="1:66" ht="15">
      <c r="A187" s="66" t="s">
        <v>457</v>
      </c>
      <c r="B187" s="66" t="s">
        <v>513</v>
      </c>
      <c r="C187" s="67" t="s">
        <v>3149</v>
      </c>
      <c r="D187" s="68">
        <v>4</v>
      </c>
      <c r="E187" s="69" t="s">
        <v>132</v>
      </c>
      <c r="F187" s="70">
        <v>30</v>
      </c>
      <c r="G187" s="67"/>
      <c r="H187" s="71"/>
      <c r="I187" s="72"/>
      <c r="J187" s="72"/>
      <c r="K187" s="34" t="s">
        <v>65</v>
      </c>
      <c r="L187" s="79">
        <v>187</v>
      </c>
      <c r="M187" s="79"/>
      <c r="N187" s="74"/>
      <c r="O187" s="81" t="s">
        <v>588</v>
      </c>
      <c r="P187" s="83">
        <v>44004.96065972222</v>
      </c>
      <c r="Q187" s="81" t="s">
        <v>595</v>
      </c>
      <c r="R187" s="81"/>
      <c r="S187" s="81"/>
      <c r="T187" s="81"/>
      <c r="U187" s="81"/>
      <c r="V187" s="84" t="str">
        <f>HYPERLINK("http://pbs.twimg.com/profile_images/489884735179472896/qoSnlb3r_normal.jpeg")</f>
        <v>http://pbs.twimg.com/profile_images/489884735179472896/qoSnlb3r_normal.jpeg</v>
      </c>
      <c r="W187" s="83">
        <v>44004.96065972222</v>
      </c>
      <c r="X187" s="87">
        <v>44004</v>
      </c>
      <c r="Y187" s="89" t="s">
        <v>824</v>
      </c>
      <c r="Z187" s="84" t="str">
        <f>HYPERLINK("https://twitter.com/d_jyldyz/status/1275202745830604800")</f>
        <v>https://twitter.com/d_jyldyz/status/1275202745830604800</v>
      </c>
      <c r="AA187" s="81"/>
      <c r="AB187" s="81"/>
      <c r="AC187" s="89" t="s">
        <v>1033</v>
      </c>
      <c r="AD187" s="81"/>
      <c r="AE187" s="81" t="b">
        <v>0</v>
      </c>
      <c r="AF187" s="81">
        <v>0</v>
      </c>
      <c r="AG187" s="89" t="s">
        <v>1149</v>
      </c>
      <c r="AH187" s="81" t="b">
        <v>0</v>
      </c>
      <c r="AI187" s="81" t="s">
        <v>1150</v>
      </c>
      <c r="AJ187" s="81"/>
      <c r="AK187" s="89" t="s">
        <v>1149</v>
      </c>
      <c r="AL187" s="81" t="b">
        <v>0</v>
      </c>
      <c r="AM187" s="81">
        <v>37</v>
      </c>
      <c r="AN187" s="89" t="s">
        <v>1142</v>
      </c>
      <c r="AO187" s="81" t="s">
        <v>1176</v>
      </c>
      <c r="AP187" s="81" t="b">
        <v>0</v>
      </c>
      <c r="AQ187" s="89" t="s">
        <v>1142</v>
      </c>
      <c r="AR187" s="81" t="s">
        <v>325</v>
      </c>
      <c r="AS187" s="81">
        <v>0</v>
      </c>
      <c r="AT187" s="81">
        <v>0</v>
      </c>
      <c r="AU187" s="81"/>
      <c r="AV187" s="81"/>
      <c r="AW187" s="81"/>
      <c r="AX187" s="81"/>
      <c r="AY187" s="81"/>
      <c r="AZ187" s="81"/>
      <c r="BA187" s="81"/>
      <c r="BB187" s="81"/>
      <c r="BC187">
        <v>1</v>
      </c>
      <c r="BD187" s="80" t="str">
        <f>REPLACE(INDEX(GroupVertices[Group],MATCH(Edges[[#This Row],[Vertex 1]],GroupVertices[Vertex],0)),1,1,"")</f>
        <v>2</v>
      </c>
      <c r="BE187" s="80" t="str">
        <f>REPLACE(INDEX(GroupVertices[Group],MATCH(Edges[[#This Row],[Vertex 2]],GroupVertices[Vertex],0)),1,1,"")</f>
        <v>2</v>
      </c>
      <c r="BF187" s="48"/>
      <c r="BG187" s="49"/>
      <c r="BH187" s="48"/>
      <c r="BI187" s="49"/>
      <c r="BJ187" s="48"/>
      <c r="BK187" s="49"/>
      <c r="BL187" s="48"/>
      <c r="BM187" s="49"/>
      <c r="BN187" s="48"/>
    </row>
    <row r="188" spans="1:66" ht="15">
      <c r="A188" s="66" t="s">
        <v>457</v>
      </c>
      <c r="B188" s="66" t="s">
        <v>514</v>
      </c>
      <c r="C188" s="67" t="s">
        <v>3149</v>
      </c>
      <c r="D188" s="68">
        <v>4</v>
      </c>
      <c r="E188" s="69" t="s">
        <v>132</v>
      </c>
      <c r="F188" s="70">
        <v>30</v>
      </c>
      <c r="G188" s="67"/>
      <c r="H188" s="71"/>
      <c r="I188" s="72"/>
      <c r="J188" s="72"/>
      <c r="K188" s="34" t="s">
        <v>65</v>
      </c>
      <c r="L188" s="79">
        <v>188</v>
      </c>
      <c r="M188" s="79"/>
      <c r="N188" s="74"/>
      <c r="O188" s="81" t="s">
        <v>586</v>
      </c>
      <c r="P188" s="83">
        <v>44004.96065972222</v>
      </c>
      <c r="Q188" s="81" t="s">
        <v>595</v>
      </c>
      <c r="R188" s="81"/>
      <c r="S188" s="81"/>
      <c r="T188" s="81"/>
      <c r="U188" s="81"/>
      <c r="V188" s="84" t="str">
        <f>HYPERLINK("http://pbs.twimg.com/profile_images/489884735179472896/qoSnlb3r_normal.jpeg")</f>
        <v>http://pbs.twimg.com/profile_images/489884735179472896/qoSnlb3r_normal.jpeg</v>
      </c>
      <c r="W188" s="83">
        <v>44004.96065972222</v>
      </c>
      <c r="X188" s="87">
        <v>44004</v>
      </c>
      <c r="Y188" s="89" t="s">
        <v>824</v>
      </c>
      <c r="Z188" s="84" t="str">
        <f>HYPERLINK("https://twitter.com/d_jyldyz/status/1275202745830604800")</f>
        <v>https://twitter.com/d_jyldyz/status/1275202745830604800</v>
      </c>
      <c r="AA188" s="81"/>
      <c r="AB188" s="81"/>
      <c r="AC188" s="89" t="s">
        <v>1033</v>
      </c>
      <c r="AD188" s="81"/>
      <c r="AE188" s="81" t="b">
        <v>0</v>
      </c>
      <c r="AF188" s="81">
        <v>0</v>
      </c>
      <c r="AG188" s="89" t="s">
        <v>1149</v>
      </c>
      <c r="AH188" s="81" t="b">
        <v>0</v>
      </c>
      <c r="AI188" s="81" t="s">
        <v>1150</v>
      </c>
      <c r="AJ188" s="81"/>
      <c r="AK188" s="89" t="s">
        <v>1149</v>
      </c>
      <c r="AL188" s="81" t="b">
        <v>0</v>
      </c>
      <c r="AM188" s="81">
        <v>37</v>
      </c>
      <c r="AN188" s="89" t="s">
        <v>1142</v>
      </c>
      <c r="AO188" s="81" t="s">
        <v>1176</v>
      </c>
      <c r="AP188" s="81" t="b">
        <v>0</v>
      </c>
      <c r="AQ188" s="89" t="s">
        <v>1142</v>
      </c>
      <c r="AR188" s="81" t="s">
        <v>325</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8">
        <v>3</v>
      </c>
      <c r="BG188" s="49">
        <v>7.5</v>
      </c>
      <c r="BH188" s="48">
        <v>0</v>
      </c>
      <c r="BI188" s="49">
        <v>0</v>
      </c>
      <c r="BJ188" s="48">
        <v>0</v>
      </c>
      <c r="BK188" s="49">
        <v>0</v>
      </c>
      <c r="BL188" s="48">
        <v>37</v>
      </c>
      <c r="BM188" s="49">
        <v>92.5</v>
      </c>
      <c r="BN188" s="48">
        <v>40</v>
      </c>
    </row>
    <row r="189" spans="1:66" ht="15">
      <c r="A189" s="66" t="s">
        <v>458</v>
      </c>
      <c r="B189" s="66" t="s">
        <v>458</v>
      </c>
      <c r="C189" s="67" t="s">
        <v>3149</v>
      </c>
      <c r="D189" s="68">
        <v>4</v>
      </c>
      <c r="E189" s="69" t="s">
        <v>132</v>
      </c>
      <c r="F189" s="70">
        <v>30</v>
      </c>
      <c r="G189" s="67"/>
      <c r="H189" s="71"/>
      <c r="I189" s="72"/>
      <c r="J189" s="72"/>
      <c r="K189" s="34" t="s">
        <v>65</v>
      </c>
      <c r="L189" s="79">
        <v>189</v>
      </c>
      <c r="M189" s="79"/>
      <c r="N189" s="74"/>
      <c r="O189" s="81" t="s">
        <v>325</v>
      </c>
      <c r="P189" s="83">
        <v>43994.294953703706</v>
      </c>
      <c r="Q189" s="81" t="s">
        <v>617</v>
      </c>
      <c r="R189" s="84" t="str">
        <f>HYPERLINK("https://github.com/lau-cloud/TidyTuesdaycode")</f>
        <v>https://github.com/lau-cloud/TidyTuesdaycode</v>
      </c>
      <c r="S189" s="81" t="s">
        <v>682</v>
      </c>
      <c r="T189" s="81" t="s">
        <v>715</v>
      </c>
      <c r="U189" s="84" t="str">
        <f>HYPERLINK("https://pbs.twimg.com/media/EaSyznLXsAA-WOL.jpg")</f>
        <v>https://pbs.twimg.com/media/EaSyznLXsAA-WOL.jpg</v>
      </c>
      <c r="V189" s="84" t="str">
        <f>HYPERLINK("https://pbs.twimg.com/media/EaSyznLXsAA-WOL.jpg")</f>
        <v>https://pbs.twimg.com/media/EaSyznLXsAA-WOL.jpg</v>
      </c>
      <c r="W189" s="83">
        <v>43994.294953703706</v>
      </c>
      <c r="X189" s="87">
        <v>43994</v>
      </c>
      <c r="Y189" s="89" t="s">
        <v>825</v>
      </c>
      <c r="Z189" s="84" t="str">
        <f>HYPERLINK("https://twitter.com/lauranavarrosol/status/1271337622779179009")</f>
        <v>https://twitter.com/lauranavarrosol/status/1271337622779179009</v>
      </c>
      <c r="AA189" s="81"/>
      <c r="AB189" s="81"/>
      <c r="AC189" s="89" t="s">
        <v>1034</v>
      </c>
      <c r="AD189" s="81"/>
      <c r="AE189" s="81" t="b">
        <v>0</v>
      </c>
      <c r="AF189" s="81">
        <v>16</v>
      </c>
      <c r="AG189" s="89" t="s">
        <v>1149</v>
      </c>
      <c r="AH189" s="81" t="b">
        <v>0</v>
      </c>
      <c r="AI189" s="81" t="s">
        <v>1150</v>
      </c>
      <c r="AJ189" s="81"/>
      <c r="AK189" s="89" t="s">
        <v>1149</v>
      </c>
      <c r="AL189" s="81" t="b">
        <v>0</v>
      </c>
      <c r="AM189" s="81">
        <v>5</v>
      </c>
      <c r="AN189" s="89" t="s">
        <v>1149</v>
      </c>
      <c r="AO189" s="81" t="s">
        <v>1172</v>
      </c>
      <c r="AP189" s="81" t="b">
        <v>0</v>
      </c>
      <c r="AQ189" s="89" t="s">
        <v>1034</v>
      </c>
      <c r="AR189" s="81" t="s">
        <v>586</v>
      </c>
      <c r="AS189" s="81">
        <v>0</v>
      </c>
      <c r="AT189" s="81">
        <v>0</v>
      </c>
      <c r="AU189" s="81"/>
      <c r="AV189" s="81"/>
      <c r="AW189" s="81"/>
      <c r="AX189" s="81"/>
      <c r="AY189" s="81"/>
      <c r="AZ189" s="81"/>
      <c r="BA189" s="81"/>
      <c r="BB189" s="81"/>
      <c r="BC189">
        <v>1</v>
      </c>
      <c r="BD189" s="80" t="str">
        <f>REPLACE(INDEX(GroupVertices[Group],MATCH(Edges[[#This Row],[Vertex 1]],GroupVertices[Vertex],0)),1,1,"")</f>
        <v>19</v>
      </c>
      <c r="BE189" s="80" t="str">
        <f>REPLACE(INDEX(GroupVertices[Group],MATCH(Edges[[#This Row],[Vertex 2]],GroupVertices[Vertex],0)),1,1,"")</f>
        <v>19</v>
      </c>
      <c r="BF189" s="48">
        <v>1</v>
      </c>
      <c r="BG189" s="49">
        <v>4.3478260869565215</v>
      </c>
      <c r="BH189" s="48">
        <v>0</v>
      </c>
      <c r="BI189" s="49">
        <v>0</v>
      </c>
      <c r="BJ189" s="48">
        <v>0</v>
      </c>
      <c r="BK189" s="49">
        <v>0</v>
      </c>
      <c r="BL189" s="48">
        <v>22</v>
      </c>
      <c r="BM189" s="49">
        <v>95.65217391304348</v>
      </c>
      <c r="BN189" s="48">
        <v>23</v>
      </c>
    </row>
    <row r="190" spans="1:66" ht="15">
      <c r="A190" s="66" t="s">
        <v>459</v>
      </c>
      <c r="B190" s="66" t="s">
        <v>458</v>
      </c>
      <c r="C190" s="67" t="s">
        <v>3149</v>
      </c>
      <c r="D190" s="68">
        <v>4</v>
      </c>
      <c r="E190" s="69" t="s">
        <v>132</v>
      </c>
      <c r="F190" s="70">
        <v>30</v>
      </c>
      <c r="G190" s="67"/>
      <c r="H190" s="71"/>
      <c r="I190" s="72"/>
      <c r="J190" s="72"/>
      <c r="K190" s="34" t="s">
        <v>65</v>
      </c>
      <c r="L190" s="79">
        <v>190</v>
      </c>
      <c r="M190" s="79"/>
      <c r="N190" s="74"/>
      <c r="O190" s="81" t="s">
        <v>586</v>
      </c>
      <c r="P190" s="83">
        <v>44004.96927083333</v>
      </c>
      <c r="Q190" s="81" t="s">
        <v>617</v>
      </c>
      <c r="R190" s="81"/>
      <c r="S190" s="81"/>
      <c r="T190" s="81" t="s">
        <v>716</v>
      </c>
      <c r="U190" s="81"/>
      <c r="V190" s="84" t="str">
        <f>HYPERLINK("http://pbs.twimg.com/profile_images/820901715163680768/FxQ1vsaZ_normal.jpg")</f>
        <v>http://pbs.twimg.com/profile_images/820901715163680768/FxQ1vsaZ_normal.jpg</v>
      </c>
      <c r="W190" s="83">
        <v>44004.96927083333</v>
      </c>
      <c r="X190" s="87">
        <v>44004</v>
      </c>
      <c r="Y190" s="89" t="s">
        <v>826</v>
      </c>
      <c r="Z190" s="84" t="str">
        <f>HYPERLINK("https://twitter.com/adircinho/status/1275205867311415297")</f>
        <v>https://twitter.com/adircinho/status/1275205867311415297</v>
      </c>
      <c r="AA190" s="81"/>
      <c r="AB190" s="81"/>
      <c r="AC190" s="89" t="s">
        <v>1035</v>
      </c>
      <c r="AD190" s="81"/>
      <c r="AE190" s="81" t="b">
        <v>0</v>
      </c>
      <c r="AF190" s="81">
        <v>0</v>
      </c>
      <c r="AG190" s="89" t="s">
        <v>1149</v>
      </c>
      <c r="AH190" s="81" t="b">
        <v>0</v>
      </c>
      <c r="AI190" s="81" t="s">
        <v>1150</v>
      </c>
      <c r="AJ190" s="81"/>
      <c r="AK190" s="89" t="s">
        <v>1149</v>
      </c>
      <c r="AL190" s="81" t="b">
        <v>0</v>
      </c>
      <c r="AM190" s="81">
        <v>5</v>
      </c>
      <c r="AN190" s="89" t="s">
        <v>1034</v>
      </c>
      <c r="AO190" s="81" t="s">
        <v>1172</v>
      </c>
      <c r="AP190" s="81" t="b">
        <v>0</v>
      </c>
      <c r="AQ190" s="89" t="s">
        <v>1034</v>
      </c>
      <c r="AR190" s="81" t="s">
        <v>325</v>
      </c>
      <c r="AS190" s="81">
        <v>0</v>
      </c>
      <c r="AT190" s="81">
        <v>0</v>
      </c>
      <c r="AU190" s="81"/>
      <c r="AV190" s="81"/>
      <c r="AW190" s="81"/>
      <c r="AX190" s="81"/>
      <c r="AY190" s="81"/>
      <c r="AZ190" s="81"/>
      <c r="BA190" s="81"/>
      <c r="BB190" s="81"/>
      <c r="BC190">
        <v>1</v>
      </c>
      <c r="BD190" s="80" t="str">
        <f>REPLACE(INDEX(GroupVertices[Group],MATCH(Edges[[#This Row],[Vertex 1]],GroupVertices[Vertex],0)),1,1,"")</f>
        <v>19</v>
      </c>
      <c r="BE190" s="80" t="str">
        <f>REPLACE(INDEX(GroupVertices[Group],MATCH(Edges[[#This Row],[Vertex 2]],GroupVertices[Vertex],0)),1,1,"")</f>
        <v>19</v>
      </c>
      <c r="BF190" s="48">
        <v>1</v>
      </c>
      <c r="BG190" s="49">
        <v>4.3478260869565215</v>
      </c>
      <c r="BH190" s="48">
        <v>0</v>
      </c>
      <c r="BI190" s="49">
        <v>0</v>
      </c>
      <c r="BJ190" s="48">
        <v>0</v>
      </c>
      <c r="BK190" s="49">
        <v>0</v>
      </c>
      <c r="BL190" s="48">
        <v>22</v>
      </c>
      <c r="BM190" s="49">
        <v>95.65217391304348</v>
      </c>
      <c r="BN190" s="48">
        <v>23</v>
      </c>
    </row>
    <row r="191" spans="1:66" ht="15">
      <c r="A191" s="66" t="s">
        <v>460</v>
      </c>
      <c r="B191" s="66" t="s">
        <v>513</v>
      </c>
      <c r="C191" s="67" t="s">
        <v>3149</v>
      </c>
      <c r="D191" s="68">
        <v>4</v>
      </c>
      <c r="E191" s="69" t="s">
        <v>132</v>
      </c>
      <c r="F191" s="70">
        <v>30</v>
      </c>
      <c r="G191" s="67"/>
      <c r="H191" s="71"/>
      <c r="I191" s="72"/>
      <c r="J191" s="72"/>
      <c r="K191" s="34" t="s">
        <v>65</v>
      </c>
      <c r="L191" s="79">
        <v>191</v>
      </c>
      <c r="M191" s="79"/>
      <c r="N191" s="74"/>
      <c r="O191" s="81" t="s">
        <v>588</v>
      </c>
      <c r="P191" s="83">
        <v>44004.990636574075</v>
      </c>
      <c r="Q191" s="81" t="s">
        <v>595</v>
      </c>
      <c r="R191" s="81"/>
      <c r="S191" s="81"/>
      <c r="T191" s="81"/>
      <c r="U191" s="81"/>
      <c r="V191" s="84" t="str">
        <f>HYPERLINK("http://pbs.twimg.com/profile_images/1176652939718533120/bbRNW-Yv_normal.jpg")</f>
        <v>http://pbs.twimg.com/profile_images/1176652939718533120/bbRNW-Yv_normal.jpg</v>
      </c>
      <c r="W191" s="83">
        <v>44004.990636574075</v>
      </c>
      <c r="X191" s="87">
        <v>44004</v>
      </c>
      <c r="Y191" s="89" t="s">
        <v>827</v>
      </c>
      <c r="Z191" s="84" t="str">
        <f>HYPERLINK("https://twitter.com/aprilarchivist/status/1275213609883389953")</f>
        <v>https://twitter.com/aprilarchivist/status/1275213609883389953</v>
      </c>
      <c r="AA191" s="81"/>
      <c r="AB191" s="81"/>
      <c r="AC191" s="89" t="s">
        <v>1036</v>
      </c>
      <c r="AD191" s="81"/>
      <c r="AE191" s="81" t="b">
        <v>0</v>
      </c>
      <c r="AF191" s="81">
        <v>0</v>
      </c>
      <c r="AG191" s="89" t="s">
        <v>1149</v>
      </c>
      <c r="AH191" s="81" t="b">
        <v>0</v>
      </c>
      <c r="AI191" s="81" t="s">
        <v>1150</v>
      </c>
      <c r="AJ191" s="81"/>
      <c r="AK191" s="89" t="s">
        <v>1149</v>
      </c>
      <c r="AL191" s="81" t="b">
        <v>0</v>
      </c>
      <c r="AM191" s="81">
        <v>37</v>
      </c>
      <c r="AN191" s="89" t="s">
        <v>1142</v>
      </c>
      <c r="AO191" s="81" t="s">
        <v>1172</v>
      </c>
      <c r="AP191" s="81" t="b">
        <v>0</v>
      </c>
      <c r="AQ191" s="89" t="s">
        <v>1142</v>
      </c>
      <c r="AR191" s="81" t="s">
        <v>325</v>
      </c>
      <c r="AS191" s="81">
        <v>0</v>
      </c>
      <c r="AT191" s="81">
        <v>0</v>
      </c>
      <c r="AU191" s="81"/>
      <c r="AV191" s="81"/>
      <c r="AW191" s="81"/>
      <c r="AX191" s="81"/>
      <c r="AY191" s="81"/>
      <c r="AZ191" s="81"/>
      <c r="BA191" s="81"/>
      <c r="BB191" s="81"/>
      <c r="BC191">
        <v>1</v>
      </c>
      <c r="BD191" s="80" t="str">
        <f>REPLACE(INDEX(GroupVertices[Group],MATCH(Edges[[#This Row],[Vertex 1]],GroupVertices[Vertex],0)),1,1,"")</f>
        <v>2</v>
      </c>
      <c r="BE191" s="80" t="str">
        <f>REPLACE(INDEX(GroupVertices[Group],MATCH(Edges[[#This Row],[Vertex 2]],GroupVertices[Vertex],0)),1,1,"")</f>
        <v>2</v>
      </c>
      <c r="BF191" s="48"/>
      <c r="BG191" s="49"/>
      <c r="BH191" s="48"/>
      <c r="BI191" s="49"/>
      <c r="BJ191" s="48"/>
      <c r="BK191" s="49"/>
      <c r="BL191" s="48"/>
      <c r="BM191" s="49"/>
      <c r="BN191" s="48"/>
    </row>
    <row r="192" spans="1:66" ht="15">
      <c r="A192" s="66" t="s">
        <v>460</v>
      </c>
      <c r="B192" s="66" t="s">
        <v>514</v>
      </c>
      <c r="C192" s="67" t="s">
        <v>3149</v>
      </c>
      <c r="D192" s="68">
        <v>4</v>
      </c>
      <c r="E192" s="69" t="s">
        <v>132</v>
      </c>
      <c r="F192" s="70">
        <v>30</v>
      </c>
      <c r="G192" s="67"/>
      <c r="H192" s="71"/>
      <c r="I192" s="72"/>
      <c r="J192" s="72"/>
      <c r="K192" s="34" t="s">
        <v>65</v>
      </c>
      <c r="L192" s="79">
        <v>192</v>
      </c>
      <c r="M192" s="79"/>
      <c r="N192" s="74"/>
      <c r="O192" s="81" t="s">
        <v>586</v>
      </c>
      <c r="P192" s="83">
        <v>44004.990636574075</v>
      </c>
      <c r="Q192" s="81" t="s">
        <v>595</v>
      </c>
      <c r="R192" s="81"/>
      <c r="S192" s="81"/>
      <c r="T192" s="81"/>
      <c r="U192" s="81"/>
      <c r="V192" s="84" t="str">
        <f>HYPERLINK("http://pbs.twimg.com/profile_images/1176652939718533120/bbRNW-Yv_normal.jpg")</f>
        <v>http://pbs.twimg.com/profile_images/1176652939718533120/bbRNW-Yv_normal.jpg</v>
      </c>
      <c r="W192" s="83">
        <v>44004.990636574075</v>
      </c>
      <c r="X192" s="87">
        <v>44004</v>
      </c>
      <c r="Y192" s="89" t="s">
        <v>827</v>
      </c>
      <c r="Z192" s="84" t="str">
        <f>HYPERLINK("https://twitter.com/aprilarchivist/status/1275213609883389953")</f>
        <v>https://twitter.com/aprilarchivist/status/1275213609883389953</v>
      </c>
      <c r="AA192" s="81"/>
      <c r="AB192" s="81"/>
      <c r="AC192" s="89" t="s">
        <v>1036</v>
      </c>
      <c r="AD192" s="81"/>
      <c r="AE192" s="81" t="b">
        <v>0</v>
      </c>
      <c r="AF192" s="81">
        <v>0</v>
      </c>
      <c r="AG192" s="89" t="s">
        <v>1149</v>
      </c>
      <c r="AH192" s="81" t="b">
        <v>0</v>
      </c>
      <c r="AI192" s="81" t="s">
        <v>1150</v>
      </c>
      <c r="AJ192" s="81"/>
      <c r="AK192" s="89" t="s">
        <v>1149</v>
      </c>
      <c r="AL192" s="81" t="b">
        <v>0</v>
      </c>
      <c r="AM192" s="81">
        <v>37</v>
      </c>
      <c r="AN192" s="89" t="s">
        <v>1142</v>
      </c>
      <c r="AO192" s="81" t="s">
        <v>1172</v>
      </c>
      <c r="AP192" s="81" t="b">
        <v>0</v>
      </c>
      <c r="AQ192" s="89" t="s">
        <v>1142</v>
      </c>
      <c r="AR192" s="81" t="s">
        <v>325</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8">
        <v>3</v>
      </c>
      <c r="BG192" s="49">
        <v>7.5</v>
      </c>
      <c r="BH192" s="48">
        <v>0</v>
      </c>
      <c r="BI192" s="49">
        <v>0</v>
      </c>
      <c r="BJ192" s="48">
        <v>0</v>
      </c>
      <c r="BK192" s="49">
        <v>0</v>
      </c>
      <c r="BL192" s="48">
        <v>37</v>
      </c>
      <c r="BM192" s="49">
        <v>92.5</v>
      </c>
      <c r="BN192" s="48">
        <v>40</v>
      </c>
    </row>
    <row r="193" spans="1:66" ht="15">
      <c r="A193" s="66" t="s">
        <v>461</v>
      </c>
      <c r="B193" s="66" t="s">
        <v>513</v>
      </c>
      <c r="C193" s="67" t="s">
        <v>3149</v>
      </c>
      <c r="D193" s="68">
        <v>4</v>
      </c>
      <c r="E193" s="69" t="s">
        <v>132</v>
      </c>
      <c r="F193" s="70">
        <v>30</v>
      </c>
      <c r="G193" s="67"/>
      <c r="H193" s="71"/>
      <c r="I193" s="72"/>
      <c r="J193" s="72"/>
      <c r="K193" s="34" t="s">
        <v>65</v>
      </c>
      <c r="L193" s="79">
        <v>193</v>
      </c>
      <c r="M193" s="79"/>
      <c r="N193" s="74"/>
      <c r="O193" s="81" t="s">
        <v>588</v>
      </c>
      <c r="P193" s="83">
        <v>44005.009884259256</v>
      </c>
      <c r="Q193" s="81" t="s">
        <v>595</v>
      </c>
      <c r="R193" s="81"/>
      <c r="S193" s="81"/>
      <c r="T193" s="81"/>
      <c r="U193" s="81"/>
      <c r="V193" s="84" t="str">
        <f>HYPERLINK("http://pbs.twimg.com/profile_images/1226458980370833410/ayk1WDlp_normal.jpg")</f>
        <v>http://pbs.twimg.com/profile_images/1226458980370833410/ayk1WDlp_normal.jpg</v>
      </c>
      <c r="W193" s="83">
        <v>44005.009884259256</v>
      </c>
      <c r="X193" s="87">
        <v>44005</v>
      </c>
      <c r="Y193" s="89" t="s">
        <v>828</v>
      </c>
      <c r="Z193" s="84" t="str">
        <f>HYPERLINK("https://twitter.com/timgollins/status/1275220585002524676")</f>
        <v>https://twitter.com/timgollins/status/1275220585002524676</v>
      </c>
      <c r="AA193" s="81"/>
      <c r="AB193" s="81"/>
      <c r="AC193" s="89" t="s">
        <v>1037</v>
      </c>
      <c r="AD193" s="81"/>
      <c r="AE193" s="81" t="b">
        <v>0</v>
      </c>
      <c r="AF193" s="81">
        <v>0</v>
      </c>
      <c r="AG193" s="89" t="s">
        <v>1149</v>
      </c>
      <c r="AH193" s="81" t="b">
        <v>0</v>
      </c>
      <c r="AI193" s="81" t="s">
        <v>1150</v>
      </c>
      <c r="AJ193" s="81"/>
      <c r="AK193" s="89" t="s">
        <v>1149</v>
      </c>
      <c r="AL193" s="81" t="b">
        <v>0</v>
      </c>
      <c r="AM193" s="81">
        <v>37</v>
      </c>
      <c r="AN193" s="89" t="s">
        <v>1142</v>
      </c>
      <c r="AO193" s="81" t="s">
        <v>1175</v>
      </c>
      <c r="AP193" s="81" t="b">
        <v>0</v>
      </c>
      <c r="AQ193" s="89" t="s">
        <v>1142</v>
      </c>
      <c r="AR193" s="81" t="s">
        <v>325</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2</v>
      </c>
      <c r="BF193" s="48"/>
      <c r="BG193" s="49"/>
      <c r="BH193" s="48"/>
      <c r="BI193" s="49"/>
      <c r="BJ193" s="48"/>
      <c r="BK193" s="49"/>
      <c r="BL193" s="48"/>
      <c r="BM193" s="49"/>
      <c r="BN193" s="48"/>
    </row>
    <row r="194" spans="1:66" ht="15">
      <c r="A194" s="66" t="s">
        <v>461</v>
      </c>
      <c r="B194" s="66" t="s">
        <v>514</v>
      </c>
      <c r="C194" s="67" t="s">
        <v>3149</v>
      </c>
      <c r="D194" s="68">
        <v>4</v>
      </c>
      <c r="E194" s="69" t="s">
        <v>132</v>
      </c>
      <c r="F194" s="70">
        <v>30</v>
      </c>
      <c r="G194" s="67"/>
      <c r="H194" s="71"/>
      <c r="I194" s="72"/>
      <c r="J194" s="72"/>
      <c r="K194" s="34" t="s">
        <v>65</v>
      </c>
      <c r="L194" s="79">
        <v>194</v>
      </c>
      <c r="M194" s="79"/>
      <c r="N194" s="74"/>
      <c r="O194" s="81" t="s">
        <v>586</v>
      </c>
      <c r="P194" s="83">
        <v>44005.009884259256</v>
      </c>
      <c r="Q194" s="81" t="s">
        <v>595</v>
      </c>
      <c r="R194" s="81"/>
      <c r="S194" s="81"/>
      <c r="T194" s="81"/>
      <c r="U194" s="81"/>
      <c r="V194" s="84" t="str">
        <f>HYPERLINK("http://pbs.twimg.com/profile_images/1226458980370833410/ayk1WDlp_normal.jpg")</f>
        <v>http://pbs.twimg.com/profile_images/1226458980370833410/ayk1WDlp_normal.jpg</v>
      </c>
      <c r="W194" s="83">
        <v>44005.009884259256</v>
      </c>
      <c r="X194" s="87">
        <v>44005</v>
      </c>
      <c r="Y194" s="89" t="s">
        <v>828</v>
      </c>
      <c r="Z194" s="84" t="str">
        <f>HYPERLINK("https://twitter.com/timgollins/status/1275220585002524676")</f>
        <v>https://twitter.com/timgollins/status/1275220585002524676</v>
      </c>
      <c r="AA194" s="81"/>
      <c r="AB194" s="81"/>
      <c r="AC194" s="89" t="s">
        <v>1037</v>
      </c>
      <c r="AD194" s="81"/>
      <c r="AE194" s="81" t="b">
        <v>0</v>
      </c>
      <c r="AF194" s="81">
        <v>0</v>
      </c>
      <c r="AG194" s="89" t="s">
        <v>1149</v>
      </c>
      <c r="AH194" s="81" t="b">
        <v>0</v>
      </c>
      <c r="AI194" s="81" t="s">
        <v>1150</v>
      </c>
      <c r="AJ194" s="81"/>
      <c r="AK194" s="89" t="s">
        <v>1149</v>
      </c>
      <c r="AL194" s="81" t="b">
        <v>0</v>
      </c>
      <c r="AM194" s="81">
        <v>37</v>
      </c>
      <c r="AN194" s="89" t="s">
        <v>1142</v>
      </c>
      <c r="AO194" s="81" t="s">
        <v>1175</v>
      </c>
      <c r="AP194" s="81" t="b">
        <v>0</v>
      </c>
      <c r="AQ194" s="89" t="s">
        <v>1142</v>
      </c>
      <c r="AR194" s="81" t="s">
        <v>325</v>
      </c>
      <c r="AS194" s="81">
        <v>0</v>
      </c>
      <c r="AT194" s="81">
        <v>0</v>
      </c>
      <c r="AU194" s="81"/>
      <c r="AV194" s="81"/>
      <c r="AW194" s="81"/>
      <c r="AX194" s="81"/>
      <c r="AY194" s="81"/>
      <c r="AZ194" s="81"/>
      <c r="BA194" s="81"/>
      <c r="BB194" s="81"/>
      <c r="BC194">
        <v>1</v>
      </c>
      <c r="BD194" s="80" t="str">
        <f>REPLACE(INDEX(GroupVertices[Group],MATCH(Edges[[#This Row],[Vertex 1]],GroupVertices[Vertex],0)),1,1,"")</f>
        <v>2</v>
      </c>
      <c r="BE194" s="80" t="str">
        <f>REPLACE(INDEX(GroupVertices[Group],MATCH(Edges[[#This Row],[Vertex 2]],GroupVertices[Vertex],0)),1,1,"")</f>
        <v>2</v>
      </c>
      <c r="BF194" s="48">
        <v>3</v>
      </c>
      <c r="BG194" s="49">
        <v>7.5</v>
      </c>
      <c r="BH194" s="48">
        <v>0</v>
      </c>
      <c r="BI194" s="49">
        <v>0</v>
      </c>
      <c r="BJ194" s="48">
        <v>0</v>
      </c>
      <c r="BK194" s="49">
        <v>0</v>
      </c>
      <c r="BL194" s="48">
        <v>37</v>
      </c>
      <c r="BM194" s="49">
        <v>92.5</v>
      </c>
      <c r="BN194" s="48">
        <v>40</v>
      </c>
    </row>
    <row r="195" spans="1:66" ht="15">
      <c r="A195" s="66" t="s">
        <v>462</v>
      </c>
      <c r="B195" s="66" t="s">
        <v>526</v>
      </c>
      <c r="C195" s="67" t="s">
        <v>3149</v>
      </c>
      <c r="D195" s="68">
        <v>4</v>
      </c>
      <c r="E195" s="69" t="s">
        <v>132</v>
      </c>
      <c r="F195" s="70">
        <v>30</v>
      </c>
      <c r="G195" s="67"/>
      <c r="H195" s="71"/>
      <c r="I195" s="72"/>
      <c r="J195" s="72"/>
      <c r="K195" s="34" t="s">
        <v>65</v>
      </c>
      <c r="L195" s="79">
        <v>195</v>
      </c>
      <c r="M195" s="79"/>
      <c r="N195" s="74"/>
      <c r="O195" s="81" t="s">
        <v>587</v>
      </c>
      <c r="P195" s="83">
        <v>44005.03530092593</v>
      </c>
      <c r="Q195" s="81" t="s">
        <v>618</v>
      </c>
      <c r="R195" s="84" t="str">
        <f>HYPERLINK("https://interactive.aljazeera.com/aje/2020/saving-the-nile/index.html")</f>
        <v>https://interactive.aljazeera.com/aje/2020/saving-the-nile/index.html</v>
      </c>
      <c r="S195" s="81" t="s">
        <v>678</v>
      </c>
      <c r="T195" s="81" t="s">
        <v>703</v>
      </c>
      <c r="U195" s="81"/>
      <c r="V195" s="84" t="str">
        <f>HYPERLINK("http://pbs.twimg.com/profile_images/463705400756285440/xN6bn9Fv_normal.png")</f>
        <v>http://pbs.twimg.com/profile_images/463705400756285440/xN6bn9Fv_normal.png</v>
      </c>
      <c r="W195" s="83">
        <v>44005.03530092593</v>
      </c>
      <c r="X195" s="87">
        <v>44005</v>
      </c>
      <c r="Y195" s="89" t="s">
        <v>829</v>
      </c>
      <c r="Z195" s="84" t="str">
        <f>HYPERLINK("https://twitter.com/dtiiqii/status/1275229794146410496")</f>
        <v>https://twitter.com/dtiiqii/status/1275229794146410496</v>
      </c>
      <c r="AA195" s="81"/>
      <c r="AB195" s="81"/>
      <c r="AC195" s="89" t="s">
        <v>1038</v>
      </c>
      <c r="AD195" s="81"/>
      <c r="AE195" s="81" t="b">
        <v>0</v>
      </c>
      <c r="AF195" s="81">
        <v>0</v>
      </c>
      <c r="AG195" s="89" t="s">
        <v>1149</v>
      </c>
      <c r="AH195" s="81" t="b">
        <v>0</v>
      </c>
      <c r="AI195" s="81" t="s">
        <v>1150</v>
      </c>
      <c r="AJ195" s="81"/>
      <c r="AK195" s="89" t="s">
        <v>1149</v>
      </c>
      <c r="AL195" s="81" t="b">
        <v>0</v>
      </c>
      <c r="AM195" s="81">
        <v>0</v>
      </c>
      <c r="AN195" s="89" t="s">
        <v>1149</v>
      </c>
      <c r="AO195" s="81" t="s">
        <v>1172</v>
      </c>
      <c r="AP195" s="81" t="b">
        <v>0</v>
      </c>
      <c r="AQ195" s="89" t="s">
        <v>1038</v>
      </c>
      <c r="AR195" s="81" t="s">
        <v>325</v>
      </c>
      <c r="AS195" s="81">
        <v>0</v>
      </c>
      <c r="AT195" s="81">
        <v>0</v>
      </c>
      <c r="AU195" s="81"/>
      <c r="AV195" s="81"/>
      <c r="AW195" s="81"/>
      <c r="AX195" s="81"/>
      <c r="AY195" s="81"/>
      <c r="AZ195" s="81"/>
      <c r="BA195" s="81"/>
      <c r="BB195" s="81"/>
      <c r="BC195">
        <v>1</v>
      </c>
      <c r="BD195" s="80" t="str">
        <f>REPLACE(INDEX(GroupVertices[Group],MATCH(Edges[[#This Row],[Vertex 1]],GroupVertices[Vertex],0)),1,1,"")</f>
        <v>3</v>
      </c>
      <c r="BE195" s="80" t="str">
        <f>REPLACE(INDEX(GroupVertices[Group],MATCH(Edges[[#This Row],[Vertex 2]],GroupVertices[Vertex],0)),1,1,"")</f>
        <v>3</v>
      </c>
      <c r="BF195" s="48"/>
      <c r="BG195" s="49"/>
      <c r="BH195" s="48"/>
      <c r="BI195" s="49"/>
      <c r="BJ195" s="48"/>
      <c r="BK195" s="49"/>
      <c r="BL195" s="48"/>
      <c r="BM195" s="49"/>
      <c r="BN195" s="48"/>
    </row>
    <row r="196" spans="1:66" ht="15">
      <c r="A196" s="66" t="s">
        <v>462</v>
      </c>
      <c r="B196" s="66" t="s">
        <v>527</v>
      </c>
      <c r="C196" s="67" t="s">
        <v>3149</v>
      </c>
      <c r="D196" s="68">
        <v>4</v>
      </c>
      <c r="E196" s="69" t="s">
        <v>132</v>
      </c>
      <c r="F196" s="70">
        <v>30</v>
      </c>
      <c r="G196" s="67"/>
      <c r="H196" s="71"/>
      <c r="I196" s="72"/>
      <c r="J196" s="72"/>
      <c r="K196" s="34" t="s">
        <v>65</v>
      </c>
      <c r="L196" s="79">
        <v>196</v>
      </c>
      <c r="M196" s="79"/>
      <c r="N196" s="74"/>
      <c r="O196" s="81" t="s">
        <v>587</v>
      </c>
      <c r="P196" s="83">
        <v>44005.03530092593</v>
      </c>
      <c r="Q196" s="81" t="s">
        <v>618</v>
      </c>
      <c r="R196" s="84" t="str">
        <f>HYPERLINK("https://interactive.aljazeera.com/aje/2020/saving-the-nile/index.html")</f>
        <v>https://interactive.aljazeera.com/aje/2020/saving-the-nile/index.html</v>
      </c>
      <c r="S196" s="81" t="s">
        <v>678</v>
      </c>
      <c r="T196" s="81" t="s">
        <v>703</v>
      </c>
      <c r="U196" s="81"/>
      <c r="V196" s="84" t="str">
        <f>HYPERLINK("http://pbs.twimg.com/profile_images/463705400756285440/xN6bn9Fv_normal.png")</f>
        <v>http://pbs.twimg.com/profile_images/463705400756285440/xN6bn9Fv_normal.png</v>
      </c>
      <c r="W196" s="83">
        <v>44005.03530092593</v>
      </c>
      <c r="X196" s="87">
        <v>44005</v>
      </c>
      <c r="Y196" s="89" t="s">
        <v>829</v>
      </c>
      <c r="Z196" s="84" t="str">
        <f>HYPERLINK("https://twitter.com/dtiiqii/status/1275229794146410496")</f>
        <v>https://twitter.com/dtiiqii/status/1275229794146410496</v>
      </c>
      <c r="AA196" s="81"/>
      <c r="AB196" s="81"/>
      <c r="AC196" s="89" t="s">
        <v>1038</v>
      </c>
      <c r="AD196" s="81"/>
      <c r="AE196" s="81" t="b">
        <v>0</v>
      </c>
      <c r="AF196" s="81">
        <v>0</v>
      </c>
      <c r="AG196" s="89" t="s">
        <v>1149</v>
      </c>
      <c r="AH196" s="81" t="b">
        <v>0</v>
      </c>
      <c r="AI196" s="81" t="s">
        <v>1150</v>
      </c>
      <c r="AJ196" s="81"/>
      <c r="AK196" s="89" t="s">
        <v>1149</v>
      </c>
      <c r="AL196" s="81" t="b">
        <v>0</v>
      </c>
      <c r="AM196" s="81">
        <v>0</v>
      </c>
      <c r="AN196" s="89" t="s">
        <v>1149</v>
      </c>
      <c r="AO196" s="81" t="s">
        <v>1172</v>
      </c>
      <c r="AP196" s="81" t="b">
        <v>0</v>
      </c>
      <c r="AQ196" s="89" t="s">
        <v>1038</v>
      </c>
      <c r="AR196" s="81" t="s">
        <v>325</v>
      </c>
      <c r="AS196" s="81">
        <v>0</v>
      </c>
      <c r="AT196" s="81">
        <v>0</v>
      </c>
      <c r="AU196" s="81"/>
      <c r="AV196" s="81"/>
      <c r="AW196" s="81"/>
      <c r="AX196" s="81"/>
      <c r="AY196" s="81"/>
      <c r="AZ196" s="81"/>
      <c r="BA196" s="81"/>
      <c r="BB196" s="81"/>
      <c r="BC196">
        <v>1</v>
      </c>
      <c r="BD196" s="80" t="str">
        <f>REPLACE(INDEX(GroupVertices[Group],MATCH(Edges[[#This Row],[Vertex 1]],GroupVertices[Vertex],0)),1,1,"")</f>
        <v>3</v>
      </c>
      <c r="BE196" s="80" t="str">
        <f>REPLACE(INDEX(GroupVertices[Group],MATCH(Edges[[#This Row],[Vertex 2]],GroupVertices[Vertex],0)),1,1,"")</f>
        <v>3</v>
      </c>
      <c r="BF196" s="48">
        <v>1</v>
      </c>
      <c r="BG196" s="49">
        <v>5.2631578947368425</v>
      </c>
      <c r="BH196" s="48">
        <v>0</v>
      </c>
      <c r="BI196" s="49">
        <v>0</v>
      </c>
      <c r="BJ196" s="48">
        <v>0</v>
      </c>
      <c r="BK196" s="49">
        <v>0</v>
      </c>
      <c r="BL196" s="48">
        <v>18</v>
      </c>
      <c r="BM196" s="49">
        <v>94.73684210526316</v>
      </c>
      <c r="BN196" s="48">
        <v>19</v>
      </c>
    </row>
    <row r="197" spans="1:66" ht="15">
      <c r="A197" s="66" t="s">
        <v>463</v>
      </c>
      <c r="B197" s="66" t="s">
        <v>534</v>
      </c>
      <c r="C197" s="67" t="s">
        <v>3149</v>
      </c>
      <c r="D197" s="68">
        <v>4</v>
      </c>
      <c r="E197" s="69" t="s">
        <v>132</v>
      </c>
      <c r="F197" s="70">
        <v>30</v>
      </c>
      <c r="G197" s="67"/>
      <c r="H197" s="71"/>
      <c r="I197" s="72"/>
      <c r="J197" s="72"/>
      <c r="K197" s="34" t="s">
        <v>65</v>
      </c>
      <c r="L197" s="79">
        <v>197</v>
      </c>
      <c r="M197" s="79"/>
      <c r="N197" s="74"/>
      <c r="O197" s="81" t="s">
        <v>588</v>
      </c>
      <c r="P197" s="83">
        <v>44005.04344907407</v>
      </c>
      <c r="Q197" s="81" t="s">
        <v>611</v>
      </c>
      <c r="R197" s="81"/>
      <c r="S197" s="81"/>
      <c r="T197" s="81" t="s">
        <v>711</v>
      </c>
      <c r="U197" s="81"/>
      <c r="V197" s="84" t="str">
        <f>HYPERLINK("http://pbs.twimg.com/profile_images/1242441234385231873/GLkHNr-B_normal.jpg")</f>
        <v>http://pbs.twimg.com/profile_images/1242441234385231873/GLkHNr-B_normal.jpg</v>
      </c>
      <c r="W197" s="83">
        <v>44005.04344907407</v>
      </c>
      <c r="X197" s="87">
        <v>44005</v>
      </c>
      <c r="Y197" s="89" t="s">
        <v>830</v>
      </c>
      <c r="Z197" s="84" t="str">
        <f>HYPERLINK("https://twitter.com/ashiquebiniqbal/status/1275232749385707520")</f>
        <v>https://twitter.com/ashiquebiniqbal/status/1275232749385707520</v>
      </c>
      <c r="AA197" s="81"/>
      <c r="AB197" s="81"/>
      <c r="AC197" s="89" t="s">
        <v>1039</v>
      </c>
      <c r="AD197" s="81"/>
      <c r="AE197" s="81" t="b">
        <v>0</v>
      </c>
      <c r="AF197" s="81">
        <v>0</v>
      </c>
      <c r="AG197" s="89" t="s">
        <v>1149</v>
      </c>
      <c r="AH197" s="81" t="b">
        <v>0</v>
      </c>
      <c r="AI197" s="81" t="s">
        <v>1150</v>
      </c>
      <c r="AJ197" s="81"/>
      <c r="AK197" s="89" t="s">
        <v>1149</v>
      </c>
      <c r="AL197" s="81" t="b">
        <v>0</v>
      </c>
      <c r="AM197" s="81">
        <v>23</v>
      </c>
      <c r="AN197" s="89" t="s">
        <v>1139</v>
      </c>
      <c r="AO197" s="81" t="s">
        <v>1172</v>
      </c>
      <c r="AP197" s="81" t="b">
        <v>0</v>
      </c>
      <c r="AQ197" s="89" t="s">
        <v>1139</v>
      </c>
      <c r="AR197" s="81" t="s">
        <v>325</v>
      </c>
      <c r="AS197" s="81">
        <v>0</v>
      </c>
      <c r="AT197" s="81">
        <v>0</v>
      </c>
      <c r="AU197" s="81"/>
      <c r="AV197" s="81"/>
      <c r="AW197" s="81"/>
      <c r="AX197" s="81"/>
      <c r="AY197" s="81"/>
      <c r="AZ197" s="81"/>
      <c r="BA197" s="81"/>
      <c r="BB197" s="81"/>
      <c r="BC197">
        <v>1</v>
      </c>
      <c r="BD197" s="80" t="str">
        <f>REPLACE(INDEX(GroupVertices[Group],MATCH(Edges[[#This Row],[Vertex 1]],GroupVertices[Vertex],0)),1,1,"")</f>
        <v>4</v>
      </c>
      <c r="BE197" s="80" t="str">
        <f>REPLACE(INDEX(GroupVertices[Group],MATCH(Edges[[#This Row],[Vertex 2]],GroupVertices[Vertex],0)),1,1,"")</f>
        <v>4</v>
      </c>
      <c r="BF197" s="48"/>
      <c r="BG197" s="49"/>
      <c r="BH197" s="48"/>
      <c r="BI197" s="49"/>
      <c r="BJ197" s="48"/>
      <c r="BK197" s="49"/>
      <c r="BL197" s="48"/>
      <c r="BM197" s="49"/>
      <c r="BN197" s="48"/>
    </row>
    <row r="198" spans="1:66" ht="15">
      <c r="A198" s="66" t="s">
        <v>463</v>
      </c>
      <c r="B198" s="66" t="s">
        <v>511</v>
      </c>
      <c r="C198" s="67" t="s">
        <v>3149</v>
      </c>
      <c r="D198" s="68">
        <v>4</v>
      </c>
      <c r="E198" s="69" t="s">
        <v>132</v>
      </c>
      <c r="F198" s="70">
        <v>30</v>
      </c>
      <c r="G198" s="67"/>
      <c r="H198" s="71"/>
      <c r="I198" s="72"/>
      <c r="J198" s="72"/>
      <c r="K198" s="34" t="s">
        <v>65</v>
      </c>
      <c r="L198" s="79">
        <v>198</v>
      </c>
      <c r="M198" s="79"/>
      <c r="N198" s="74"/>
      <c r="O198" s="81" t="s">
        <v>586</v>
      </c>
      <c r="P198" s="83">
        <v>44005.04344907407</v>
      </c>
      <c r="Q198" s="81" t="s">
        <v>611</v>
      </c>
      <c r="R198" s="81"/>
      <c r="S198" s="81"/>
      <c r="T198" s="81" t="s">
        <v>711</v>
      </c>
      <c r="U198" s="81"/>
      <c r="V198" s="84" t="str">
        <f>HYPERLINK("http://pbs.twimg.com/profile_images/1242441234385231873/GLkHNr-B_normal.jpg")</f>
        <v>http://pbs.twimg.com/profile_images/1242441234385231873/GLkHNr-B_normal.jpg</v>
      </c>
      <c r="W198" s="83">
        <v>44005.04344907407</v>
      </c>
      <c r="X198" s="87">
        <v>44005</v>
      </c>
      <c r="Y198" s="89" t="s">
        <v>830</v>
      </c>
      <c r="Z198" s="84" t="str">
        <f>HYPERLINK("https://twitter.com/ashiquebiniqbal/status/1275232749385707520")</f>
        <v>https://twitter.com/ashiquebiniqbal/status/1275232749385707520</v>
      </c>
      <c r="AA198" s="81"/>
      <c r="AB198" s="81"/>
      <c r="AC198" s="89" t="s">
        <v>1039</v>
      </c>
      <c r="AD198" s="81"/>
      <c r="AE198" s="81" t="b">
        <v>0</v>
      </c>
      <c r="AF198" s="81">
        <v>0</v>
      </c>
      <c r="AG198" s="89" t="s">
        <v>1149</v>
      </c>
      <c r="AH198" s="81" t="b">
        <v>0</v>
      </c>
      <c r="AI198" s="81" t="s">
        <v>1150</v>
      </c>
      <c r="AJ198" s="81"/>
      <c r="AK198" s="89" t="s">
        <v>1149</v>
      </c>
      <c r="AL198" s="81" t="b">
        <v>0</v>
      </c>
      <c r="AM198" s="81">
        <v>23</v>
      </c>
      <c r="AN198" s="89" t="s">
        <v>1139</v>
      </c>
      <c r="AO198" s="81" t="s">
        <v>1172</v>
      </c>
      <c r="AP198" s="81" t="b">
        <v>0</v>
      </c>
      <c r="AQ198" s="89" t="s">
        <v>1139</v>
      </c>
      <c r="AR198" s="81" t="s">
        <v>325</v>
      </c>
      <c r="AS198" s="81">
        <v>0</v>
      </c>
      <c r="AT198" s="81">
        <v>0</v>
      </c>
      <c r="AU198" s="81"/>
      <c r="AV198" s="81"/>
      <c r="AW198" s="81"/>
      <c r="AX198" s="81"/>
      <c r="AY198" s="81"/>
      <c r="AZ198" s="81"/>
      <c r="BA198" s="81"/>
      <c r="BB198" s="81"/>
      <c r="BC198">
        <v>1</v>
      </c>
      <c r="BD198" s="80" t="str">
        <f>REPLACE(INDEX(GroupVertices[Group],MATCH(Edges[[#This Row],[Vertex 1]],GroupVertices[Vertex],0)),1,1,"")</f>
        <v>4</v>
      </c>
      <c r="BE198" s="80" t="str">
        <f>REPLACE(INDEX(GroupVertices[Group],MATCH(Edges[[#This Row],[Vertex 2]],GroupVertices[Vertex],0)),1,1,"")</f>
        <v>4</v>
      </c>
      <c r="BF198" s="48">
        <v>1</v>
      </c>
      <c r="BG198" s="49">
        <v>3.125</v>
      </c>
      <c r="BH198" s="48">
        <v>1</v>
      </c>
      <c r="BI198" s="49">
        <v>3.125</v>
      </c>
      <c r="BJ198" s="48">
        <v>0</v>
      </c>
      <c r="BK198" s="49">
        <v>0</v>
      </c>
      <c r="BL198" s="48">
        <v>30</v>
      </c>
      <c r="BM198" s="49">
        <v>93.75</v>
      </c>
      <c r="BN198" s="48">
        <v>32</v>
      </c>
    </row>
    <row r="199" spans="1:66" ht="15">
      <c r="A199" s="66" t="s">
        <v>464</v>
      </c>
      <c r="B199" s="66" t="s">
        <v>534</v>
      </c>
      <c r="C199" s="67" t="s">
        <v>3149</v>
      </c>
      <c r="D199" s="68">
        <v>4</v>
      </c>
      <c r="E199" s="69" t="s">
        <v>132</v>
      </c>
      <c r="F199" s="70">
        <v>30</v>
      </c>
      <c r="G199" s="67"/>
      <c r="H199" s="71"/>
      <c r="I199" s="72"/>
      <c r="J199" s="72"/>
      <c r="K199" s="34" t="s">
        <v>65</v>
      </c>
      <c r="L199" s="79">
        <v>199</v>
      </c>
      <c r="M199" s="79"/>
      <c r="N199" s="74"/>
      <c r="O199" s="81" t="s">
        <v>588</v>
      </c>
      <c r="P199" s="83">
        <v>44005.04555555555</v>
      </c>
      <c r="Q199" s="81" t="s">
        <v>611</v>
      </c>
      <c r="R199" s="81"/>
      <c r="S199" s="81"/>
      <c r="T199" s="81" t="s">
        <v>711</v>
      </c>
      <c r="U199" s="81"/>
      <c r="V199" s="84" t="str">
        <f>HYPERLINK("http://pbs.twimg.com/profile_images/1171559246456135680/S2sSzsQl_normal.jpg")</f>
        <v>http://pbs.twimg.com/profile_images/1171559246456135680/S2sSzsQl_normal.jpg</v>
      </c>
      <c r="W199" s="83">
        <v>44005.04555555555</v>
      </c>
      <c r="X199" s="87">
        <v>44005</v>
      </c>
      <c r="Y199" s="89" t="s">
        <v>831</v>
      </c>
      <c r="Z199" s="84" t="str">
        <f>HYPERLINK("https://twitter.com/ellenychang/status/1275233509913878528")</f>
        <v>https://twitter.com/ellenychang/status/1275233509913878528</v>
      </c>
      <c r="AA199" s="81"/>
      <c r="AB199" s="81"/>
      <c r="AC199" s="89" t="s">
        <v>1040</v>
      </c>
      <c r="AD199" s="81"/>
      <c r="AE199" s="81" t="b">
        <v>0</v>
      </c>
      <c r="AF199" s="81">
        <v>0</v>
      </c>
      <c r="AG199" s="89" t="s">
        <v>1149</v>
      </c>
      <c r="AH199" s="81" t="b">
        <v>0</v>
      </c>
      <c r="AI199" s="81" t="s">
        <v>1150</v>
      </c>
      <c r="AJ199" s="81"/>
      <c r="AK199" s="89" t="s">
        <v>1149</v>
      </c>
      <c r="AL199" s="81" t="b">
        <v>0</v>
      </c>
      <c r="AM199" s="81">
        <v>23</v>
      </c>
      <c r="AN199" s="89" t="s">
        <v>1139</v>
      </c>
      <c r="AO199" s="81" t="s">
        <v>1172</v>
      </c>
      <c r="AP199" s="81" t="b">
        <v>0</v>
      </c>
      <c r="AQ199" s="89" t="s">
        <v>1139</v>
      </c>
      <c r="AR199" s="81" t="s">
        <v>325</v>
      </c>
      <c r="AS199" s="81">
        <v>0</v>
      </c>
      <c r="AT199" s="81">
        <v>0</v>
      </c>
      <c r="AU199" s="81"/>
      <c r="AV199" s="81"/>
      <c r="AW199" s="81"/>
      <c r="AX199" s="81"/>
      <c r="AY199" s="81"/>
      <c r="AZ199" s="81"/>
      <c r="BA199" s="81"/>
      <c r="BB199" s="81"/>
      <c r="BC199">
        <v>1</v>
      </c>
      <c r="BD199" s="80" t="str">
        <f>REPLACE(INDEX(GroupVertices[Group],MATCH(Edges[[#This Row],[Vertex 1]],GroupVertices[Vertex],0)),1,1,"")</f>
        <v>4</v>
      </c>
      <c r="BE199" s="80" t="str">
        <f>REPLACE(INDEX(GroupVertices[Group],MATCH(Edges[[#This Row],[Vertex 2]],GroupVertices[Vertex],0)),1,1,"")</f>
        <v>4</v>
      </c>
      <c r="BF199" s="48"/>
      <c r="BG199" s="49"/>
      <c r="BH199" s="48"/>
      <c r="BI199" s="49"/>
      <c r="BJ199" s="48"/>
      <c r="BK199" s="49"/>
      <c r="BL199" s="48"/>
      <c r="BM199" s="49"/>
      <c r="BN199" s="48"/>
    </row>
    <row r="200" spans="1:66" ht="15">
      <c r="A200" s="66" t="s">
        <v>464</v>
      </c>
      <c r="B200" s="66" t="s">
        <v>511</v>
      </c>
      <c r="C200" s="67" t="s">
        <v>3149</v>
      </c>
      <c r="D200" s="68">
        <v>4</v>
      </c>
      <c r="E200" s="69" t="s">
        <v>132</v>
      </c>
      <c r="F200" s="70">
        <v>30</v>
      </c>
      <c r="G200" s="67"/>
      <c r="H200" s="71"/>
      <c r="I200" s="72"/>
      <c r="J200" s="72"/>
      <c r="K200" s="34" t="s">
        <v>65</v>
      </c>
      <c r="L200" s="79">
        <v>200</v>
      </c>
      <c r="M200" s="79"/>
      <c r="N200" s="74"/>
      <c r="O200" s="81" t="s">
        <v>586</v>
      </c>
      <c r="P200" s="83">
        <v>44005.04555555555</v>
      </c>
      <c r="Q200" s="81" t="s">
        <v>611</v>
      </c>
      <c r="R200" s="81"/>
      <c r="S200" s="81"/>
      <c r="T200" s="81" t="s">
        <v>711</v>
      </c>
      <c r="U200" s="81"/>
      <c r="V200" s="84" t="str">
        <f>HYPERLINK("http://pbs.twimg.com/profile_images/1171559246456135680/S2sSzsQl_normal.jpg")</f>
        <v>http://pbs.twimg.com/profile_images/1171559246456135680/S2sSzsQl_normal.jpg</v>
      </c>
      <c r="W200" s="83">
        <v>44005.04555555555</v>
      </c>
      <c r="X200" s="87">
        <v>44005</v>
      </c>
      <c r="Y200" s="89" t="s">
        <v>831</v>
      </c>
      <c r="Z200" s="84" t="str">
        <f>HYPERLINK("https://twitter.com/ellenychang/status/1275233509913878528")</f>
        <v>https://twitter.com/ellenychang/status/1275233509913878528</v>
      </c>
      <c r="AA200" s="81"/>
      <c r="AB200" s="81"/>
      <c r="AC200" s="89" t="s">
        <v>1040</v>
      </c>
      <c r="AD200" s="81"/>
      <c r="AE200" s="81" t="b">
        <v>0</v>
      </c>
      <c r="AF200" s="81">
        <v>0</v>
      </c>
      <c r="AG200" s="89" t="s">
        <v>1149</v>
      </c>
      <c r="AH200" s="81" t="b">
        <v>0</v>
      </c>
      <c r="AI200" s="81" t="s">
        <v>1150</v>
      </c>
      <c r="AJ200" s="81"/>
      <c r="AK200" s="89" t="s">
        <v>1149</v>
      </c>
      <c r="AL200" s="81" t="b">
        <v>0</v>
      </c>
      <c r="AM200" s="81">
        <v>23</v>
      </c>
      <c r="AN200" s="89" t="s">
        <v>1139</v>
      </c>
      <c r="AO200" s="81" t="s">
        <v>1172</v>
      </c>
      <c r="AP200" s="81" t="b">
        <v>0</v>
      </c>
      <c r="AQ200" s="89" t="s">
        <v>1139</v>
      </c>
      <c r="AR200" s="81" t="s">
        <v>325</v>
      </c>
      <c r="AS200" s="81">
        <v>0</v>
      </c>
      <c r="AT200" s="81">
        <v>0</v>
      </c>
      <c r="AU200" s="81"/>
      <c r="AV200" s="81"/>
      <c r="AW200" s="81"/>
      <c r="AX200" s="81"/>
      <c r="AY200" s="81"/>
      <c r="AZ200" s="81"/>
      <c r="BA200" s="81"/>
      <c r="BB200" s="81"/>
      <c r="BC200">
        <v>1</v>
      </c>
      <c r="BD200" s="80" t="str">
        <f>REPLACE(INDEX(GroupVertices[Group],MATCH(Edges[[#This Row],[Vertex 1]],GroupVertices[Vertex],0)),1,1,"")</f>
        <v>4</v>
      </c>
      <c r="BE200" s="80" t="str">
        <f>REPLACE(INDEX(GroupVertices[Group],MATCH(Edges[[#This Row],[Vertex 2]],GroupVertices[Vertex],0)),1,1,"")</f>
        <v>4</v>
      </c>
      <c r="BF200" s="48">
        <v>1</v>
      </c>
      <c r="BG200" s="49">
        <v>3.125</v>
      </c>
      <c r="BH200" s="48">
        <v>1</v>
      </c>
      <c r="BI200" s="49">
        <v>3.125</v>
      </c>
      <c r="BJ200" s="48">
        <v>0</v>
      </c>
      <c r="BK200" s="49">
        <v>0</v>
      </c>
      <c r="BL200" s="48">
        <v>30</v>
      </c>
      <c r="BM200" s="49">
        <v>93.75</v>
      </c>
      <c r="BN200" s="48">
        <v>32</v>
      </c>
    </row>
    <row r="201" spans="1:66" ht="15">
      <c r="A201" s="66" t="s">
        <v>465</v>
      </c>
      <c r="B201" s="66" t="s">
        <v>534</v>
      </c>
      <c r="C201" s="67" t="s">
        <v>3149</v>
      </c>
      <c r="D201" s="68">
        <v>4</v>
      </c>
      <c r="E201" s="69" t="s">
        <v>132</v>
      </c>
      <c r="F201" s="70">
        <v>30</v>
      </c>
      <c r="G201" s="67"/>
      <c r="H201" s="71"/>
      <c r="I201" s="72"/>
      <c r="J201" s="72"/>
      <c r="K201" s="34" t="s">
        <v>65</v>
      </c>
      <c r="L201" s="79">
        <v>201</v>
      </c>
      <c r="M201" s="79"/>
      <c r="N201" s="74"/>
      <c r="O201" s="81" t="s">
        <v>588</v>
      </c>
      <c r="P201" s="83">
        <v>44005.050625</v>
      </c>
      <c r="Q201" s="81" t="s">
        <v>611</v>
      </c>
      <c r="R201" s="81"/>
      <c r="S201" s="81"/>
      <c r="T201" s="81" t="s">
        <v>711</v>
      </c>
      <c r="U201" s="81"/>
      <c r="V201" s="84" t="str">
        <f>HYPERLINK("http://pbs.twimg.com/profile_images/944139796628344832/Kky-ZV3__normal.jpg")</f>
        <v>http://pbs.twimg.com/profile_images/944139796628344832/Kky-ZV3__normal.jpg</v>
      </c>
      <c r="W201" s="83">
        <v>44005.050625</v>
      </c>
      <c r="X201" s="87">
        <v>44005</v>
      </c>
      <c r="Y201" s="89" t="s">
        <v>832</v>
      </c>
      <c r="Z201" s="84" t="str">
        <f>HYPERLINK("https://twitter.com/daudpasaney/status/1275235346956115969")</f>
        <v>https://twitter.com/daudpasaney/status/1275235346956115969</v>
      </c>
      <c r="AA201" s="81"/>
      <c r="AB201" s="81"/>
      <c r="AC201" s="89" t="s">
        <v>1041</v>
      </c>
      <c r="AD201" s="81"/>
      <c r="AE201" s="81" t="b">
        <v>0</v>
      </c>
      <c r="AF201" s="81">
        <v>0</v>
      </c>
      <c r="AG201" s="89" t="s">
        <v>1149</v>
      </c>
      <c r="AH201" s="81" t="b">
        <v>0</v>
      </c>
      <c r="AI201" s="81" t="s">
        <v>1150</v>
      </c>
      <c r="AJ201" s="81"/>
      <c r="AK201" s="89" t="s">
        <v>1149</v>
      </c>
      <c r="AL201" s="81" t="b">
        <v>0</v>
      </c>
      <c r="AM201" s="81">
        <v>23</v>
      </c>
      <c r="AN201" s="89" t="s">
        <v>1139</v>
      </c>
      <c r="AO201" s="81" t="s">
        <v>1176</v>
      </c>
      <c r="AP201" s="81" t="b">
        <v>0</v>
      </c>
      <c r="AQ201" s="89" t="s">
        <v>1139</v>
      </c>
      <c r="AR201" s="81" t="s">
        <v>325</v>
      </c>
      <c r="AS201" s="81">
        <v>0</v>
      </c>
      <c r="AT201" s="81">
        <v>0</v>
      </c>
      <c r="AU201" s="81"/>
      <c r="AV201" s="81"/>
      <c r="AW201" s="81"/>
      <c r="AX201" s="81"/>
      <c r="AY201" s="81"/>
      <c r="AZ201" s="81"/>
      <c r="BA201" s="81"/>
      <c r="BB201" s="81"/>
      <c r="BC201">
        <v>1</v>
      </c>
      <c r="BD201" s="80" t="str">
        <f>REPLACE(INDEX(GroupVertices[Group],MATCH(Edges[[#This Row],[Vertex 1]],GroupVertices[Vertex],0)),1,1,"")</f>
        <v>4</v>
      </c>
      <c r="BE201" s="80" t="str">
        <f>REPLACE(INDEX(GroupVertices[Group],MATCH(Edges[[#This Row],[Vertex 2]],GroupVertices[Vertex],0)),1,1,"")</f>
        <v>4</v>
      </c>
      <c r="BF201" s="48"/>
      <c r="BG201" s="49"/>
      <c r="BH201" s="48"/>
      <c r="BI201" s="49"/>
      <c r="BJ201" s="48"/>
      <c r="BK201" s="49"/>
      <c r="BL201" s="48"/>
      <c r="BM201" s="49"/>
      <c r="BN201" s="48"/>
    </row>
    <row r="202" spans="1:66" ht="15">
      <c r="A202" s="66" t="s">
        <v>465</v>
      </c>
      <c r="B202" s="66" t="s">
        <v>511</v>
      </c>
      <c r="C202" s="67" t="s">
        <v>3149</v>
      </c>
      <c r="D202" s="68">
        <v>4</v>
      </c>
      <c r="E202" s="69" t="s">
        <v>132</v>
      </c>
      <c r="F202" s="70">
        <v>30</v>
      </c>
      <c r="G202" s="67"/>
      <c r="H202" s="71"/>
      <c r="I202" s="72"/>
      <c r="J202" s="72"/>
      <c r="K202" s="34" t="s">
        <v>65</v>
      </c>
      <c r="L202" s="79">
        <v>202</v>
      </c>
      <c r="M202" s="79"/>
      <c r="N202" s="74"/>
      <c r="O202" s="81" t="s">
        <v>586</v>
      </c>
      <c r="P202" s="83">
        <v>44005.050625</v>
      </c>
      <c r="Q202" s="81" t="s">
        <v>611</v>
      </c>
      <c r="R202" s="81"/>
      <c r="S202" s="81"/>
      <c r="T202" s="81" t="s">
        <v>711</v>
      </c>
      <c r="U202" s="81"/>
      <c r="V202" s="84" t="str">
        <f>HYPERLINK("http://pbs.twimg.com/profile_images/944139796628344832/Kky-ZV3__normal.jpg")</f>
        <v>http://pbs.twimg.com/profile_images/944139796628344832/Kky-ZV3__normal.jpg</v>
      </c>
      <c r="W202" s="83">
        <v>44005.050625</v>
      </c>
      <c r="X202" s="87">
        <v>44005</v>
      </c>
      <c r="Y202" s="89" t="s">
        <v>832</v>
      </c>
      <c r="Z202" s="84" t="str">
        <f>HYPERLINK("https://twitter.com/daudpasaney/status/1275235346956115969")</f>
        <v>https://twitter.com/daudpasaney/status/1275235346956115969</v>
      </c>
      <c r="AA202" s="81"/>
      <c r="AB202" s="81"/>
      <c r="AC202" s="89" t="s">
        <v>1041</v>
      </c>
      <c r="AD202" s="81"/>
      <c r="AE202" s="81" t="b">
        <v>0</v>
      </c>
      <c r="AF202" s="81">
        <v>0</v>
      </c>
      <c r="AG202" s="89" t="s">
        <v>1149</v>
      </c>
      <c r="AH202" s="81" t="b">
        <v>0</v>
      </c>
      <c r="AI202" s="81" t="s">
        <v>1150</v>
      </c>
      <c r="AJ202" s="81"/>
      <c r="AK202" s="89" t="s">
        <v>1149</v>
      </c>
      <c r="AL202" s="81" t="b">
        <v>0</v>
      </c>
      <c r="AM202" s="81">
        <v>23</v>
      </c>
      <c r="AN202" s="89" t="s">
        <v>1139</v>
      </c>
      <c r="AO202" s="81" t="s">
        <v>1176</v>
      </c>
      <c r="AP202" s="81" t="b">
        <v>0</v>
      </c>
      <c r="AQ202" s="89" t="s">
        <v>1139</v>
      </c>
      <c r="AR202" s="81" t="s">
        <v>325</v>
      </c>
      <c r="AS202" s="81">
        <v>0</v>
      </c>
      <c r="AT202" s="81">
        <v>0</v>
      </c>
      <c r="AU202" s="81"/>
      <c r="AV202" s="81"/>
      <c r="AW202" s="81"/>
      <c r="AX202" s="81"/>
      <c r="AY202" s="81"/>
      <c r="AZ202" s="81"/>
      <c r="BA202" s="81"/>
      <c r="BB202" s="81"/>
      <c r="BC202">
        <v>1</v>
      </c>
      <c r="BD202" s="80" t="str">
        <f>REPLACE(INDEX(GroupVertices[Group],MATCH(Edges[[#This Row],[Vertex 1]],GroupVertices[Vertex],0)),1,1,"")</f>
        <v>4</v>
      </c>
      <c r="BE202" s="80" t="str">
        <f>REPLACE(INDEX(GroupVertices[Group],MATCH(Edges[[#This Row],[Vertex 2]],GroupVertices[Vertex],0)),1,1,"")</f>
        <v>4</v>
      </c>
      <c r="BF202" s="48">
        <v>1</v>
      </c>
      <c r="BG202" s="49">
        <v>3.125</v>
      </c>
      <c r="BH202" s="48">
        <v>1</v>
      </c>
      <c r="BI202" s="49">
        <v>3.125</v>
      </c>
      <c r="BJ202" s="48">
        <v>0</v>
      </c>
      <c r="BK202" s="49">
        <v>0</v>
      </c>
      <c r="BL202" s="48">
        <v>30</v>
      </c>
      <c r="BM202" s="49">
        <v>93.75</v>
      </c>
      <c r="BN202" s="48">
        <v>32</v>
      </c>
    </row>
    <row r="203" spans="1:66" ht="15">
      <c r="A203" s="66" t="s">
        <v>466</v>
      </c>
      <c r="B203" s="66" t="s">
        <v>534</v>
      </c>
      <c r="C203" s="67" t="s">
        <v>3149</v>
      </c>
      <c r="D203" s="68">
        <v>4</v>
      </c>
      <c r="E203" s="69" t="s">
        <v>132</v>
      </c>
      <c r="F203" s="70">
        <v>30</v>
      </c>
      <c r="G203" s="67"/>
      <c r="H203" s="71"/>
      <c r="I203" s="72"/>
      <c r="J203" s="72"/>
      <c r="K203" s="34" t="s">
        <v>65</v>
      </c>
      <c r="L203" s="79">
        <v>203</v>
      </c>
      <c r="M203" s="79"/>
      <c r="N203" s="74"/>
      <c r="O203" s="81" t="s">
        <v>588</v>
      </c>
      <c r="P203" s="83">
        <v>44005.059849537036</v>
      </c>
      <c r="Q203" s="81" t="s">
        <v>611</v>
      </c>
      <c r="R203" s="81"/>
      <c r="S203" s="81"/>
      <c r="T203" s="81" t="s">
        <v>711</v>
      </c>
      <c r="U203" s="81"/>
      <c r="V203" s="84" t="str">
        <f>HYPERLINK("http://pbs.twimg.com/profile_images/1274357533273026562/EXMxtsu0_normal.jpg")</f>
        <v>http://pbs.twimg.com/profile_images/1274357533273026562/EXMxtsu0_normal.jpg</v>
      </c>
      <c r="W203" s="83">
        <v>44005.059849537036</v>
      </c>
      <c r="X203" s="87">
        <v>44005</v>
      </c>
      <c r="Y203" s="89" t="s">
        <v>833</v>
      </c>
      <c r="Z203" s="84" t="str">
        <f>HYPERLINK("https://twitter.com/juanainesjjj/status/1275238693029113856")</f>
        <v>https://twitter.com/juanainesjjj/status/1275238693029113856</v>
      </c>
      <c r="AA203" s="81"/>
      <c r="AB203" s="81"/>
      <c r="AC203" s="89" t="s">
        <v>1042</v>
      </c>
      <c r="AD203" s="81"/>
      <c r="AE203" s="81" t="b">
        <v>0</v>
      </c>
      <c r="AF203" s="81">
        <v>0</v>
      </c>
      <c r="AG203" s="89" t="s">
        <v>1149</v>
      </c>
      <c r="AH203" s="81" t="b">
        <v>0</v>
      </c>
      <c r="AI203" s="81" t="s">
        <v>1150</v>
      </c>
      <c r="AJ203" s="81"/>
      <c r="AK203" s="89" t="s">
        <v>1149</v>
      </c>
      <c r="AL203" s="81" t="b">
        <v>0</v>
      </c>
      <c r="AM203" s="81">
        <v>23</v>
      </c>
      <c r="AN203" s="89" t="s">
        <v>1139</v>
      </c>
      <c r="AO203" s="81" t="s">
        <v>1172</v>
      </c>
      <c r="AP203" s="81" t="b">
        <v>0</v>
      </c>
      <c r="AQ203" s="89" t="s">
        <v>1139</v>
      </c>
      <c r="AR203" s="81" t="s">
        <v>325</v>
      </c>
      <c r="AS203" s="81">
        <v>0</v>
      </c>
      <c r="AT203" s="81">
        <v>0</v>
      </c>
      <c r="AU203" s="81"/>
      <c r="AV203" s="81"/>
      <c r="AW203" s="81"/>
      <c r="AX203" s="81"/>
      <c r="AY203" s="81"/>
      <c r="AZ203" s="81"/>
      <c r="BA203" s="81"/>
      <c r="BB203" s="81"/>
      <c r="BC203">
        <v>1</v>
      </c>
      <c r="BD203" s="80" t="str">
        <f>REPLACE(INDEX(GroupVertices[Group],MATCH(Edges[[#This Row],[Vertex 1]],GroupVertices[Vertex],0)),1,1,"")</f>
        <v>4</v>
      </c>
      <c r="BE203" s="80" t="str">
        <f>REPLACE(INDEX(GroupVertices[Group],MATCH(Edges[[#This Row],[Vertex 2]],GroupVertices[Vertex],0)),1,1,"")</f>
        <v>4</v>
      </c>
      <c r="BF203" s="48"/>
      <c r="BG203" s="49"/>
      <c r="BH203" s="48"/>
      <c r="BI203" s="49"/>
      <c r="BJ203" s="48"/>
      <c r="BK203" s="49"/>
      <c r="BL203" s="48"/>
      <c r="BM203" s="49"/>
      <c r="BN203" s="48"/>
    </row>
    <row r="204" spans="1:66" ht="15">
      <c r="A204" s="66" t="s">
        <v>466</v>
      </c>
      <c r="B204" s="66" t="s">
        <v>511</v>
      </c>
      <c r="C204" s="67" t="s">
        <v>3149</v>
      </c>
      <c r="D204" s="68">
        <v>4</v>
      </c>
      <c r="E204" s="69" t="s">
        <v>132</v>
      </c>
      <c r="F204" s="70">
        <v>30</v>
      </c>
      <c r="G204" s="67"/>
      <c r="H204" s="71"/>
      <c r="I204" s="72"/>
      <c r="J204" s="72"/>
      <c r="K204" s="34" t="s">
        <v>65</v>
      </c>
      <c r="L204" s="79">
        <v>204</v>
      </c>
      <c r="M204" s="79"/>
      <c r="N204" s="74"/>
      <c r="O204" s="81" t="s">
        <v>586</v>
      </c>
      <c r="P204" s="83">
        <v>44005.059849537036</v>
      </c>
      <c r="Q204" s="81" t="s">
        <v>611</v>
      </c>
      <c r="R204" s="81"/>
      <c r="S204" s="81"/>
      <c r="T204" s="81" t="s">
        <v>711</v>
      </c>
      <c r="U204" s="81"/>
      <c r="V204" s="84" t="str">
        <f>HYPERLINK("http://pbs.twimg.com/profile_images/1274357533273026562/EXMxtsu0_normal.jpg")</f>
        <v>http://pbs.twimg.com/profile_images/1274357533273026562/EXMxtsu0_normal.jpg</v>
      </c>
      <c r="W204" s="83">
        <v>44005.059849537036</v>
      </c>
      <c r="X204" s="87">
        <v>44005</v>
      </c>
      <c r="Y204" s="89" t="s">
        <v>833</v>
      </c>
      <c r="Z204" s="84" t="str">
        <f>HYPERLINK("https://twitter.com/juanainesjjj/status/1275238693029113856")</f>
        <v>https://twitter.com/juanainesjjj/status/1275238693029113856</v>
      </c>
      <c r="AA204" s="81"/>
      <c r="AB204" s="81"/>
      <c r="AC204" s="89" t="s">
        <v>1042</v>
      </c>
      <c r="AD204" s="81"/>
      <c r="AE204" s="81" t="b">
        <v>0</v>
      </c>
      <c r="AF204" s="81">
        <v>0</v>
      </c>
      <c r="AG204" s="89" t="s">
        <v>1149</v>
      </c>
      <c r="AH204" s="81" t="b">
        <v>0</v>
      </c>
      <c r="AI204" s="81" t="s">
        <v>1150</v>
      </c>
      <c r="AJ204" s="81"/>
      <c r="AK204" s="89" t="s">
        <v>1149</v>
      </c>
      <c r="AL204" s="81" t="b">
        <v>0</v>
      </c>
      <c r="AM204" s="81">
        <v>23</v>
      </c>
      <c r="AN204" s="89" t="s">
        <v>1139</v>
      </c>
      <c r="AO204" s="81" t="s">
        <v>1172</v>
      </c>
      <c r="AP204" s="81" t="b">
        <v>0</v>
      </c>
      <c r="AQ204" s="89" t="s">
        <v>1139</v>
      </c>
      <c r="AR204" s="81" t="s">
        <v>325</v>
      </c>
      <c r="AS204" s="81">
        <v>0</v>
      </c>
      <c r="AT204" s="81">
        <v>0</v>
      </c>
      <c r="AU204" s="81"/>
      <c r="AV204" s="81"/>
      <c r="AW204" s="81"/>
      <c r="AX204" s="81"/>
      <c r="AY204" s="81"/>
      <c r="AZ204" s="81"/>
      <c r="BA204" s="81"/>
      <c r="BB204" s="81"/>
      <c r="BC204">
        <v>1</v>
      </c>
      <c r="BD204" s="80" t="str">
        <f>REPLACE(INDEX(GroupVertices[Group],MATCH(Edges[[#This Row],[Vertex 1]],GroupVertices[Vertex],0)),1,1,"")</f>
        <v>4</v>
      </c>
      <c r="BE204" s="80" t="str">
        <f>REPLACE(INDEX(GroupVertices[Group],MATCH(Edges[[#This Row],[Vertex 2]],GroupVertices[Vertex],0)),1,1,"")</f>
        <v>4</v>
      </c>
      <c r="BF204" s="48">
        <v>1</v>
      </c>
      <c r="BG204" s="49">
        <v>3.125</v>
      </c>
      <c r="BH204" s="48">
        <v>1</v>
      </c>
      <c r="BI204" s="49">
        <v>3.125</v>
      </c>
      <c r="BJ204" s="48">
        <v>0</v>
      </c>
      <c r="BK204" s="49">
        <v>0</v>
      </c>
      <c r="BL204" s="48">
        <v>30</v>
      </c>
      <c r="BM204" s="49">
        <v>93.75</v>
      </c>
      <c r="BN204" s="48">
        <v>32</v>
      </c>
    </row>
    <row r="205" spans="1:66" ht="15">
      <c r="A205" s="66" t="s">
        <v>467</v>
      </c>
      <c r="B205" s="66" t="s">
        <v>534</v>
      </c>
      <c r="C205" s="67" t="s">
        <v>3149</v>
      </c>
      <c r="D205" s="68">
        <v>4</v>
      </c>
      <c r="E205" s="69" t="s">
        <v>132</v>
      </c>
      <c r="F205" s="70">
        <v>30</v>
      </c>
      <c r="G205" s="67"/>
      <c r="H205" s="71"/>
      <c r="I205" s="72"/>
      <c r="J205" s="72"/>
      <c r="K205" s="34" t="s">
        <v>65</v>
      </c>
      <c r="L205" s="79">
        <v>205</v>
      </c>
      <c r="M205" s="79"/>
      <c r="N205" s="74"/>
      <c r="O205" s="81" t="s">
        <v>588</v>
      </c>
      <c r="P205" s="83">
        <v>44005.076006944444</v>
      </c>
      <c r="Q205" s="81" t="s">
        <v>611</v>
      </c>
      <c r="R205" s="81"/>
      <c r="S205" s="81"/>
      <c r="T205" s="81" t="s">
        <v>711</v>
      </c>
      <c r="U205" s="81"/>
      <c r="V205" s="84" t="str">
        <f>HYPERLINK("http://pbs.twimg.com/profile_images/717636173364076544/bWAXypCk_normal.jpg")</f>
        <v>http://pbs.twimg.com/profile_images/717636173364076544/bWAXypCk_normal.jpg</v>
      </c>
      <c r="W205" s="83">
        <v>44005.076006944444</v>
      </c>
      <c r="X205" s="87">
        <v>44005</v>
      </c>
      <c r="Y205" s="89" t="s">
        <v>834</v>
      </c>
      <c r="Z205" s="84" t="str">
        <f>HYPERLINK("https://twitter.com/nellylaoni/status/1275244544867667969")</f>
        <v>https://twitter.com/nellylaoni/status/1275244544867667969</v>
      </c>
      <c r="AA205" s="81"/>
      <c r="AB205" s="81"/>
      <c r="AC205" s="89" t="s">
        <v>1043</v>
      </c>
      <c r="AD205" s="81"/>
      <c r="AE205" s="81" t="b">
        <v>0</v>
      </c>
      <c r="AF205" s="81">
        <v>0</v>
      </c>
      <c r="AG205" s="89" t="s">
        <v>1149</v>
      </c>
      <c r="AH205" s="81" t="b">
        <v>0</v>
      </c>
      <c r="AI205" s="81" t="s">
        <v>1150</v>
      </c>
      <c r="AJ205" s="81"/>
      <c r="AK205" s="89" t="s">
        <v>1149</v>
      </c>
      <c r="AL205" s="81" t="b">
        <v>0</v>
      </c>
      <c r="AM205" s="81">
        <v>23</v>
      </c>
      <c r="AN205" s="89" t="s">
        <v>1139</v>
      </c>
      <c r="AO205" s="81" t="s">
        <v>1176</v>
      </c>
      <c r="AP205" s="81" t="b">
        <v>0</v>
      </c>
      <c r="AQ205" s="89" t="s">
        <v>1139</v>
      </c>
      <c r="AR205" s="81" t="s">
        <v>325</v>
      </c>
      <c r="AS205" s="81">
        <v>0</v>
      </c>
      <c r="AT205" s="81">
        <v>0</v>
      </c>
      <c r="AU205" s="81"/>
      <c r="AV205" s="81"/>
      <c r="AW205" s="81"/>
      <c r="AX205" s="81"/>
      <c r="AY205" s="81"/>
      <c r="AZ205" s="81"/>
      <c r="BA205" s="81"/>
      <c r="BB205" s="81"/>
      <c r="BC205">
        <v>1</v>
      </c>
      <c r="BD205" s="80" t="str">
        <f>REPLACE(INDEX(GroupVertices[Group],MATCH(Edges[[#This Row],[Vertex 1]],GroupVertices[Vertex],0)),1,1,"")</f>
        <v>4</v>
      </c>
      <c r="BE205" s="80" t="str">
        <f>REPLACE(INDEX(GroupVertices[Group],MATCH(Edges[[#This Row],[Vertex 2]],GroupVertices[Vertex],0)),1,1,"")</f>
        <v>4</v>
      </c>
      <c r="BF205" s="48"/>
      <c r="BG205" s="49"/>
      <c r="BH205" s="48"/>
      <c r="BI205" s="49"/>
      <c r="BJ205" s="48"/>
      <c r="BK205" s="49"/>
      <c r="BL205" s="48"/>
      <c r="BM205" s="49"/>
      <c r="BN205" s="48"/>
    </row>
    <row r="206" spans="1:66" ht="15">
      <c r="A206" s="66" t="s">
        <v>467</v>
      </c>
      <c r="B206" s="66" t="s">
        <v>511</v>
      </c>
      <c r="C206" s="67" t="s">
        <v>3149</v>
      </c>
      <c r="D206" s="68">
        <v>4</v>
      </c>
      <c r="E206" s="69" t="s">
        <v>132</v>
      </c>
      <c r="F206" s="70">
        <v>30</v>
      </c>
      <c r="G206" s="67"/>
      <c r="H206" s="71"/>
      <c r="I206" s="72"/>
      <c r="J206" s="72"/>
      <c r="K206" s="34" t="s">
        <v>65</v>
      </c>
      <c r="L206" s="79">
        <v>206</v>
      </c>
      <c r="M206" s="79"/>
      <c r="N206" s="74"/>
      <c r="O206" s="81" t="s">
        <v>586</v>
      </c>
      <c r="P206" s="83">
        <v>44005.076006944444</v>
      </c>
      <c r="Q206" s="81" t="s">
        <v>611</v>
      </c>
      <c r="R206" s="81"/>
      <c r="S206" s="81"/>
      <c r="T206" s="81" t="s">
        <v>711</v>
      </c>
      <c r="U206" s="81"/>
      <c r="V206" s="84" t="str">
        <f>HYPERLINK("http://pbs.twimg.com/profile_images/717636173364076544/bWAXypCk_normal.jpg")</f>
        <v>http://pbs.twimg.com/profile_images/717636173364076544/bWAXypCk_normal.jpg</v>
      </c>
      <c r="W206" s="83">
        <v>44005.076006944444</v>
      </c>
      <c r="X206" s="87">
        <v>44005</v>
      </c>
      <c r="Y206" s="89" t="s">
        <v>834</v>
      </c>
      <c r="Z206" s="84" t="str">
        <f>HYPERLINK("https://twitter.com/nellylaoni/status/1275244544867667969")</f>
        <v>https://twitter.com/nellylaoni/status/1275244544867667969</v>
      </c>
      <c r="AA206" s="81"/>
      <c r="AB206" s="81"/>
      <c r="AC206" s="89" t="s">
        <v>1043</v>
      </c>
      <c r="AD206" s="81"/>
      <c r="AE206" s="81" t="b">
        <v>0</v>
      </c>
      <c r="AF206" s="81">
        <v>0</v>
      </c>
      <c r="AG206" s="89" t="s">
        <v>1149</v>
      </c>
      <c r="AH206" s="81" t="b">
        <v>0</v>
      </c>
      <c r="AI206" s="81" t="s">
        <v>1150</v>
      </c>
      <c r="AJ206" s="81"/>
      <c r="AK206" s="89" t="s">
        <v>1149</v>
      </c>
      <c r="AL206" s="81" t="b">
        <v>0</v>
      </c>
      <c r="AM206" s="81">
        <v>23</v>
      </c>
      <c r="AN206" s="89" t="s">
        <v>1139</v>
      </c>
      <c r="AO206" s="81" t="s">
        <v>1176</v>
      </c>
      <c r="AP206" s="81" t="b">
        <v>0</v>
      </c>
      <c r="AQ206" s="89" t="s">
        <v>1139</v>
      </c>
      <c r="AR206" s="81" t="s">
        <v>325</v>
      </c>
      <c r="AS206" s="81">
        <v>0</v>
      </c>
      <c r="AT206" s="81">
        <v>0</v>
      </c>
      <c r="AU206" s="81"/>
      <c r="AV206" s="81"/>
      <c r="AW206" s="81"/>
      <c r="AX206" s="81"/>
      <c r="AY206" s="81"/>
      <c r="AZ206" s="81"/>
      <c r="BA206" s="81"/>
      <c r="BB206" s="81"/>
      <c r="BC206">
        <v>1</v>
      </c>
      <c r="BD206" s="80" t="str">
        <f>REPLACE(INDEX(GroupVertices[Group],MATCH(Edges[[#This Row],[Vertex 1]],GroupVertices[Vertex],0)),1,1,"")</f>
        <v>4</v>
      </c>
      <c r="BE206" s="80" t="str">
        <f>REPLACE(INDEX(GroupVertices[Group],MATCH(Edges[[#This Row],[Vertex 2]],GroupVertices[Vertex],0)),1,1,"")</f>
        <v>4</v>
      </c>
      <c r="BF206" s="48">
        <v>1</v>
      </c>
      <c r="BG206" s="49">
        <v>3.125</v>
      </c>
      <c r="BH206" s="48">
        <v>1</v>
      </c>
      <c r="BI206" s="49">
        <v>3.125</v>
      </c>
      <c r="BJ206" s="48">
        <v>0</v>
      </c>
      <c r="BK206" s="49">
        <v>0</v>
      </c>
      <c r="BL206" s="48">
        <v>30</v>
      </c>
      <c r="BM206" s="49">
        <v>93.75</v>
      </c>
      <c r="BN206" s="48">
        <v>32</v>
      </c>
    </row>
    <row r="207" spans="1:66" ht="15">
      <c r="A207" s="66" t="s">
        <v>468</v>
      </c>
      <c r="B207" s="66" t="s">
        <v>469</v>
      </c>
      <c r="C207" s="67" t="s">
        <v>3149</v>
      </c>
      <c r="D207" s="68">
        <v>4</v>
      </c>
      <c r="E207" s="69" t="s">
        <v>132</v>
      </c>
      <c r="F207" s="70">
        <v>30</v>
      </c>
      <c r="G207" s="67"/>
      <c r="H207" s="71"/>
      <c r="I207" s="72"/>
      <c r="J207" s="72"/>
      <c r="K207" s="34" t="s">
        <v>66</v>
      </c>
      <c r="L207" s="79">
        <v>207</v>
      </c>
      <c r="M207" s="79"/>
      <c r="N207" s="74"/>
      <c r="O207" s="81" t="s">
        <v>587</v>
      </c>
      <c r="P207" s="83">
        <v>44000.69049768519</v>
      </c>
      <c r="Q207" s="81" t="s">
        <v>619</v>
      </c>
      <c r="R207" s="84" t="str">
        <f>HYPERLINK("https://ejerciciosdedatos.blogspot.com/2020/06/entrevista-jose-luis-huacles-unocc.html")</f>
        <v>https://ejerciciosdedatos.blogspot.com/2020/06/entrevista-jose-luis-huacles-unocc.html</v>
      </c>
      <c r="S207" s="81" t="s">
        <v>683</v>
      </c>
      <c r="T207" s="81" t="s">
        <v>707</v>
      </c>
      <c r="U207" s="81"/>
      <c r="V207" s="84" t="str">
        <f>HYPERLINK("http://pbs.twimg.com/profile_images/619271478039715840/3o29n4NO_normal.jpg")</f>
        <v>http://pbs.twimg.com/profile_images/619271478039715840/3o29n4NO_normal.jpg</v>
      </c>
      <c r="W207" s="83">
        <v>44000.69049768519</v>
      </c>
      <c r="X207" s="87">
        <v>44000</v>
      </c>
      <c r="Y207" s="89" t="s">
        <v>835</v>
      </c>
      <c r="Z207" s="84" t="str">
        <f>HYPERLINK("https://twitter.com/datosundav/status/1273655291457011712")</f>
        <v>https://twitter.com/datosundav/status/1273655291457011712</v>
      </c>
      <c r="AA207" s="81"/>
      <c r="AB207" s="81"/>
      <c r="AC207" s="89" t="s">
        <v>1044</v>
      </c>
      <c r="AD207" s="81"/>
      <c r="AE207" s="81" t="b">
        <v>0</v>
      </c>
      <c r="AF207" s="81">
        <v>0</v>
      </c>
      <c r="AG207" s="89" t="s">
        <v>1149</v>
      </c>
      <c r="AH207" s="81" t="b">
        <v>0</v>
      </c>
      <c r="AI207" s="81" t="s">
        <v>1156</v>
      </c>
      <c r="AJ207" s="81"/>
      <c r="AK207" s="89" t="s">
        <v>1149</v>
      </c>
      <c r="AL207" s="81" t="b">
        <v>0</v>
      </c>
      <c r="AM207" s="81">
        <v>2</v>
      </c>
      <c r="AN207" s="89" t="s">
        <v>1149</v>
      </c>
      <c r="AO207" s="81" t="s">
        <v>1172</v>
      </c>
      <c r="AP207" s="81" t="b">
        <v>0</v>
      </c>
      <c r="AQ207" s="89" t="s">
        <v>1044</v>
      </c>
      <c r="AR207" s="81" t="s">
        <v>586</v>
      </c>
      <c r="AS207" s="81">
        <v>0</v>
      </c>
      <c r="AT207" s="81">
        <v>0</v>
      </c>
      <c r="AU207" s="81"/>
      <c r="AV207" s="81"/>
      <c r="AW207" s="81"/>
      <c r="AX207" s="81"/>
      <c r="AY207" s="81"/>
      <c r="AZ207" s="81"/>
      <c r="BA207" s="81"/>
      <c r="BB207" s="81"/>
      <c r="BC207">
        <v>1</v>
      </c>
      <c r="BD207" s="80" t="str">
        <f>REPLACE(INDEX(GroupVertices[Group],MATCH(Edges[[#This Row],[Vertex 1]],GroupVertices[Vertex],0)),1,1,"")</f>
        <v>13</v>
      </c>
      <c r="BE207" s="80" t="str">
        <f>REPLACE(INDEX(GroupVertices[Group],MATCH(Edges[[#This Row],[Vertex 2]],GroupVertices[Vertex],0)),1,1,"")</f>
        <v>13</v>
      </c>
      <c r="BF207" s="48"/>
      <c r="BG207" s="49"/>
      <c r="BH207" s="48"/>
      <c r="BI207" s="49"/>
      <c r="BJ207" s="48"/>
      <c r="BK207" s="49"/>
      <c r="BL207" s="48"/>
      <c r="BM207" s="49"/>
      <c r="BN207" s="48"/>
    </row>
    <row r="208" spans="1:66" ht="15">
      <c r="A208" s="66" t="s">
        <v>469</v>
      </c>
      <c r="B208" s="66" t="s">
        <v>535</v>
      </c>
      <c r="C208" s="67" t="s">
        <v>3149</v>
      </c>
      <c r="D208" s="68">
        <v>4</v>
      </c>
      <c r="E208" s="69" t="s">
        <v>132</v>
      </c>
      <c r="F208" s="70">
        <v>30</v>
      </c>
      <c r="G208" s="67"/>
      <c r="H208" s="71"/>
      <c r="I208" s="72"/>
      <c r="J208" s="72"/>
      <c r="K208" s="34" t="s">
        <v>65</v>
      </c>
      <c r="L208" s="79">
        <v>208</v>
      </c>
      <c r="M208" s="79"/>
      <c r="N208" s="74"/>
      <c r="O208" s="81" t="s">
        <v>588</v>
      </c>
      <c r="P208" s="83">
        <v>44005.08944444444</v>
      </c>
      <c r="Q208" s="81" t="s">
        <v>619</v>
      </c>
      <c r="R208" s="84" t="str">
        <f>HYPERLINK("https://ejerciciosdedatos.blogspot.com/2020/06/entrevista-jose-luis-huacles-unocc.html")</f>
        <v>https://ejerciciosdedatos.blogspot.com/2020/06/entrevista-jose-luis-huacles-unocc.html</v>
      </c>
      <c r="S208" s="81" t="s">
        <v>683</v>
      </c>
      <c r="T208" s="81"/>
      <c r="U208" s="81"/>
      <c r="V208" s="84" t="str">
        <f>HYPERLINK("http://pbs.twimg.com/profile_images/1224913695987453952/ZBfvgpih_normal.jpg")</f>
        <v>http://pbs.twimg.com/profile_images/1224913695987453952/ZBfvgpih_normal.jpg</v>
      </c>
      <c r="W208" s="83">
        <v>44005.08944444444</v>
      </c>
      <c r="X208" s="87">
        <v>44005</v>
      </c>
      <c r="Y208" s="89" t="s">
        <v>836</v>
      </c>
      <c r="Z208" s="84" t="str">
        <f>HYPERLINK("https://twitter.com/lacajadatera/status/1275249417868754945")</f>
        <v>https://twitter.com/lacajadatera/status/1275249417868754945</v>
      </c>
      <c r="AA208" s="81"/>
      <c r="AB208" s="81"/>
      <c r="AC208" s="89" t="s">
        <v>1045</v>
      </c>
      <c r="AD208" s="81"/>
      <c r="AE208" s="81" t="b">
        <v>0</v>
      </c>
      <c r="AF208" s="81">
        <v>0</v>
      </c>
      <c r="AG208" s="89" t="s">
        <v>1149</v>
      </c>
      <c r="AH208" s="81" t="b">
        <v>0</v>
      </c>
      <c r="AI208" s="81" t="s">
        <v>1156</v>
      </c>
      <c r="AJ208" s="81"/>
      <c r="AK208" s="89" t="s">
        <v>1149</v>
      </c>
      <c r="AL208" s="81" t="b">
        <v>0</v>
      </c>
      <c r="AM208" s="81">
        <v>2</v>
      </c>
      <c r="AN208" s="89" t="s">
        <v>1044</v>
      </c>
      <c r="AO208" s="81" t="s">
        <v>1176</v>
      </c>
      <c r="AP208" s="81" t="b">
        <v>0</v>
      </c>
      <c r="AQ208" s="89" t="s">
        <v>1044</v>
      </c>
      <c r="AR208" s="81" t="s">
        <v>325</v>
      </c>
      <c r="AS208" s="81">
        <v>0</v>
      </c>
      <c r="AT208" s="81">
        <v>0</v>
      </c>
      <c r="AU208" s="81"/>
      <c r="AV208" s="81"/>
      <c r="AW208" s="81"/>
      <c r="AX208" s="81"/>
      <c r="AY208" s="81"/>
      <c r="AZ208" s="81"/>
      <c r="BA208" s="81"/>
      <c r="BB208" s="81"/>
      <c r="BC208">
        <v>1</v>
      </c>
      <c r="BD208" s="80" t="str">
        <f>REPLACE(INDEX(GroupVertices[Group],MATCH(Edges[[#This Row],[Vertex 1]],GroupVertices[Vertex],0)),1,1,"")</f>
        <v>13</v>
      </c>
      <c r="BE208" s="80" t="str">
        <f>REPLACE(INDEX(GroupVertices[Group],MATCH(Edges[[#This Row],[Vertex 2]],GroupVertices[Vertex],0)),1,1,"")</f>
        <v>13</v>
      </c>
      <c r="BF208" s="48">
        <v>0</v>
      </c>
      <c r="BG208" s="49">
        <v>0</v>
      </c>
      <c r="BH208" s="48">
        <v>0</v>
      </c>
      <c r="BI208" s="49">
        <v>0</v>
      </c>
      <c r="BJ208" s="48">
        <v>0</v>
      </c>
      <c r="BK208" s="49">
        <v>0</v>
      </c>
      <c r="BL208" s="48">
        <v>16</v>
      </c>
      <c r="BM208" s="49">
        <v>100</v>
      </c>
      <c r="BN208" s="48">
        <v>16</v>
      </c>
    </row>
    <row r="209" spans="1:66" ht="15">
      <c r="A209" s="66" t="s">
        <v>469</v>
      </c>
      <c r="B209" s="66" t="s">
        <v>468</v>
      </c>
      <c r="C209" s="67" t="s">
        <v>3149</v>
      </c>
      <c r="D209" s="68">
        <v>4</v>
      </c>
      <c r="E209" s="69" t="s">
        <v>132</v>
      </c>
      <c r="F209" s="70">
        <v>30</v>
      </c>
      <c r="G209" s="67"/>
      <c r="H209" s="71"/>
      <c r="I209" s="72"/>
      <c r="J209" s="72"/>
      <c r="K209" s="34" t="s">
        <v>66</v>
      </c>
      <c r="L209" s="79">
        <v>209</v>
      </c>
      <c r="M209" s="79"/>
      <c r="N209" s="74"/>
      <c r="O209" s="81" t="s">
        <v>586</v>
      </c>
      <c r="P209" s="83">
        <v>44005.08944444444</v>
      </c>
      <c r="Q209" s="81" t="s">
        <v>619</v>
      </c>
      <c r="R209" s="84" t="str">
        <f>HYPERLINK("https://ejerciciosdedatos.blogspot.com/2020/06/entrevista-jose-luis-huacles-unocc.html")</f>
        <v>https://ejerciciosdedatos.blogspot.com/2020/06/entrevista-jose-luis-huacles-unocc.html</v>
      </c>
      <c r="S209" s="81" t="s">
        <v>683</v>
      </c>
      <c r="T209" s="81"/>
      <c r="U209" s="81"/>
      <c r="V209" s="84" t="str">
        <f>HYPERLINK("http://pbs.twimg.com/profile_images/1224913695987453952/ZBfvgpih_normal.jpg")</f>
        <v>http://pbs.twimg.com/profile_images/1224913695987453952/ZBfvgpih_normal.jpg</v>
      </c>
      <c r="W209" s="83">
        <v>44005.08944444444</v>
      </c>
      <c r="X209" s="87">
        <v>44005</v>
      </c>
      <c r="Y209" s="89" t="s">
        <v>836</v>
      </c>
      <c r="Z209" s="84" t="str">
        <f>HYPERLINK("https://twitter.com/lacajadatera/status/1275249417868754945")</f>
        <v>https://twitter.com/lacajadatera/status/1275249417868754945</v>
      </c>
      <c r="AA209" s="81"/>
      <c r="AB209" s="81"/>
      <c r="AC209" s="89" t="s">
        <v>1045</v>
      </c>
      <c r="AD209" s="81"/>
      <c r="AE209" s="81" t="b">
        <v>0</v>
      </c>
      <c r="AF209" s="81">
        <v>0</v>
      </c>
      <c r="AG209" s="89" t="s">
        <v>1149</v>
      </c>
      <c r="AH209" s="81" t="b">
        <v>0</v>
      </c>
      <c r="AI209" s="81" t="s">
        <v>1156</v>
      </c>
      <c r="AJ209" s="81"/>
      <c r="AK209" s="89" t="s">
        <v>1149</v>
      </c>
      <c r="AL209" s="81" t="b">
        <v>0</v>
      </c>
      <c r="AM209" s="81">
        <v>2</v>
      </c>
      <c r="AN209" s="89" t="s">
        <v>1044</v>
      </c>
      <c r="AO209" s="81" t="s">
        <v>1176</v>
      </c>
      <c r="AP209" s="81" t="b">
        <v>0</v>
      </c>
      <c r="AQ209" s="89" t="s">
        <v>1044</v>
      </c>
      <c r="AR209" s="81" t="s">
        <v>325</v>
      </c>
      <c r="AS209" s="81">
        <v>0</v>
      </c>
      <c r="AT209" s="81">
        <v>0</v>
      </c>
      <c r="AU209" s="81"/>
      <c r="AV209" s="81"/>
      <c r="AW209" s="81"/>
      <c r="AX209" s="81"/>
      <c r="AY209" s="81"/>
      <c r="AZ209" s="81"/>
      <c r="BA209" s="81"/>
      <c r="BB209" s="81"/>
      <c r="BC209">
        <v>1</v>
      </c>
      <c r="BD209" s="80" t="str">
        <f>REPLACE(INDEX(GroupVertices[Group],MATCH(Edges[[#This Row],[Vertex 1]],GroupVertices[Vertex],0)),1,1,"")</f>
        <v>13</v>
      </c>
      <c r="BE209" s="80" t="str">
        <f>REPLACE(INDEX(GroupVertices[Group],MATCH(Edges[[#This Row],[Vertex 2]],GroupVertices[Vertex],0)),1,1,"")</f>
        <v>13</v>
      </c>
      <c r="BF209" s="48"/>
      <c r="BG209" s="49"/>
      <c r="BH209" s="48"/>
      <c r="BI209" s="49"/>
      <c r="BJ209" s="48"/>
      <c r="BK209" s="49"/>
      <c r="BL209" s="48"/>
      <c r="BM209" s="49"/>
      <c r="BN209" s="48"/>
    </row>
    <row r="210" spans="1:66" ht="15">
      <c r="A210" s="66" t="s">
        <v>470</v>
      </c>
      <c r="B210" s="66" t="s">
        <v>469</v>
      </c>
      <c r="C210" s="67" t="s">
        <v>3149</v>
      </c>
      <c r="D210" s="68">
        <v>4</v>
      </c>
      <c r="E210" s="69" t="s">
        <v>132</v>
      </c>
      <c r="F210" s="70">
        <v>30</v>
      </c>
      <c r="G210" s="67"/>
      <c r="H210" s="71"/>
      <c r="I210" s="72"/>
      <c r="J210" s="72"/>
      <c r="K210" s="34" t="s">
        <v>65</v>
      </c>
      <c r="L210" s="79">
        <v>210</v>
      </c>
      <c r="M210" s="79"/>
      <c r="N210" s="74"/>
      <c r="O210" s="81" t="s">
        <v>588</v>
      </c>
      <c r="P210" s="83">
        <v>44005.089907407404</v>
      </c>
      <c r="Q210" s="81" t="s">
        <v>619</v>
      </c>
      <c r="R210" s="84" t="str">
        <f>HYPERLINK("https://ejerciciosdedatos.blogspot.com/2020/06/entrevista-jose-luis-huacles-unocc.html")</f>
        <v>https://ejerciciosdedatos.blogspot.com/2020/06/entrevista-jose-luis-huacles-unocc.html</v>
      </c>
      <c r="S210" s="81" t="s">
        <v>683</v>
      </c>
      <c r="T210" s="81"/>
      <c r="U210" s="81"/>
      <c r="V210" s="84" t="str">
        <f>HYPERLINK("http://pbs.twimg.com/profile_images/1147920122218237953/PY_DNS93_normal.jpg")</f>
        <v>http://pbs.twimg.com/profile_images/1147920122218237953/PY_DNS93_normal.jpg</v>
      </c>
      <c r="W210" s="83">
        <v>44005.089907407404</v>
      </c>
      <c r="X210" s="87">
        <v>44005</v>
      </c>
      <c r="Y210" s="89" t="s">
        <v>837</v>
      </c>
      <c r="Z210" s="84" t="str">
        <f>HYPERLINK("https://twitter.com/rocioromerox/status/1275249584265146372")</f>
        <v>https://twitter.com/rocioromerox/status/1275249584265146372</v>
      </c>
      <c r="AA210" s="81"/>
      <c r="AB210" s="81"/>
      <c r="AC210" s="89" t="s">
        <v>1046</v>
      </c>
      <c r="AD210" s="81"/>
      <c r="AE210" s="81" t="b">
        <v>0</v>
      </c>
      <c r="AF210" s="81">
        <v>0</v>
      </c>
      <c r="AG210" s="89" t="s">
        <v>1149</v>
      </c>
      <c r="AH210" s="81" t="b">
        <v>0</v>
      </c>
      <c r="AI210" s="81" t="s">
        <v>1156</v>
      </c>
      <c r="AJ210" s="81"/>
      <c r="AK210" s="89" t="s">
        <v>1149</v>
      </c>
      <c r="AL210" s="81" t="b">
        <v>0</v>
      </c>
      <c r="AM210" s="81">
        <v>2</v>
      </c>
      <c r="AN210" s="89" t="s">
        <v>1044</v>
      </c>
      <c r="AO210" s="81" t="s">
        <v>1176</v>
      </c>
      <c r="AP210" s="81" t="b">
        <v>0</v>
      </c>
      <c r="AQ210" s="89" t="s">
        <v>1044</v>
      </c>
      <c r="AR210" s="81" t="s">
        <v>325</v>
      </c>
      <c r="AS210" s="81">
        <v>0</v>
      </c>
      <c r="AT210" s="81">
        <v>0</v>
      </c>
      <c r="AU210" s="81"/>
      <c r="AV210" s="81"/>
      <c r="AW210" s="81"/>
      <c r="AX210" s="81"/>
      <c r="AY210" s="81"/>
      <c r="AZ210" s="81"/>
      <c r="BA210" s="81"/>
      <c r="BB210" s="81"/>
      <c r="BC210">
        <v>1</v>
      </c>
      <c r="BD210" s="80" t="str">
        <f>REPLACE(INDEX(GroupVertices[Group],MATCH(Edges[[#This Row],[Vertex 1]],GroupVertices[Vertex],0)),1,1,"")</f>
        <v>13</v>
      </c>
      <c r="BE210" s="80" t="str">
        <f>REPLACE(INDEX(GroupVertices[Group],MATCH(Edges[[#This Row],[Vertex 2]],GroupVertices[Vertex],0)),1,1,"")</f>
        <v>13</v>
      </c>
      <c r="BF210" s="48"/>
      <c r="BG210" s="49"/>
      <c r="BH210" s="48"/>
      <c r="BI210" s="49"/>
      <c r="BJ210" s="48"/>
      <c r="BK210" s="49"/>
      <c r="BL210" s="48"/>
      <c r="BM210" s="49"/>
      <c r="BN210" s="48"/>
    </row>
    <row r="211" spans="1:66" ht="15">
      <c r="A211" s="66" t="s">
        <v>468</v>
      </c>
      <c r="B211" s="66" t="s">
        <v>535</v>
      </c>
      <c r="C211" s="67" t="s">
        <v>3149</v>
      </c>
      <c r="D211" s="68">
        <v>4</v>
      </c>
      <c r="E211" s="69" t="s">
        <v>132</v>
      </c>
      <c r="F211" s="70">
        <v>30</v>
      </c>
      <c r="G211" s="67"/>
      <c r="H211" s="71"/>
      <c r="I211" s="72"/>
      <c r="J211" s="72"/>
      <c r="K211" s="34" t="s">
        <v>65</v>
      </c>
      <c r="L211" s="79">
        <v>211</v>
      </c>
      <c r="M211" s="79"/>
      <c r="N211" s="74"/>
      <c r="O211" s="81" t="s">
        <v>587</v>
      </c>
      <c r="P211" s="83">
        <v>44000.69049768519</v>
      </c>
      <c r="Q211" s="81" t="s">
        <v>619</v>
      </c>
      <c r="R211" s="84" t="str">
        <f>HYPERLINK("https://ejerciciosdedatos.blogspot.com/2020/06/entrevista-jose-luis-huacles-unocc.html")</f>
        <v>https://ejerciciosdedatos.blogspot.com/2020/06/entrevista-jose-luis-huacles-unocc.html</v>
      </c>
      <c r="S211" s="81" t="s">
        <v>683</v>
      </c>
      <c r="T211" s="81" t="s">
        <v>707</v>
      </c>
      <c r="U211" s="81"/>
      <c r="V211" s="84" t="str">
        <f>HYPERLINK("http://pbs.twimg.com/profile_images/619271478039715840/3o29n4NO_normal.jpg")</f>
        <v>http://pbs.twimg.com/profile_images/619271478039715840/3o29n4NO_normal.jpg</v>
      </c>
      <c r="W211" s="83">
        <v>44000.69049768519</v>
      </c>
      <c r="X211" s="87">
        <v>44000</v>
      </c>
      <c r="Y211" s="89" t="s">
        <v>835</v>
      </c>
      <c r="Z211" s="84" t="str">
        <f>HYPERLINK("https://twitter.com/datosundav/status/1273655291457011712")</f>
        <v>https://twitter.com/datosundav/status/1273655291457011712</v>
      </c>
      <c r="AA211" s="81"/>
      <c r="AB211" s="81"/>
      <c r="AC211" s="89" t="s">
        <v>1044</v>
      </c>
      <c r="AD211" s="81"/>
      <c r="AE211" s="81" t="b">
        <v>0</v>
      </c>
      <c r="AF211" s="81">
        <v>0</v>
      </c>
      <c r="AG211" s="89" t="s">
        <v>1149</v>
      </c>
      <c r="AH211" s="81" t="b">
        <v>0</v>
      </c>
      <c r="AI211" s="81" t="s">
        <v>1156</v>
      </c>
      <c r="AJ211" s="81"/>
      <c r="AK211" s="89" t="s">
        <v>1149</v>
      </c>
      <c r="AL211" s="81" t="b">
        <v>0</v>
      </c>
      <c r="AM211" s="81">
        <v>2</v>
      </c>
      <c r="AN211" s="89" t="s">
        <v>1149</v>
      </c>
      <c r="AO211" s="81" t="s">
        <v>1172</v>
      </c>
      <c r="AP211" s="81" t="b">
        <v>0</v>
      </c>
      <c r="AQ211" s="89" t="s">
        <v>1044</v>
      </c>
      <c r="AR211" s="81" t="s">
        <v>586</v>
      </c>
      <c r="AS211" s="81">
        <v>0</v>
      </c>
      <c r="AT211" s="81">
        <v>0</v>
      </c>
      <c r="AU211" s="81"/>
      <c r="AV211" s="81"/>
      <c r="AW211" s="81"/>
      <c r="AX211" s="81"/>
      <c r="AY211" s="81"/>
      <c r="AZ211" s="81"/>
      <c r="BA211" s="81"/>
      <c r="BB211" s="81"/>
      <c r="BC211">
        <v>1</v>
      </c>
      <c r="BD211" s="80" t="str">
        <f>REPLACE(INDEX(GroupVertices[Group],MATCH(Edges[[#This Row],[Vertex 1]],GroupVertices[Vertex],0)),1,1,"")</f>
        <v>13</v>
      </c>
      <c r="BE211" s="80" t="str">
        <f>REPLACE(INDEX(GroupVertices[Group],MATCH(Edges[[#This Row],[Vertex 2]],GroupVertices[Vertex],0)),1,1,"")</f>
        <v>13</v>
      </c>
      <c r="BF211" s="48">
        <v>0</v>
      </c>
      <c r="BG211" s="49">
        <v>0</v>
      </c>
      <c r="BH211" s="48">
        <v>0</v>
      </c>
      <c r="BI211" s="49">
        <v>0</v>
      </c>
      <c r="BJ211" s="48">
        <v>0</v>
      </c>
      <c r="BK211" s="49">
        <v>0</v>
      </c>
      <c r="BL211" s="48">
        <v>16</v>
      </c>
      <c r="BM211" s="49">
        <v>100</v>
      </c>
      <c r="BN211" s="48">
        <v>16</v>
      </c>
    </row>
    <row r="212" spans="1:66" ht="15">
      <c r="A212" s="66" t="s">
        <v>470</v>
      </c>
      <c r="B212" s="66" t="s">
        <v>535</v>
      </c>
      <c r="C212" s="67" t="s">
        <v>3149</v>
      </c>
      <c r="D212" s="68">
        <v>4</v>
      </c>
      <c r="E212" s="69" t="s">
        <v>132</v>
      </c>
      <c r="F212" s="70">
        <v>30</v>
      </c>
      <c r="G212" s="67"/>
      <c r="H212" s="71"/>
      <c r="I212" s="72"/>
      <c r="J212" s="72"/>
      <c r="K212" s="34" t="s">
        <v>65</v>
      </c>
      <c r="L212" s="79">
        <v>212</v>
      </c>
      <c r="M212" s="79"/>
      <c r="N212" s="74"/>
      <c r="O212" s="81" t="s">
        <v>588</v>
      </c>
      <c r="P212" s="83">
        <v>44005.089907407404</v>
      </c>
      <c r="Q212" s="81" t="s">
        <v>619</v>
      </c>
      <c r="R212" s="84" t="str">
        <f>HYPERLINK("https://ejerciciosdedatos.blogspot.com/2020/06/entrevista-jose-luis-huacles-unocc.html")</f>
        <v>https://ejerciciosdedatos.blogspot.com/2020/06/entrevista-jose-luis-huacles-unocc.html</v>
      </c>
      <c r="S212" s="81" t="s">
        <v>683</v>
      </c>
      <c r="T212" s="81"/>
      <c r="U212" s="81"/>
      <c r="V212" s="84" t="str">
        <f>HYPERLINK("http://pbs.twimg.com/profile_images/1147920122218237953/PY_DNS93_normal.jpg")</f>
        <v>http://pbs.twimg.com/profile_images/1147920122218237953/PY_DNS93_normal.jpg</v>
      </c>
      <c r="W212" s="83">
        <v>44005.089907407404</v>
      </c>
      <c r="X212" s="87">
        <v>44005</v>
      </c>
      <c r="Y212" s="89" t="s">
        <v>837</v>
      </c>
      <c r="Z212" s="84" t="str">
        <f>HYPERLINK("https://twitter.com/rocioromerox/status/1275249584265146372")</f>
        <v>https://twitter.com/rocioromerox/status/1275249584265146372</v>
      </c>
      <c r="AA212" s="81"/>
      <c r="AB212" s="81"/>
      <c r="AC212" s="89" t="s">
        <v>1046</v>
      </c>
      <c r="AD212" s="81"/>
      <c r="AE212" s="81" t="b">
        <v>0</v>
      </c>
      <c r="AF212" s="81">
        <v>0</v>
      </c>
      <c r="AG212" s="89" t="s">
        <v>1149</v>
      </c>
      <c r="AH212" s="81" t="b">
        <v>0</v>
      </c>
      <c r="AI212" s="81" t="s">
        <v>1156</v>
      </c>
      <c r="AJ212" s="81"/>
      <c r="AK212" s="89" t="s">
        <v>1149</v>
      </c>
      <c r="AL212" s="81" t="b">
        <v>0</v>
      </c>
      <c r="AM212" s="81">
        <v>2</v>
      </c>
      <c r="AN212" s="89" t="s">
        <v>1044</v>
      </c>
      <c r="AO212" s="81" t="s">
        <v>1176</v>
      </c>
      <c r="AP212" s="81" t="b">
        <v>0</v>
      </c>
      <c r="AQ212" s="89" t="s">
        <v>1044</v>
      </c>
      <c r="AR212" s="81" t="s">
        <v>325</v>
      </c>
      <c r="AS212" s="81">
        <v>0</v>
      </c>
      <c r="AT212" s="81">
        <v>0</v>
      </c>
      <c r="AU212" s="81"/>
      <c r="AV212" s="81"/>
      <c r="AW212" s="81"/>
      <c r="AX212" s="81"/>
      <c r="AY212" s="81"/>
      <c r="AZ212" s="81"/>
      <c r="BA212" s="81"/>
      <c r="BB212" s="81"/>
      <c r="BC212">
        <v>1</v>
      </c>
      <c r="BD212" s="80" t="str">
        <f>REPLACE(INDEX(GroupVertices[Group],MATCH(Edges[[#This Row],[Vertex 1]],GroupVertices[Vertex],0)),1,1,"")</f>
        <v>13</v>
      </c>
      <c r="BE212" s="80" t="str">
        <f>REPLACE(INDEX(GroupVertices[Group],MATCH(Edges[[#This Row],[Vertex 2]],GroupVertices[Vertex],0)),1,1,"")</f>
        <v>13</v>
      </c>
      <c r="BF212" s="48"/>
      <c r="BG212" s="49"/>
      <c r="BH212" s="48"/>
      <c r="BI212" s="49"/>
      <c r="BJ212" s="48"/>
      <c r="BK212" s="49"/>
      <c r="BL212" s="48"/>
      <c r="BM212" s="49"/>
      <c r="BN212" s="48"/>
    </row>
    <row r="213" spans="1:66" ht="15">
      <c r="A213" s="66" t="s">
        <v>470</v>
      </c>
      <c r="B213" s="66" t="s">
        <v>468</v>
      </c>
      <c r="C213" s="67" t="s">
        <v>3149</v>
      </c>
      <c r="D213" s="68">
        <v>4</v>
      </c>
      <c r="E213" s="69" t="s">
        <v>132</v>
      </c>
      <c r="F213" s="70">
        <v>30</v>
      </c>
      <c r="G213" s="67"/>
      <c r="H213" s="71"/>
      <c r="I213" s="72"/>
      <c r="J213" s="72"/>
      <c r="K213" s="34" t="s">
        <v>65</v>
      </c>
      <c r="L213" s="79">
        <v>213</v>
      </c>
      <c r="M213" s="79"/>
      <c r="N213" s="74"/>
      <c r="O213" s="81" t="s">
        <v>586</v>
      </c>
      <c r="P213" s="83">
        <v>44005.089907407404</v>
      </c>
      <c r="Q213" s="81" t="s">
        <v>619</v>
      </c>
      <c r="R213" s="84" t="str">
        <f>HYPERLINK("https://ejerciciosdedatos.blogspot.com/2020/06/entrevista-jose-luis-huacles-unocc.html")</f>
        <v>https://ejerciciosdedatos.blogspot.com/2020/06/entrevista-jose-luis-huacles-unocc.html</v>
      </c>
      <c r="S213" s="81" t="s">
        <v>683</v>
      </c>
      <c r="T213" s="81"/>
      <c r="U213" s="81"/>
      <c r="V213" s="84" t="str">
        <f>HYPERLINK("http://pbs.twimg.com/profile_images/1147920122218237953/PY_DNS93_normal.jpg")</f>
        <v>http://pbs.twimg.com/profile_images/1147920122218237953/PY_DNS93_normal.jpg</v>
      </c>
      <c r="W213" s="83">
        <v>44005.089907407404</v>
      </c>
      <c r="X213" s="87">
        <v>44005</v>
      </c>
      <c r="Y213" s="89" t="s">
        <v>837</v>
      </c>
      <c r="Z213" s="84" t="str">
        <f>HYPERLINK("https://twitter.com/rocioromerox/status/1275249584265146372")</f>
        <v>https://twitter.com/rocioromerox/status/1275249584265146372</v>
      </c>
      <c r="AA213" s="81"/>
      <c r="AB213" s="81"/>
      <c r="AC213" s="89" t="s">
        <v>1046</v>
      </c>
      <c r="AD213" s="81"/>
      <c r="AE213" s="81" t="b">
        <v>0</v>
      </c>
      <c r="AF213" s="81">
        <v>0</v>
      </c>
      <c r="AG213" s="89" t="s">
        <v>1149</v>
      </c>
      <c r="AH213" s="81" t="b">
        <v>0</v>
      </c>
      <c r="AI213" s="81" t="s">
        <v>1156</v>
      </c>
      <c r="AJ213" s="81"/>
      <c r="AK213" s="89" t="s">
        <v>1149</v>
      </c>
      <c r="AL213" s="81" t="b">
        <v>0</v>
      </c>
      <c r="AM213" s="81">
        <v>2</v>
      </c>
      <c r="AN213" s="89" t="s">
        <v>1044</v>
      </c>
      <c r="AO213" s="81" t="s">
        <v>1176</v>
      </c>
      <c r="AP213" s="81" t="b">
        <v>0</v>
      </c>
      <c r="AQ213" s="89" t="s">
        <v>1044</v>
      </c>
      <c r="AR213" s="81" t="s">
        <v>325</v>
      </c>
      <c r="AS213" s="81">
        <v>0</v>
      </c>
      <c r="AT213" s="81">
        <v>0</v>
      </c>
      <c r="AU213" s="81"/>
      <c r="AV213" s="81"/>
      <c r="AW213" s="81"/>
      <c r="AX213" s="81"/>
      <c r="AY213" s="81"/>
      <c r="AZ213" s="81"/>
      <c r="BA213" s="81"/>
      <c r="BB213" s="81"/>
      <c r="BC213">
        <v>1</v>
      </c>
      <c r="BD213" s="80" t="str">
        <f>REPLACE(INDEX(GroupVertices[Group],MATCH(Edges[[#This Row],[Vertex 1]],GroupVertices[Vertex],0)),1,1,"")</f>
        <v>13</v>
      </c>
      <c r="BE213" s="80" t="str">
        <f>REPLACE(INDEX(GroupVertices[Group],MATCH(Edges[[#This Row],[Vertex 2]],GroupVertices[Vertex],0)),1,1,"")</f>
        <v>13</v>
      </c>
      <c r="BF213" s="48">
        <v>0</v>
      </c>
      <c r="BG213" s="49">
        <v>0</v>
      </c>
      <c r="BH213" s="48">
        <v>0</v>
      </c>
      <c r="BI213" s="49">
        <v>0</v>
      </c>
      <c r="BJ213" s="48">
        <v>0</v>
      </c>
      <c r="BK213" s="49">
        <v>0</v>
      </c>
      <c r="BL213" s="48">
        <v>16</v>
      </c>
      <c r="BM213" s="49">
        <v>100</v>
      </c>
      <c r="BN213" s="48">
        <v>16</v>
      </c>
    </row>
    <row r="214" spans="1:66" ht="15">
      <c r="A214" s="66" t="s">
        <v>471</v>
      </c>
      <c r="B214" s="66" t="s">
        <v>534</v>
      </c>
      <c r="C214" s="67" t="s">
        <v>3149</v>
      </c>
      <c r="D214" s="68">
        <v>4</v>
      </c>
      <c r="E214" s="69" t="s">
        <v>132</v>
      </c>
      <c r="F214" s="70">
        <v>30</v>
      </c>
      <c r="G214" s="67"/>
      <c r="H214" s="71"/>
      <c r="I214" s="72"/>
      <c r="J214" s="72"/>
      <c r="K214" s="34" t="s">
        <v>65</v>
      </c>
      <c r="L214" s="79">
        <v>214</v>
      </c>
      <c r="M214" s="79"/>
      <c r="N214" s="74"/>
      <c r="O214" s="81" t="s">
        <v>588</v>
      </c>
      <c r="P214" s="83">
        <v>44005.10261574074</v>
      </c>
      <c r="Q214" s="81" t="s">
        <v>611</v>
      </c>
      <c r="R214" s="81"/>
      <c r="S214" s="81"/>
      <c r="T214" s="81" t="s">
        <v>711</v>
      </c>
      <c r="U214" s="81"/>
      <c r="V214" s="84" t="str">
        <f>HYPERLINK("http://pbs.twimg.com/profile_images/1159027680727068674/kSTrz2sC_normal.jpg")</f>
        <v>http://pbs.twimg.com/profile_images/1159027680727068674/kSTrz2sC_normal.jpg</v>
      </c>
      <c r="W214" s="83">
        <v>44005.10261574074</v>
      </c>
      <c r="X214" s="87">
        <v>44005</v>
      </c>
      <c r="Y214" s="89" t="s">
        <v>838</v>
      </c>
      <c r="Z214" s="84" t="str">
        <f>HYPERLINK("https://twitter.com/jaishri21/status/1275254189644550144")</f>
        <v>https://twitter.com/jaishri21/status/1275254189644550144</v>
      </c>
      <c r="AA214" s="81"/>
      <c r="AB214" s="81"/>
      <c r="AC214" s="89" t="s">
        <v>1047</v>
      </c>
      <c r="AD214" s="81"/>
      <c r="AE214" s="81" t="b">
        <v>0</v>
      </c>
      <c r="AF214" s="81">
        <v>0</v>
      </c>
      <c r="AG214" s="89" t="s">
        <v>1149</v>
      </c>
      <c r="AH214" s="81" t="b">
        <v>0</v>
      </c>
      <c r="AI214" s="81" t="s">
        <v>1150</v>
      </c>
      <c r="AJ214" s="81"/>
      <c r="AK214" s="89" t="s">
        <v>1149</v>
      </c>
      <c r="AL214" s="81" t="b">
        <v>0</v>
      </c>
      <c r="AM214" s="81">
        <v>23</v>
      </c>
      <c r="AN214" s="89" t="s">
        <v>1139</v>
      </c>
      <c r="AO214" s="81" t="s">
        <v>1176</v>
      </c>
      <c r="AP214" s="81" t="b">
        <v>0</v>
      </c>
      <c r="AQ214" s="89" t="s">
        <v>1139</v>
      </c>
      <c r="AR214" s="81" t="s">
        <v>325</v>
      </c>
      <c r="AS214" s="81">
        <v>0</v>
      </c>
      <c r="AT214" s="81">
        <v>0</v>
      </c>
      <c r="AU214" s="81"/>
      <c r="AV214" s="81"/>
      <c r="AW214" s="81"/>
      <c r="AX214" s="81"/>
      <c r="AY214" s="81"/>
      <c r="AZ214" s="81"/>
      <c r="BA214" s="81"/>
      <c r="BB214" s="81"/>
      <c r="BC214">
        <v>1</v>
      </c>
      <c r="BD214" s="80" t="str">
        <f>REPLACE(INDEX(GroupVertices[Group],MATCH(Edges[[#This Row],[Vertex 1]],GroupVertices[Vertex],0)),1,1,"")</f>
        <v>4</v>
      </c>
      <c r="BE214" s="80" t="str">
        <f>REPLACE(INDEX(GroupVertices[Group],MATCH(Edges[[#This Row],[Vertex 2]],GroupVertices[Vertex],0)),1,1,"")</f>
        <v>4</v>
      </c>
      <c r="BF214" s="48"/>
      <c r="BG214" s="49"/>
      <c r="BH214" s="48"/>
      <c r="BI214" s="49"/>
      <c r="BJ214" s="48"/>
      <c r="BK214" s="49"/>
      <c r="BL214" s="48"/>
      <c r="BM214" s="49"/>
      <c r="BN214" s="48"/>
    </row>
    <row r="215" spans="1:66" ht="15">
      <c r="A215" s="66" t="s">
        <v>471</v>
      </c>
      <c r="B215" s="66" t="s">
        <v>511</v>
      </c>
      <c r="C215" s="67" t="s">
        <v>3149</v>
      </c>
      <c r="D215" s="68">
        <v>4</v>
      </c>
      <c r="E215" s="69" t="s">
        <v>132</v>
      </c>
      <c r="F215" s="70">
        <v>30</v>
      </c>
      <c r="G215" s="67"/>
      <c r="H215" s="71"/>
      <c r="I215" s="72"/>
      <c r="J215" s="72"/>
      <c r="K215" s="34" t="s">
        <v>65</v>
      </c>
      <c r="L215" s="79">
        <v>215</v>
      </c>
      <c r="M215" s="79"/>
      <c r="N215" s="74"/>
      <c r="O215" s="81" t="s">
        <v>586</v>
      </c>
      <c r="P215" s="83">
        <v>44005.10261574074</v>
      </c>
      <c r="Q215" s="81" t="s">
        <v>611</v>
      </c>
      <c r="R215" s="81"/>
      <c r="S215" s="81"/>
      <c r="T215" s="81" t="s">
        <v>711</v>
      </c>
      <c r="U215" s="81"/>
      <c r="V215" s="84" t="str">
        <f>HYPERLINK("http://pbs.twimg.com/profile_images/1159027680727068674/kSTrz2sC_normal.jpg")</f>
        <v>http://pbs.twimg.com/profile_images/1159027680727068674/kSTrz2sC_normal.jpg</v>
      </c>
      <c r="W215" s="83">
        <v>44005.10261574074</v>
      </c>
      <c r="X215" s="87">
        <v>44005</v>
      </c>
      <c r="Y215" s="89" t="s">
        <v>838</v>
      </c>
      <c r="Z215" s="84" t="str">
        <f>HYPERLINK("https://twitter.com/jaishri21/status/1275254189644550144")</f>
        <v>https://twitter.com/jaishri21/status/1275254189644550144</v>
      </c>
      <c r="AA215" s="81"/>
      <c r="AB215" s="81"/>
      <c r="AC215" s="89" t="s">
        <v>1047</v>
      </c>
      <c r="AD215" s="81"/>
      <c r="AE215" s="81" t="b">
        <v>0</v>
      </c>
      <c r="AF215" s="81">
        <v>0</v>
      </c>
      <c r="AG215" s="89" t="s">
        <v>1149</v>
      </c>
      <c r="AH215" s="81" t="b">
        <v>0</v>
      </c>
      <c r="AI215" s="81" t="s">
        <v>1150</v>
      </c>
      <c r="AJ215" s="81"/>
      <c r="AK215" s="89" t="s">
        <v>1149</v>
      </c>
      <c r="AL215" s="81" t="b">
        <v>0</v>
      </c>
      <c r="AM215" s="81">
        <v>23</v>
      </c>
      <c r="AN215" s="89" t="s">
        <v>1139</v>
      </c>
      <c r="AO215" s="81" t="s">
        <v>1176</v>
      </c>
      <c r="AP215" s="81" t="b">
        <v>0</v>
      </c>
      <c r="AQ215" s="89" t="s">
        <v>1139</v>
      </c>
      <c r="AR215" s="81" t="s">
        <v>325</v>
      </c>
      <c r="AS215" s="81">
        <v>0</v>
      </c>
      <c r="AT215" s="81">
        <v>0</v>
      </c>
      <c r="AU215" s="81"/>
      <c r="AV215" s="81"/>
      <c r="AW215" s="81"/>
      <c r="AX215" s="81"/>
      <c r="AY215" s="81"/>
      <c r="AZ215" s="81"/>
      <c r="BA215" s="81"/>
      <c r="BB215" s="81"/>
      <c r="BC215">
        <v>1</v>
      </c>
      <c r="BD215" s="80" t="str">
        <f>REPLACE(INDEX(GroupVertices[Group],MATCH(Edges[[#This Row],[Vertex 1]],GroupVertices[Vertex],0)),1,1,"")</f>
        <v>4</v>
      </c>
      <c r="BE215" s="80" t="str">
        <f>REPLACE(INDEX(GroupVertices[Group],MATCH(Edges[[#This Row],[Vertex 2]],GroupVertices[Vertex],0)),1,1,"")</f>
        <v>4</v>
      </c>
      <c r="BF215" s="48">
        <v>1</v>
      </c>
      <c r="BG215" s="49">
        <v>3.125</v>
      </c>
      <c r="BH215" s="48">
        <v>1</v>
      </c>
      <c r="BI215" s="49">
        <v>3.125</v>
      </c>
      <c r="BJ215" s="48">
        <v>0</v>
      </c>
      <c r="BK215" s="49">
        <v>0</v>
      </c>
      <c r="BL215" s="48">
        <v>30</v>
      </c>
      <c r="BM215" s="49">
        <v>93.75</v>
      </c>
      <c r="BN215" s="48">
        <v>32</v>
      </c>
    </row>
    <row r="216" spans="1:66" ht="15">
      <c r="A216" s="66" t="s">
        <v>472</v>
      </c>
      <c r="B216" s="66" t="s">
        <v>534</v>
      </c>
      <c r="C216" s="67" t="s">
        <v>3149</v>
      </c>
      <c r="D216" s="68">
        <v>4</v>
      </c>
      <c r="E216" s="69" t="s">
        <v>132</v>
      </c>
      <c r="F216" s="70">
        <v>30</v>
      </c>
      <c r="G216" s="67"/>
      <c r="H216" s="71"/>
      <c r="I216" s="72"/>
      <c r="J216" s="72"/>
      <c r="K216" s="34" t="s">
        <v>65</v>
      </c>
      <c r="L216" s="79">
        <v>216</v>
      </c>
      <c r="M216" s="79"/>
      <c r="N216" s="74"/>
      <c r="O216" s="81" t="s">
        <v>588</v>
      </c>
      <c r="P216" s="83">
        <v>44005.10979166667</v>
      </c>
      <c r="Q216" s="81" t="s">
        <v>611</v>
      </c>
      <c r="R216" s="81"/>
      <c r="S216" s="81"/>
      <c r="T216" s="81" t="s">
        <v>711</v>
      </c>
      <c r="U216" s="81"/>
      <c r="V216" s="84" t="str">
        <f>HYPERLINK("http://pbs.twimg.com/profile_images/1148347541903355904/S-njLugd_normal.png")</f>
        <v>http://pbs.twimg.com/profile_images/1148347541903355904/S-njLugd_normal.png</v>
      </c>
      <c r="W216" s="83">
        <v>44005.10979166667</v>
      </c>
      <c r="X216" s="87">
        <v>44005</v>
      </c>
      <c r="Y216" s="89" t="s">
        <v>839</v>
      </c>
      <c r="Z216" s="84" t="str">
        <f>HYPERLINK("https://twitter.com/grasiel_grasel/status/1275256788049367040")</f>
        <v>https://twitter.com/grasiel_grasel/status/1275256788049367040</v>
      </c>
      <c r="AA216" s="81"/>
      <c r="AB216" s="81"/>
      <c r="AC216" s="89" t="s">
        <v>1048</v>
      </c>
      <c r="AD216" s="81"/>
      <c r="AE216" s="81" t="b">
        <v>0</v>
      </c>
      <c r="AF216" s="81">
        <v>0</v>
      </c>
      <c r="AG216" s="89" t="s">
        <v>1149</v>
      </c>
      <c r="AH216" s="81" t="b">
        <v>0</v>
      </c>
      <c r="AI216" s="81" t="s">
        <v>1150</v>
      </c>
      <c r="AJ216" s="81"/>
      <c r="AK216" s="89" t="s">
        <v>1149</v>
      </c>
      <c r="AL216" s="81" t="b">
        <v>0</v>
      </c>
      <c r="AM216" s="81">
        <v>23</v>
      </c>
      <c r="AN216" s="89" t="s">
        <v>1139</v>
      </c>
      <c r="AO216" s="81" t="s">
        <v>1172</v>
      </c>
      <c r="AP216" s="81" t="b">
        <v>0</v>
      </c>
      <c r="AQ216" s="89" t="s">
        <v>1139</v>
      </c>
      <c r="AR216" s="81" t="s">
        <v>325</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4</v>
      </c>
      <c r="BF216" s="48"/>
      <c r="BG216" s="49"/>
      <c r="BH216" s="48"/>
      <c r="BI216" s="49"/>
      <c r="BJ216" s="48"/>
      <c r="BK216" s="49"/>
      <c r="BL216" s="48"/>
      <c r="BM216" s="49"/>
      <c r="BN216" s="48"/>
    </row>
    <row r="217" spans="1:66" ht="15">
      <c r="A217" s="66" t="s">
        <v>472</v>
      </c>
      <c r="B217" s="66" t="s">
        <v>511</v>
      </c>
      <c r="C217" s="67" t="s">
        <v>3149</v>
      </c>
      <c r="D217" s="68">
        <v>4</v>
      </c>
      <c r="E217" s="69" t="s">
        <v>132</v>
      </c>
      <c r="F217" s="70">
        <v>30</v>
      </c>
      <c r="G217" s="67"/>
      <c r="H217" s="71"/>
      <c r="I217" s="72"/>
      <c r="J217" s="72"/>
      <c r="K217" s="34" t="s">
        <v>65</v>
      </c>
      <c r="L217" s="79">
        <v>217</v>
      </c>
      <c r="M217" s="79"/>
      <c r="N217" s="74"/>
      <c r="O217" s="81" t="s">
        <v>586</v>
      </c>
      <c r="P217" s="83">
        <v>44005.10979166667</v>
      </c>
      <c r="Q217" s="81" t="s">
        <v>611</v>
      </c>
      <c r="R217" s="81"/>
      <c r="S217" s="81"/>
      <c r="T217" s="81" t="s">
        <v>711</v>
      </c>
      <c r="U217" s="81"/>
      <c r="V217" s="84" t="str">
        <f>HYPERLINK("http://pbs.twimg.com/profile_images/1148347541903355904/S-njLugd_normal.png")</f>
        <v>http://pbs.twimg.com/profile_images/1148347541903355904/S-njLugd_normal.png</v>
      </c>
      <c r="W217" s="83">
        <v>44005.10979166667</v>
      </c>
      <c r="X217" s="87">
        <v>44005</v>
      </c>
      <c r="Y217" s="89" t="s">
        <v>839</v>
      </c>
      <c r="Z217" s="84" t="str">
        <f>HYPERLINK("https://twitter.com/grasiel_grasel/status/1275256788049367040")</f>
        <v>https://twitter.com/grasiel_grasel/status/1275256788049367040</v>
      </c>
      <c r="AA217" s="81"/>
      <c r="AB217" s="81"/>
      <c r="AC217" s="89" t="s">
        <v>1048</v>
      </c>
      <c r="AD217" s="81"/>
      <c r="AE217" s="81" t="b">
        <v>0</v>
      </c>
      <c r="AF217" s="81">
        <v>0</v>
      </c>
      <c r="AG217" s="89" t="s">
        <v>1149</v>
      </c>
      <c r="AH217" s="81" t="b">
        <v>0</v>
      </c>
      <c r="AI217" s="81" t="s">
        <v>1150</v>
      </c>
      <c r="AJ217" s="81"/>
      <c r="AK217" s="89" t="s">
        <v>1149</v>
      </c>
      <c r="AL217" s="81" t="b">
        <v>0</v>
      </c>
      <c r="AM217" s="81">
        <v>23</v>
      </c>
      <c r="AN217" s="89" t="s">
        <v>1139</v>
      </c>
      <c r="AO217" s="81" t="s">
        <v>1172</v>
      </c>
      <c r="AP217" s="81" t="b">
        <v>0</v>
      </c>
      <c r="AQ217" s="89" t="s">
        <v>1139</v>
      </c>
      <c r="AR217" s="81" t="s">
        <v>325</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4</v>
      </c>
      <c r="BF217" s="48">
        <v>1</v>
      </c>
      <c r="BG217" s="49">
        <v>3.125</v>
      </c>
      <c r="BH217" s="48">
        <v>1</v>
      </c>
      <c r="BI217" s="49">
        <v>3.125</v>
      </c>
      <c r="BJ217" s="48">
        <v>0</v>
      </c>
      <c r="BK217" s="49">
        <v>0</v>
      </c>
      <c r="BL217" s="48">
        <v>30</v>
      </c>
      <c r="BM217" s="49">
        <v>93.75</v>
      </c>
      <c r="BN217" s="48">
        <v>32</v>
      </c>
    </row>
    <row r="218" spans="1:66" ht="15">
      <c r="A218" s="66" t="s">
        <v>473</v>
      </c>
      <c r="B218" s="66" t="s">
        <v>536</v>
      </c>
      <c r="C218" s="67" t="s">
        <v>3149</v>
      </c>
      <c r="D218" s="68">
        <v>4</v>
      </c>
      <c r="E218" s="69" t="s">
        <v>132</v>
      </c>
      <c r="F218" s="70">
        <v>30</v>
      </c>
      <c r="G218" s="67"/>
      <c r="H218" s="71"/>
      <c r="I218" s="72"/>
      <c r="J218" s="72"/>
      <c r="K218" s="34" t="s">
        <v>65</v>
      </c>
      <c r="L218" s="79">
        <v>218</v>
      </c>
      <c r="M218" s="79"/>
      <c r="N218" s="74"/>
      <c r="O218" s="81" t="s">
        <v>587</v>
      </c>
      <c r="P218" s="83">
        <v>44004.070555555554</v>
      </c>
      <c r="Q218" s="81" t="s">
        <v>620</v>
      </c>
      <c r="R218" s="84" t="str">
        <f>HYPERLINK("https://twitter.com/i/web/status/1274865131990790146")</f>
        <v>https://twitter.com/i/web/status/1274865131990790146</v>
      </c>
      <c r="S218" s="81" t="s">
        <v>676</v>
      </c>
      <c r="T218" s="81" t="s">
        <v>717</v>
      </c>
      <c r="U218" s="81"/>
      <c r="V218" s="84" t="str">
        <f>HYPERLINK("http://pbs.twimg.com/profile_images/953436802110623744/NK6Q5dVg_normal.jpg")</f>
        <v>http://pbs.twimg.com/profile_images/953436802110623744/NK6Q5dVg_normal.jpg</v>
      </c>
      <c r="W218" s="83">
        <v>44004.070555555554</v>
      </c>
      <c r="X218" s="87">
        <v>44004</v>
      </c>
      <c r="Y218" s="89" t="s">
        <v>840</v>
      </c>
      <c r="Z218" s="84" t="str">
        <f>HYPERLINK("https://twitter.com/jornalismodados/status/1274880183955308545")</f>
        <v>https://twitter.com/jornalismodados/status/1274880183955308545</v>
      </c>
      <c r="AA218" s="81"/>
      <c r="AB218" s="81"/>
      <c r="AC218" s="89" t="s">
        <v>1049</v>
      </c>
      <c r="AD218" s="81"/>
      <c r="AE218" s="81" t="b">
        <v>0</v>
      </c>
      <c r="AF218" s="81">
        <v>0</v>
      </c>
      <c r="AG218" s="89" t="s">
        <v>1149</v>
      </c>
      <c r="AH218" s="81" t="b">
        <v>0</v>
      </c>
      <c r="AI218" s="81" t="s">
        <v>1155</v>
      </c>
      <c r="AJ218" s="81"/>
      <c r="AK218" s="89" t="s">
        <v>1149</v>
      </c>
      <c r="AL218" s="81" t="b">
        <v>0</v>
      </c>
      <c r="AM218" s="81">
        <v>0</v>
      </c>
      <c r="AN218" s="89" t="s">
        <v>1149</v>
      </c>
      <c r="AO218" s="81" t="s">
        <v>1180</v>
      </c>
      <c r="AP218" s="81" t="b">
        <v>0</v>
      </c>
      <c r="AQ218" s="89" t="s">
        <v>1049</v>
      </c>
      <c r="AR218" s="81" t="s">
        <v>325</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8"/>
      <c r="BG218" s="49"/>
      <c r="BH218" s="48"/>
      <c r="BI218" s="49"/>
      <c r="BJ218" s="48"/>
      <c r="BK218" s="49"/>
      <c r="BL218" s="48"/>
      <c r="BM218" s="49"/>
      <c r="BN218" s="48"/>
    </row>
    <row r="219" spans="1:66" ht="15">
      <c r="A219" s="66" t="s">
        <v>473</v>
      </c>
      <c r="B219" s="66" t="s">
        <v>537</v>
      </c>
      <c r="C219" s="67" t="s">
        <v>3149</v>
      </c>
      <c r="D219" s="68">
        <v>4</v>
      </c>
      <c r="E219" s="69" t="s">
        <v>132</v>
      </c>
      <c r="F219" s="70">
        <v>30</v>
      </c>
      <c r="G219" s="67"/>
      <c r="H219" s="71"/>
      <c r="I219" s="72"/>
      <c r="J219" s="72"/>
      <c r="K219" s="34" t="s">
        <v>65</v>
      </c>
      <c r="L219" s="79">
        <v>219</v>
      </c>
      <c r="M219" s="79"/>
      <c r="N219" s="74"/>
      <c r="O219" s="81" t="s">
        <v>587</v>
      </c>
      <c r="P219" s="83">
        <v>44004.070555555554</v>
      </c>
      <c r="Q219" s="81" t="s">
        <v>620</v>
      </c>
      <c r="R219" s="84" t="str">
        <f>HYPERLINK("https://twitter.com/i/web/status/1274865131990790146")</f>
        <v>https://twitter.com/i/web/status/1274865131990790146</v>
      </c>
      <c r="S219" s="81" t="s">
        <v>676</v>
      </c>
      <c r="T219" s="81" t="s">
        <v>717</v>
      </c>
      <c r="U219" s="81"/>
      <c r="V219" s="84" t="str">
        <f>HYPERLINK("http://pbs.twimg.com/profile_images/953436802110623744/NK6Q5dVg_normal.jpg")</f>
        <v>http://pbs.twimg.com/profile_images/953436802110623744/NK6Q5dVg_normal.jpg</v>
      </c>
      <c r="W219" s="83">
        <v>44004.070555555554</v>
      </c>
      <c r="X219" s="87">
        <v>44004</v>
      </c>
      <c r="Y219" s="89" t="s">
        <v>840</v>
      </c>
      <c r="Z219" s="84" t="str">
        <f>HYPERLINK("https://twitter.com/jornalismodados/status/1274880183955308545")</f>
        <v>https://twitter.com/jornalismodados/status/1274880183955308545</v>
      </c>
      <c r="AA219" s="81"/>
      <c r="AB219" s="81"/>
      <c r="AC219" s="89" t="s">
        <v>1049</v>
      </c>
      <c r="AD219" s="81"/>
      <c r="AE219" s="81" t="b">
        <v>0</v>
      </c>
      <c r="AF219" s="81">
        <v>0</v>
      </c>
      <c r="AG219" s="89" t="s">
        <v>1149</v>
      </c>
      <c r="AH219" s="81" t="b">
        <v>0</v>
      </c>
      <c r="AI219" s="81" t="s">
        <v>1155</v>
      </c>
      <c r="AJ219" s="81"/>
      <c r="AK219" s="89" t="s">
        <v>1149</v>
      </c>
      <c r="AL219" s="81" t="b">
        <v>0</v>
      </c>
      <c r="AM219" s="81">
        <v>0</v>
      </c>
      <c r="AN219" s="89" t="s">
        <v>1149</v>
      </c>
      <c r="AO219" s="81" t="s">
        <v>1180</v>
      </c>
      <c r="AP219" s="81" t="b">
        <v>0</v>
      </c>
      <c r="AQ219" s="89" t="s">
        <v>1049</v>
      </c>
      <c r="AR219" s="81" t="s">
        <v>325</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8"/>
      <c r="BG219" s="49"/>
      <c r="BH219" s="48"/>
      <c r="BI219" s="49"/>
      <c r="BJ219" s="48"/>
      <c r="BK219" s="49"/>
      <c r="BL219" s="48"/>
      <c r="BM219" s="49"/>
      <c r="BN219" s="48"/>
    </row>
    <row r="220" spans="1:66" ht="15">
      <c r="A220" s="66" t="s">
        <v>473</v>
      </c>
      <c r="B220" s="66" t="s">
        <v>538</v>
      </c>
      <c r="C220" s="67" t="s">
        <v>3149</v>
      </c>
      <c r="D220" s="68">
        <v>4</v>
      </c>
      <c r="E220" s="69" t="s">
        <v>132</v>
      </c>
      <c r="F220" s="70">
        <v>30</v>
      </c>
      <c r="G220" s="67"/>
      <c r="H220" s="71"/>
      <c r="I220" s="72"/>
      <c r="J220" s="72"/>
      <c r="K220" s="34" t="s">
        <v>65</v>
      </c>
      <c r="L220" s="79">
        <v>220</v>
      </c>
      <c r="M220" s="79"/>
      <c r="N220" s="74"/>
      <c r="O220" s="81" t="s">
        <v>587</v>
      </c>
      <c r="P220" s="83">
        <v>44004.070555555554</v>
      </c>
      <c r="Q220" s="81" t="s">
        <v>620</v>
      </c>
      <c r="R220" s="84" t="str">
        <f>HYPERLINK("https://twitter.com/i/web/status/1274865131990790146")</f>
        <v>https://twitter.com/i/web/status/1274865131990790146</v>
      </c>
      <c r="S220" s="81" t="s">
        <v>676</v>
      </c>
      <c r="T220" s="81" t="s">
        <v>717</v>
      </c>
      <c r="U220" s="81"/>
      <c r="V220" s="84" t="str">
        <f>HYPERLINK("http://pbs.twimg.com/profile_images/953436802110623744/NK6Q5dVg_normal.jpg")</f>
        <v>http://pbs.twimg.com/profile_images/953436802110623744/NK6Q5dVg_normal.jpg</v>
      </c>
      <c r="W220" s="83">
        <v>44004.070555555554</v>
      </c>
      <c r="X220" s="87">
        <v>44004</v>
      </c>
      <c r="Y220" s="89" t="s">
        <v>840</v>
      </c>
      <c r="Z220" s="84" t="str">
        <f>HYPERLINK("https://twitter.com/jornalismodados/status/1274880183955308545")</f>
        <v>https://twitter.com/jornalismodados/status/1274880183955308545</v>
      </c>
      <c r="AA220" s="81"/>
      <c r="AB220" s="81"/>
      <c r="AC220" s="89" t="s">
        <v>1049</v>
      </c>
      <c r="AD220" s="81"/>
      <c r="AE220" s="81" t="b">
        <v>0</v>
      </c>
      <c r="AF220" s="81">
        <v>0</v>
      </c>
      <c r="AG220" s="89" t="s">
        <v>1149</v>
      </c>
      <c r="AH220" s="81" t="b">
        <v>0</v>
      </c>
      <c r="AI220" s="81" t="s">
        <v>1155</v>
      </c>
      <c r="AJ220" s="81"/>
      <c r="AK220" s="89" t="s">
        <v>1149</v>
      </c>
      <c r="AL220" s="81" t="b">
        <v>0</v>
      </c>
      <c r="AM220" s="81">
        <v>0</v>
      </c>
      <c r="AN220" s="89" t="s">
        <v>1149</v>
      </c>
      <c r="AO220" s="81" t="s">
        <v>1180</v>
      </c>
      <c r="AP220" s="81" t="b">
        <v>0</v>
      </c>
      <c r="AQ220" s="89" t="s">
        <v>1049</v>
      </c>
      <c r="AR220" s="81" t="s">
        <v>325</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8">
        <v>0</v>
      </c>
      <c r="BG220" s="49">
        <v>0</v>
      </c>
      <c r="BH220" s="48">
        <v>0</v>
      </c>
      <c r="BI220" s="49">
        <v>0</v>
      </c>
      <c r="BJ220" s="48">
        <v>0</v>
      </c>
      <c r="BK220" s="49">
        <v>0</v>
      </c>
      <c r="BL220" s="48">
        <v>25</v>
      </c>
      <c r="BM220" s="49">
        <v>100</v>
      </c>
      <c r="BN220" s="48">
        <v>25</v>
      </c>
    </row>
    <row r="221" spans="1:66" ht="15">
      <c r="A221" s="66" t="s">
        <v>473</v>
      </c>
      <c r="B221" s="66" t="s">
        <v>539</v>
      </c>
      <c r="C221" s="67" t="s">
        <v>3150</v>
      </c>
      <c r="D221" s="68">
        <v>10</v>
      </c>
      <c r="E221" s="69" t="s">
        <v>132</v>
      </c>
      <c r="F221" s="70">
        <v>10</v>
      </c>
      <c r="G221" s="67"/>
      <c r="H221" s="71"/>
      <c r="I221" s="72"/>
      <c r="J221" s="72"/>
      <c r="K221" s="34" t="s">
        <v>65</v>
      </c>
      <c r="L221" s="79">
        <v>221</v>
      </c>
      <c r="M221" s="79"/>
      <c r="N221" s="74"/>
      <c r="O221" s="81" t="s">
        <v>587</v>
      </c>
      <c r="P221" s="83">
        <v>44004.1121875</v>
      </c>
      <c r="Q221" s="81" t="s">
        <v>621</v>
      </c>
      <c r="R221" s="84" t="str">
        <f>HYPERLINK("https://twitter.com/_danielmariani/status/1274701756069556225")</f>
        <v>https://twitter.com/_danielmariani/status/1274701756069556225</v>
      </c>
      <c r="S221" s="81" t="s">
        <v>676</v>
      </c>
      <c r="T221" s="81" t="s">
        <v>707</v>
      </c>
      <c r="U221" s="81"/>
      <c r="V221" s="84" t="str">
        <f>HYPERLINK("http://pbs.twimg.com/profile_images/953436802110623744/NK6Q5dVg_normal.jpg")</f>
        <v>http://pbs.twimg.com/profile_images/953436802110623744/NK6Q5dVg_normal.jpg</v>
      </c>
      <c r="W221" s="83">
        <v>44004.1121875</v>
      </c>
      <c r="X221" s="87">
        <v>44004</v>
      </c>
      <c r="Y221" s="89" t="s">
        <v>841</v>
      </c>
      <c r="Z221" s="84" t="str">
        <f>HYPERLINK("https://twitter.com/jornalismodados/status/1274895269319118848")</f>
        <v>https://twitter.com/jornalismodados/status/1274895269319118848</v>
      </c>
      <c r="AA221" s="81"/>
      <c r="AB221" s="81"/>
      <c r="AC221" s="89" t="s">
        <v>1050</v>
      </c>
      <c r="AD221" s="81"/>
      <c r="AE221" s="81" t="b">
        <v>0</v>
      </c>
      <c r="AF221" s="81">
        <v>0</v>
      </c>
      <c r="AG221" s="89" t="s">
        <v>1149</v>
      </c>
      <c r="AH221" s="81" t="b">
        <v>1</v>
      </c>
      <c r="AI221" s="81" t="s">
        <v>1155</v>
      </c>
      <c r="AJ221" s="81"/>
      <c r="AK221" s="89" t="s">
        <v>1162</v>
      </c>
      <c r="AL221" s="81" t="b">
        <v>0</v>
      </c>
      <c r="AM221" s="81">
        <v>0</v>
      </c>
      <c r="AN221" s="89" t="s">
        <v>1149</v>
      </c>
      <c r="AO221" s="81" t="s">
        <v>1180</v>
      </c>
      <c r="AP221" s="81" t="b">
        <v>0</v>
      </c>
      <c r="AQ221" s="89" t="s">
        <v>1050</v>
      </c>
      <c r="AR221" s="81" t="s">
        <v>325</v>
      </c>
      <c r="AS221" s="81">
        <v>0</v>
      </c>
      <c r="AT221" s="81">
        <v>0</v>
      </c>
      <c r="AU221" s="81"/>
      <c r="AV221" s="81"/>
      <c r="AW221" s="81"/>
      <c r="AX221" s="81"/>
      <c r="AY221" s="81"/>
      <c r="AZ221" s="81"/>
      <c r="BA221" s="81"/>
      <c r="BB221" s="81"/>
      <c r="BC221">
        <v>4</v>
      </c>
      <c r="BD221" s="80" t="str">
        <f>REPLACE(INDEX(GroupVertices[Group],MATCH(Edges[[#This Row],[Vertex 1]],GroupVertices[Vertex],0)),1,1,"")</f>
        <v>1</v>
      </c>
      <c r="BE221" s="80" t="str">
        <f>REPLACE(INDEX(GroupVertices[Group],MATCH(Edges[[#This Row],[Vertex 2]],GroupVertices[Vertex],0)),1,1,"")</f>
        <v>1</v>
      </c>
      <c r="BF221" s="48">
        <v>0</v>
      </c>
      <c r="BG221" s="49">
        <v>0</v>
      </c>
      <c r="BH221" s="48">
        <v>0</v>
      </c>
      <c r="BI221" s="49">
        <v>0</v>
      </c>
      <c r="BJ221" s="48">
        <v>0</v>
      </c>
      <c r="BK221" s="49">
        <v>0</v>
      </c>
      <c r="BL221" s="48">
        <v>18</v>
      </c>
      <c r="BM221" s="49">
        <v>100</v>
      </c>
      <c r="BN221" s="48">
        <v>18</v>
      </c>
    </row>
    <row r="222" spans="1:66" ht="15">
      <c r="A222" s="66" t="s">
        <v>473</v>
      </c>
      <c r="B222" s="66" t="s">
        <v>539</v>
      </c>
      <c r="C222" s="67" t="s">
        <v>3150</v>
      </c>
      <c r="D222" s="68">
        <v>10</v>
      </c>
      <c r="E222" s="69" t="s">
        <v>132</v>
      </c>
      <c r="F222" s="70">
        <v>10</v>
      </c>
      <c r="G222" s="67"/>
      <c r="H222" s="71"/>
      <c r="I222" s="72"/>
      <c r="J222" s="72"/>
      <c r="K222" s="34" t="s">
        <v>65</v>
      </c>
      <c r="L222" s="79">
        <v>222</v>
      </c>
      <c r="M222" s="79"/>
      <c r="N222" s="74"/>
      <c r="O222" s="81" t="s">
        <v>587</v>
      </c>
      <c r="P222" s="83">
        <v>44004.15385416667</v>
      </c>
      <c r="Q222" s="81" t="s">
        <v>622</v>
      </c>
      <c r="R222" s="84" t="str">
        <f>HYPERLINK("https://twitter.com/_danielmariani/status/1274701756069556225")</f>
        <v>https://twitter.com/_danielmariani/status/1274701756069556225</v>
      </c>
      <c r="S222" s="81" t="s">
        <v>676</v>
      </c>
      <c r="T222" s="81" t="s">
        <v>718</v>
      </c>
      <c r="U222" s="81"/>
      <c r="V222" s="84" t="str">
        <f>HYPERLINK("http://pbs.twimg.com/profile_images/953436802110623744/NK6Q5dVg_normal.jpg")</f>
        <v>http://pbs.twimg.com/profile_images/953436802110623744/NK6Q5dVg_normal.jpg</v>
      </c>
      <c r="W222" s="83">
        <v>44004.15385416667</v>
      </c>
      <c r="X222" s="87">
        <v>44004</v>
      </c>
      <c r="Y222" s="89" t="s">
        <v>842</v>
      </c>
      <c r="Z222" s="84" t="str">
        <f>HYPERLINK("https://twitter.com/jornalismodados/status/1274910369551724547")</f>
        <v>https://twitter.com/jornalismodados/status/1274910369551724547</v>
      </c>
      <c r="AA222" s="81"/>
      <c r="AB222" s="81"/>
      <c r="AC222" s="89" t="s">
        <v>1051</v>
      </c>
      <c r="AD222" s="81"/>
      <c r="AE222" s="81" t="b">
        <v>0</v>
      </c>
      <c r="AF222" s="81">
        <v>0</v>
      </c>
      <c r="AG222" s="89" t="s">
        <v>1149</v>
      </c>
      <c r="AH222" s="81" t="b">
        <v>1</v>
      </c>
      <c r="AI222" s="81" t="s">
        <v>1155</v>
      </c>
      <c r="AJ222" s="81"/>
      <c r="AK222" s="89" t="s">
        <v>1162</v>
      </c>
      <c r="AL222" s="81" t="b">
        <v>0</v>
      </c>
      <c r="AM222" s="81">
        <v>0</v>
      </c>
      <c r="AN222" s="89" t="s">
        <v>1149</v>
      </c>
      <c r="AO222" s="81" t="s">
        <v>1180</v>
      </c>
      <c r="AP222" s="81" t="b">
        <v>0</v>
      </c>
      <c r="AQ222" s="89" t="s">
        <v>1051</v>
      </c>
      <c r="AR222" s="81" t="s">
        <v>325</v>
      </c>
      <c r="AS222" s="81">
        <v>0</v>
      </c>
      <c r="AT222" s="81">
        <v>0</v>
      </c>
      <c r="AU222" s="81"/>
      <c r="AV222" s="81"/>
      <c r="AW222" s="81"/>
      <c r="AX222" s="81"/>
      <c r="AY222" s="81"/>
      <c r="AZ222" s="81"/>
      <c r="BA222" s="81"/>
      <c r="BB222" s="81"/>
      <c r="BC222">
        <v>4</v>
      </c>
      <c r="BD222" s="80" t="str">
        <f>REPLACE(INDEX(GroupVertices[Group],MATCH(Edges[[#This Row],[Vertex 1]],GroupVertices[Vertex],0)),1,1,"")</f>
        <v>1</v>
      </c>
      <c r="BE222" s="80" t="str">
        <f>REPLACE(INDEX(GroupVertices[Group],MATCH(Edges[[#This Row],[Vertex 2]],GroupVertices[Vertex],0)),1,1,"")</f>
        <v>1</v>
      </c>
      <c r="BF222" s="48">
        <v>0</v>
      </c>
      <c r="BG222" s="49">
        <v>0</v>
      </c>
      <c r="BH222" s="48">
        <v>0</v>
      </c>
      <c r="BI222" s="49">
        <v>0</v>
      </c>
      <c r="BJ222" s="48">
        <v>0</v>
      </c>
      <c r="BK222" s="49">
        <v>0</v>
      </c>
      <c r="BL222" s="48">
        <v>24</v>
      </c>
      <c r="BM222" s="49">
        <v>100</v>
      </c>
      <c r="BN222" s="48">
        <v>24</v>
      </c>
    </row>
    <row r="223" spans="1:66" ht="15">
      <c r="A223" s="66" t="s">
        <v>473</v>
      </c>
      <c r="B223" s="66" t="s">
        <v>539</v>
      </c>
      <c r="C223" s="67" t="s">
        <v>3150</v>
      </c>
      <c r="D223" s="68">
        <v>10</v>
      </c>
      <c r="E223" s="69" t="s">
        <v>132</v>
      </c>
      <c r="F223" s="70">
        <v>10</v>
      </c>
      <c r="G223" s="67"/>
      <c r="H223" s="71"/>
      <c r="I223" s="72"/>
      <c r="J223" s="72"/>
      <c r="K223" s="34" t="s">
        <v>65</v>
      </c>
      <c r="L223" s="79">
        <v>223</v>
      </c>
      <c r="M223" s="79"/>
      <c r="N223" s="74"/>
      <c r="O223" s="81" t="s">
        <v>587</v>
      </c>
      <c r="P223" s="83">
        <v>44004.19571759259</v>
      </c>
      <c r="Q223" s="81" t="s">
        <v>623</v>
      </c>
      <c r="R223" s="84" t="str">
        <f>HYPERLINK("https://twitter.com/i/web/status/1274910369551724547")</f>
        <v>https://twitter.com/i/web/status/1274910369551724547</v>
      </c>
      <c r="S223" s="81" t="s">
        <v>676</v>
      </c>
      <c r="T223" s="81" t="s">
        <v>717</v>
      </c>
      <c r="U223" s="81"/>
      <c r="V223" s="84" t="str">
        <f>HYPERLINK("http://pbs.twimg.com/profile_images/953436802110623744/NK6Q5dVg_normal.jpg")</f>
        <v>http://pbs.twimg.com/profile_images/953436802110623744/NK6Q5dVg_normal.jpg</v>
      </c>
      <c r="W223" s="83">
        <v>44004.19571759259</v>
      </c>
      <c r="X223" s="87">
        <v>44004</v>
      </c>
      <c r="Y223" s="89" t="s">
        <v>843</v>
      </c>
      <c r="Z223" s="84" t="str">
        <f>HYPERLINK("https://twitter.com/jornalismodados/status/1274925539954958337")</f>
        <v>https://twitter.com/jornalismodados/status/1274925539954958337</v>
      </c>
      <c r="AA223" s="81"/>
      <c r="AB223" s="81"/>
      <c r="AC223" s="89" t="s">
        <v>1052</v>
      </c>
      <c r="AD223" s="81"/>
      <c r="AE223" s="81" t="b">
        <v>0</v>
      </c>
      <c r="AF223" s="81">
        <v>0</v>
      </c>
      <c r="AG223" s="89" t="s">
        <v>1149</v>
      </c>
      <c r="AH223" s="81" t="b">
        <v>0</v>
      </c>
      <c r="AI223" s="81" t="s">
        <v>1155</v>
      </c>
      <c r="AJ223" s="81"/>
      <c r="AK223" s="89" t="s">
        <v>1149</v>
      </c>
      <c r="AL223" s="81" t="b">
        <v>0</v>
      </c>
      <c r="AM223" s="81">
        <v>0</v>
      </c>
      <c r="AN223" s="89" t="s">
        <v>1149</v>
      </c>
      <c r="AO223" s="81" t="s">
        <v>1180</v>
      </c>
      <c r="AP223" s="81" t="b">
        <v>0</v>
      </c>
      <c r="AQ223" s="89" t="s">
        <v>1052</v>
      </c>
      <c r="AR223" s="81" t="s">
        <v>325</v>
      </c>
      <c r="AS223" s="81">
        <v>0</v>
      </c>
      <c r="AT223" s="81">
        <v>0</v>
      </c>
      <c r="AU223" s="81"/>
      <c r="AV223" s="81"/>
      <c r="AW223" s="81"/>
      <c r="AX223" s="81"/>
      <c r="AY223" s="81"/>
      <c r="AZ223" s="81"/>
      <c r="BA223" s="81"/>
      <c r="BB223" s="81"/>
      <c r="BC223">
        <v>4</v>
      </c>
      <c r="BD223" s="80" t="str">
        <f>REPLACE(INDEX(GroupVertices[Group],MATCH(Edges[[#This Row],[Vertex 1]],GroupVertices[Vertex],0)),1,1,"")</f>
        <v>1</v>
      </c>
      <c r="BE223" s="80" t="str">
        <f>REPLACE(INDEX(GroupVertices[Group],MATCH(Edges[[#This Row],[Vertex 2]],GroupVertices[Vertex],0)),1,1,"")</f>
        <v>1</v>
      </c>
      <c r="BF223" s="48">
        <v>0</v>
      </c>
      <c r="BG223" s="49">
        <v>0</v>
      </c>
      <c r="BH223" s="48">
        <v>0</v>
      </c>
      <c r="BI223" s="49">
        <v>0</v>
      </c>
      <c r="BJ223" s="48">
        <v>0</v>
      </c>
      <c r="BK223" s="49">
        <v>0</v>
      </c>
      <c r="BL223" s="48">
        <v>28</v>
      </c>
      <c r="BM223" s="49">
        <v>100</v>
      </c>
      <c r="BN223" s="48">
        <v>28</v>
      </c>
    </row>
    <row r="224" spans="1:66" ht="15">
      <c r="A224" s="66" t="s">
        <v>473</v>
      </c>
      <c r="B224" s="66" t="s">
        <v>539</v>
      </c>
      <c r="C224" s="67" t="s">
        <v>3150</v>
      </c>
      <c r="D224" s="68">
        <v>10</v>
      </c>
      <c r="E224" s="69" t="s">
        <v>132</v>
      </c>
      <c r="F224" s="70">
        <v>10</v>
      </c>
      <c r="G224" s="67"/>
      <c r="H224" s="71"/>
      <c r="I224" s="72"/>
      <c r="J224" s="72"/>
      <c r="K224" s="34" t="s">
        <v>65</v>
      </c>
      <c r="L224" s="79">
        <v>224</v>
      </c>
      <c r="M224" s="79"/>
      <c r="N224" s="74"/>
      <c r="O224" s="81" t="s">
        <v>587</v>
      </c>
      <c r="P224" s="83">
        <v>44004.2371875</v>
      </c>
      <c r="Q224" s="81" t="s">
        <v>624</v>
      </c>
      <c r="R224" s="84" t="str">
        <f>HYPERLINK("https://twitter.com/i/web/status/1274925539954958337")</f>
        <v>https://twitter.com/i/web/status/1274925539954958337</v>
      </c>
      <c r="S224" s="81" t="s">
        <v>676</v>
      </c>
      <c r="T224" s="81" t="s">
        <v>719</v>
      </c>
      <c r="U224" s="81"/>
      <c r="V224" s="84" t="str">
        <f>HYPERLINK("http://pbs.twimg.com/profile_images/953436802110623744/NK6Q5dVg_normal.jpg")</f>
        <v>http://pbs.twimg.com/profile_images/953436802110623744/NK6Q5dVg_normal.jpg</v>
      </c>
      <c r="W224" s="83">
        <v>44004.2371875</v>
      </c>
      <c r="X224" s="87">
        <v>44004</v>
      </c>
      <c r="Y224" s="89" t="s">
        <v>844</v>
      </c>
      <c r="Z224" s="84" t="str">
        <f>HYPERLINK("https://twitter.com/jornalismodados/status/1274940568360095744")</f>
        <v>https://twitter.com/jornalismodados/status/1274940568360095744</v>
      </c>
      <c r="AA224" s="81"/>
      <c r="AB224" s="81"/>
      <c r="AC224" s="89" t="s">
        <v>1053</v>
      </c>
      <c r="AD224" s="81"/>
      <c r="AE224" s="81" t="b">
        <v>0</v>
      </c>
      <c r="AF224" s="81">
        <v>0</v>
      </c>
      <c r="AG224" s="89" t="s">
        <v>1149</v>
      </c>
      <c r="AH224" s="81" t="b">
        <v>0</v>
      </c>
      <c r="AI224" s="81" t="s">
        <v>1155</v>
      </c>
      <c r="AJ224" s="81"/>
      <c r="AK224" s="89" t="s">
        <v>1149</v>
      </c>
      <c r="AL224" s="81" t="b">
        <v>0</v>
      </c>
      <c r="AM224" s="81">
        <v>0</v>
      </c>
      <c r="AN224" s="89" t="s">
        <v>1149</v>
      </c>
      <c r="AO224" s="81" t="s">
        <v>1180</v>
      </c>
      <c r="AP224" s="81" t="b">
        <v>0</v>
      </c>
      <c r="AQ224" s="89" t="s">
        <v>1053</v>
      </c>
      <c r="AR224" s="81" t="s">
        <v>325</v>
      </c>
      <c r="AS224" s="81">
        <v>0</v>
      </c>
      <c r="AT224" s="81">
        <v>0</v>
      </c>
      <c r="AU224" s="81"/>
      <c r="AV224" s="81"/>
      <c r="AW224" s="81"/>
      <c r="AX224" s="81"/>
      <c r="AY224" s="81"/>
      <c r="AZ224" s="81"/>
      <c r="BA224" s="81"/>
      <c r="BB224" s="81"/>
      <c r="BC224">
        <v>4</v>
      </c>
      <c r="BD224" s="80" t="str">
        <f>REPLACE(INDEX(GroupVertices[Group],MATCH(Edges[[#This Row],[Vertex 1]],GroupVertices[Vertex],0)),1,1,"")</f>
        <v>1</v>
      </c>
      <c r="BE224" s="80" t="str">
        <f>REPLACE(INDEX(GroupVertices[Group],MATCH(Edges[[#This Row],[Vertex 2]],GroupVertices[Vertex],0)),1,1,"")</f>
        <v>1</v>
      </c>
      <c r="BF224" s="48">
        <v>0</v>
      </c>
      <c r="BG224" s="49">
        <v>0</v>
      </c>
      <c r="BH224" s="48">
        <v>0</v>
      </c>
      <c r="BI224" s="49">
        <v>0</v>
      </c>
      <c r="BJ224" s="48">
        <v>0</v>
      </c>
      <c r="BK224" s="49">
        <v>0</v>
      </c>
      <c r="BL224" s="48">
        <v>26</v>
      </c>
      <c r="BM224" s="49">
        <v>100</v>
      </c>
      <c r="BN224" s="48">
        <v>26</v>
      </c>
    </row>
    <row r="225" spans="1:66" ht="15">
      <c r="A225" s="66" t="s">
        <v>473</v>
      </c>
      <c r="B225" s="66" t="s">
        <v>540</v>
      </c>
      <c r="C225" s="67" t="s">
        <v>3149</v>
      </c>
      <c r="D225" s="68">
        <v>4</v>
      </c>
      <c r="E225" s="69" t="s">
        <v>132</v>
      </c>
      <c r="F225" s="70">
        <v>30</v>
      </c>
      <c r="G225" s="67"/>
      <c r="H225" s="71"/>
      <c r="I225" s="72"/>
      <c r="J225" s="72"/>
      <c r="K225" s="34" t="s">
        <v>65</v>
      </c>
      <c r="L225" s="79">
        <v>225</v>
      </c>
      <c r="M225" s="79"/>
      <c r="N225" s="74"/>
      <c r="O225" s="81" t="s">
        <v>587</v>
      </c>
      <c r="P225" s="83">
        <v>44004.4871875</v>
      </c>
      <c r="Q225" s="81" t="s">
        <v>625</v>
      </c>
      <c r="R225" s="84" t="str">
        <f>HYPERLINK("https://twitter.com/i/web/status/1275027326720450560")</f>
        <v>https://twitter.com/i/web/status/1275027326720450560</v>
      </c>
      <c r="S225" s="81" t="s">
        <v>676</v>
      </c>
      <c r="T225" s="81" t="s">
        <v>707</v>
      </c>
      <c r="U225" s="81"/>
      <c r="V225" s="84" t="str">
        <f>HYPERLINK("http://pbs.twimg.com/profile_images/953436802110623744/NK6Q5dVg_normal.jpg")</f>
        <v>http://pbs.twimg.com/profile_images/953436802110623744/NK6Q5dVg_normal.jpg</v>
      </c>
      <c r="W225" s="83">
        <v>44004.4871875</v>
      </c>
      <c r="X225" s="87">
        <v>44004</v>
      </c>
      <c r="Y225" s="89" t="s">
        <v>845</v>
      </c>
      <c r="Z225" s="84" t="str">
        <f>HYPERLINK("https://twitter.com/jornalismodados/status/1275031165020274690")</f>
        <v>https://twitter.com/jornalismodados/status/1275031165020274690</v>
      </c>
      <c r="AA225" s="81"/>
      <c r="AB225" s="81"/>
      <c r="AC225" s="89" t="s">
        <v>1054</v>
      </c>
      <c r="AD225" s="81"/>
      <c r="AE225" s="81" t="b">
        <v>0</v>
      </c>
      <c r="AF225" s="81">
        <v>1</v>
      </c>
      <c r="AG225" s="89" t="s">
        <v>1149</v>
      </c>
      <c r="AH225" s="81" t="b">
        <v>0</v>
      </c>
      <c r="AI225" s="81" t="s">
        <v>1155</v>
      </c>
      <c r="AJ225" s="81"/>
      <c r="AK225" s="89" t="s">
        <v>1149</v>
      </c>
      <c r="AL225" s="81" t="b">
        <v>0</v>
      </c>
      <c r="AM225" s="81">
        <v>0</v>
      </c>
      <c r="AN225" s="89" t="s">
        <v>1149</v>
      </c>
      <c r="AO225" s="81" t="s">
        <v>1180</v>
      </c>
      <c r="AP225" s="81" t="b">
        <v>0</v>
      </c>
      <c r="AQ225" s="89" t="s">
        <v>1054</v>
      </c>
      <c r="AR225" s="81" t="s">
        <v>325</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8"/>
      <c r="BG225" s="49"/>
      <c r="BH225" s="48"/>
      <c r="BI225" s="49"/>
      <c r="BJ225" s="48"/>
      <c r="BK225" s="49"/>
      <c r="BL225" s="48"/>
      <c r="BM225" s="49"/>
      <c r="BN225" s="48"/>
    </row>
    <row r="226" spans="1:66" ht="15">
      <c r="A226" s="66" t="s">
        <v>473</v>
      </c>
      <c r="B226" s="66" t="s">
        <v>541</v>
      </c>
      <c r="C226" s="67" t="s">
        <v>3149</v>
      </c>
      <c r="D226" s="68">
        <v>4</v>
      </c>
      <c r="E226" s="69" t="s">
        <v>132</v>
      </c>
      <c r="F226" s="70">
        <v>30</v>
      </c>
      <c r="G226" s="67"/>
      <c r="H226" s="71"/>
      <c r="I226" s="72"/>
      <c r="J226" s="72"/>
      <c r="K226" s="34" t="s">
        <v>65</v>
      </c>
      <c r="L226" s="79">
        <v>226</v>
      </c>
      <c r="M226" s="79"/>
      <c r="N226" s="74"/>
      <c r="O226" s="81" t="s">
        <v>587</v>
      </c>
      <c r="P226" s="83">
        <v>44004.4871875</v>
      </c>
      <c r="Q226" s="81" t="s">
        <v>625</v>
      </c>
      <c r="R226" s="84" t="str">
        <f>HYPERLINK("https://twitter.com/i/web/status/1275027326720450560")</f>
        <v>https://twitter.com/i/web/status/1275027326720450560</v>
      </c>
      <c r="S226" s="81" t="s">
        <v>676</v>
      </c>
      <c r="T226" s="81" t="s">
        <v>707</v>
      </c>
      <c r="U226" s="81"/>
      <c r="V226" s="84" t="str">
        <f>HYPERLINK("http://pbs.twimg.com/profile_images/953436802110623744/NK6Q5dVg_normal.jpg")</f>
        <v>http://pbs.twimg.com/profile_images/953436802110623744/NK6Q5dVg_normal.jpg</v>
      </c>
      <c r="W226" s="83">
        <v>44004.4871875</v>
      </c>
      <c r="X226" s="87">
        <v>44004</v>
      </c>
      <c r="Y226" s="89" t="s">
        <v>845</v>
      </c>
      <c r="Z226" s="84" t="str">
        <f>HYPERLINK("https://twitter.com/jornalismodados/status/1275031165020274690")</f>
        <v>https://twitter.com/jornalismodados/status/1275031165020274690</v>
      </c>
      <c r="AA226" s="81"/>
      <c r="AB226" s="81"/>
      <c r="AC226" s="89" t="s">
        <v>1054</v>
      </c>
      <c r="AD226" s="81"/>
      <c r="AE226" s="81" t="b">
        <v>0</v>
      </c>
      <c r="AF226" s="81">
        <v>1</v>
      </c>
      <c r="AG226" s="89" t="s">
        <v>1149</v>
      </c>
      <c r="AH226" s="81" t="b">
        <v>0</v>
      </c>
      <c r="AI226" s="81" t="s">
        <v>1155</v>
      </c>
      <c r="AJ226" s="81"/>
      <c r="AK226" s="89" t="s">
        <v>1149</v>
      </c>
      <c r="AL226" s="81" t="b">
        <v>0</v>
      </c>
      <c r="AM226" s="81">
        <v>0</v>
      </c>
      <c r="AN226" s="89" t="s">
        <v>1149</v>
      </c>
      <c r="AO226" s="81" t="s">
        <v>1180</v>
      </c>
      <c r="AP226" s="81" t="b">
        <v>0</v>
      </c>
      <c r="AQ226" s="89" t="s">
        <v>1054</v>
      </c>
      <c r="AR226" s="81" t="s">
        <v>325</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8"/>
      <c r="BG226" s="49"/>
      <c r="BH226" s="48"/>
      <c r="BI226" s="49"/>
      <c r="BJ226" s="48"/>
      <c r="BK226" s="49"/>
      <c r="BL226" s="48"/>
      <c r="BM226" s="49"/>
      <c r="BN226" s="48"/>
    </row>
    <row r="227" spans="1:66" ht="15">
      <c r="A227" s="66" t="s">
        <v>473</v>
      </c>
      <c r="B227" s="66" t="s">
        <v>542</v>
      </c>
      <c r="C227" s="67" t="s">
        <v>3149</v>
      </c>
      <c r="D227" s="68">
        <v>4</v>
      </c>
      <c r="E227" s="69" t="s">
        <v>132</v>
      </c>
      <c r="F227" s="70">
        <v>30</v>
      </c>
      <c r="G227" s="67"/>
      <c r="H227" s="71"/>
      <c r="I227" s="72"/>
      <c r="J227" s="72"/>
      <c r="K227" s="34" t="s">
        <v>65</v>
      </c>
      <c r="L227" s="79">
        <v>227</v>
      </c>
      <c r="M227" s="79"/>
      <c r="N227" s="74"/>
      <c r="O227" s="81" t="s">
        <v>587</v>
      </c>
      <c r="P227" s="83">
        <v>44004.4871875</v>
      </c>
      <c r="Q227" s="81" t="s">
        <v>625</v>
      </c>
      <c r="R227" s="84" t="str">
        <f>HYPERLINK("https://twitter.com/i/web/status/1275027326720450560")</f>
        <v>https://twitter.com/i/web/status/1275027326720450560</v>
      </c>
      <c r="S227" s="81" t="s">
        <v>676</v>
      </c>
      <c r="T227" s="81" t="s">
        <v>707</v>
      </c>
      <c r="U227" s="81"/>
      <c r="V227" s="84" t="str">
        <f>HYPERLINK("http://pbs.twimg.com/profile_images/953436802110623744/NK6Q5dVg_normal.jpg")</f>
        <v>http://pbs.twimg.com/profile_images/953436802110623744/NK6Q5dVg_normal.jpg</v>
      </c>
      <c r="W227" s="83">
        <v>44004.4871875</v>
      </c>
      <c r="X227" s="87">
        <v>44004</v>
      </c>
      <c r="Y227" s="89" t="s">
        <v>845</v>
      </c>
      <c r="Z227" s="84" t="str">
        <f>HYPERLINK("https://twitter.com/jornalismodados/status/1275031165020274690")</f>
        <v>https://twitter.com/jornalismodados/status/1275031165020274690</v>
      </c>
      <c r="AA227" s="81"/>
      <c r="AB227" s="81"/>
      <c r="AC227" s="89" t="s">
        <v>1054</v>
      </c>
      <c r="AD227" s="81"/>
      <c r="AE227" s="81" t="b">
        <v>0</v>
      </c>
      <c r="AF227" s="81">
        <v>1</v>
      </c>
      <c r="AG227" s="89" t="s">
        <v>1149</v>
      </c>
      <c r="AH227" s="81" t="b">
        <v>0</v>
      </c>
      <c r="AI227" s="81" t="s">
        <v>1155</v>
      </c>
      <c r="AJ227" s="81"/>
      <c r="AK227" s="89" t="s">
        <v>1149</v>
      </c>
      <c r="AL227" s="81" t="b">
        <v>0</v>
      </c>
      <c r="AM227" s="81">
        <v>0</v>
      </c>
      <c r="AN227" s="89" t="s">
        <v>1149</v>
      </c>
      <c r="AO227" s="81" t="s">
        <v>1180</v>
      </c>
      <c r="AP227" s="81" t="b">
        <v>0</v>
      </c>
      <c r="AQ227" s="89" t="s">
        <v>1054</v>
      </c>
      <c r="AR227" s="81" t="s">
        <v>325</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8">
        <v>0</v>
      </c>
      <c r="BG227" s="49">
        <v>0</v>
      </c>
      <c r="BH227" s="48">
        <v>0</v>
      </c>
      <c r="BI227" s="49">
        <v>0</v>
      </c>
      <c r="BJ227" s="48">
        <v>0</v>
      </c>
      <c r="BK227" s="49">
        <v>0</v>
      </c>
      <c r="BL227" s="48">
        <v>24</v>
      </c>
      <c r="BM227" s="49">
        <v>100</v>
      </c>
      <c r="BN227" s="48">
        <v>24</v>
      </c>
    </row>
    <row r="228" spans="1:66" ht="15">
      <c r="A228" s="66" t="s">
        <v>473</v>
      </c>
      <c r="B228" s="66" t="s">
        <v>543</v>
      </c>
      <c r="C228" s="67" t="s">
        <v>3149</v>
      </c>
      <c r="D228" s="68">
        <v>4</v>
      </c>
      <c r="E228" s="69" t="s">
        <v>132</v>
      </c>
      <c r="F228" s="70">
        <v>30</v>
      </c>
      <c r="G228" s="67"/>
      <c r="H228" s="71"/>
      <c r="I228" s="72"/>
      <c r="J228" s="72"/>
      <c r="K228" s="34" t="s">
        <v>65</v>
      </c>
      <c r="L228" s="79">
        <v>228</v>
      </c>
      <c r="M228" s="79"/>
      <c r="N228" s="74"/>
      <c r="O228" s="81" t="s">
        <v>587</v>
      </c>
      <c r="P228" s="83">
        <v>44004.57053240741</v>
      </c>
      <c r="Q228" s="81" t="s">
        <v>626</v>
      </c>
      <c r="R228" s="84" t="str">
        <f>HYPERLINK("https://twitter.com/i/web/status/1275054330006196226")</f>
        <v>https://twitter.com/i/web/status/1275054330006196226</v>
      </c>
      <c r="S228" s="81" t="s">
        <v>676</v>
      </c>
      <c r="T228" s="81" t="s">
        <v>707</v>
      </c>
      <c r="U228" s="81"/>
      <c r="V228" s="84" t="str">
        <f>HYPERLINK("http://pbs.twimg.com/profile_images/953436802110623744/NK6Q5dVg_normal.jpg")</f>
        <v>http://pbs.twimg.com/profile_images/953436802110623744/NK6Q5dVg_normal.jpg</v>
      </c>
      <c r="W228" s="83">
        <v>44004.57053240741</v>
      </c>
      <c r="X228" s="87">
        <v>44004</v>
      </c>
      <c r="Y228" s="89" t="s">
        <v>846</v>
      </c>
      <c r="Z228" s="84" t="str">
        <f>HYPERLINK("https://twitter.com/jornalismodados/status/1275061368203259904")</f>
        <v>https://twitter.com/jornalismodados/status/1275061368203259904</v>
      </c>
      <c r="AA228" s="81"/>
      <c r="AB228" s="81"/>
      <c r="AC228" s="89" t="s">
        <v>1055</v>
      </c>
      <c r="AD228" s="81"/>
      <c r="AE228" s="81" t="b">
        <v>0</v>
      </c>
      <c r="AF228" s="81">
        <v>0</v>
      </c>
      <c r="AG228" s="89" t="s">
        <v>1149</v>
      </c>
      <c r="AH228" s="81" t="b">
        <v>0</v>
      </c>
      <c r="AI228" s="81" t="s">
        <v>1155</v>
      </c>
      <c r="AJ228" s="81"/>
      <c r="AK228" s="89" t="s">
        <v>1149</v>
      </c>
      <c r="AL228" s="81" t="b">
        <v>0</v>
      </c>
      <c r="AM228" s="81">
        <v>0</v>
      </c>
      <c r="AN228" s="89" t="s">
        <v>1149</v>
      </c>
      <c r="AO228" s="81" t="s">
        <v>1180</v>
      </c>
      <c r="AP228" s="81" t="b">
        <v>0</v>
      </c>
      <c r="AQ228" s="89" t="s">
        <v>1055</v>
      </c>
      <c r="AR228" s="81" t="s">
        <v>325</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8"/>
      <c r="BG228" s="49"/>
      <c r="BH228" s="48"/>
      <c r="BI228" s="49"/>
      <c r="BJ228" s="48"/>
      <c r="BK228" s="49"/>
      <c r="BL228" s="48"/>
      <c r="BM228" s="49"/>
      <c r="BN228" s="48"/>
    </row>
    <row r="229" spans="1:66" ht="15">
      <c r="A229" s="66" t="s">
        <v>473</v>
      </c>
      <c r="B229" s="66" t="s">
        <v>544</v>
      </c>
      <c r="C229" s="67" t="s">
        <v>3149</v>
      </c>
      <c r="D229" s="68">
        <v>4</v>
      </c>
      <c r="E229" s="69" t="s">
        <v>132</v>
      </c>
      <c r="F229" s="70">
        <v>30</v>
      </c>
      <c r="G229" s="67"/>
      <c r="H229" s="71"/>
      <c r="I229" s="72"/>
      <c r="J229" s="72"/>
      <c r="K229" s="34" t="s">
        <v>65</v>
      </c>
      <c r="L229" s="79">
        <v>229</v>
      </c>
      <c r="M229" s="79"/>
      <c r="N229" s="74"/>
      <c r="O229" s="81" t="s">
        <v>587</v>
      </c>
      <c r="P229" s="83">
        <v>44004.57053240741</v>
      </c>
      <c r="Q229" s="81" t="s">
        <v>626</v>
      </c>
      <c r="R229" s="84" t="str">
        <f>HYPERLINK("https://twitter.com/i/web/status/1275054330006196226")</f>
        <v>https://twitter.com/i/web/status/1275054330006196226</v>
      </c>
      <c r="S229" s="81" t="s">
        <v>676</v>
      </c>
      <c r="T229" s="81" t="s">
        <v>707</v>
      </c>
      <c r="U229" s="81"/>
      <c r="V229" s="84" t="str">
        <f>HYPERLINK("http://pbs.twimg.com/profile_images/953436802110623744/NK6Q5dVg_normal.jpg")</f>
        <v>http://pbs.twimg.com/profile_images/953436802110623744/NK6Q5dVg_normal.jpg</v>
      </c>
      <c r="W229" s="83">
        <v>44004.57053240741</v>
      </c>
      <c r="X229" s="87">
        <v>44004</v>
      </c>
      <c r="Y229" s="89" t="s">
        <v>846</v>
      </c>
      <c r="Z229" s="84" t="str">
        <f>HYPERLINK("https://twitter.com/jornalismodados/status/1275061368203259904")</f>
        <v>https://twitter.com/jornalismodados/status/1275061368203259904</v>
      </c>
      <c r="AA229" s="81"/>
      <c r="AB229" s="81"/>
      <c r="AC229" s="89" t="s">
        <v>1055</v>
      </c>
      <c r="AD229" s="81"/>
      <c r="AE229" s="81" t="b">
        <v>0</v>
      </c>
      <c r="AF229" s="81">
        <v>0</v>
      </c>
      <c r="AG229" s="89" t="s">
        <v>1149</v>
      </c>
      <c r="AH229" s="81" t="b">
        <v>0</v>
      </c>
      <c r="AI229" s="81" t="s">
        <v>1155</v>
      </c>
      <c r="AJ229" s="81"/>
      <c r="AK229" s="89" t="s">
        <v>1149</v>
      </c>
      <c r="AL229" s="81" t="b">
        <v>0</v>
      </c>
      <c r="AM229" s="81">
        <v>0</v>
      </c>
      <c r="AN229" s="89" t="s">
        <v>1149</v>
      </c>
      <c r="AO229" s="81" t="s">
        <v>1180</v>
      </c>
      <c r="AP229" s="81" t="b">
        <v>0</v>
      </c>
      <c r="AQ229" s="89" t="s">
        <v>1055</v>
      </c>
      <c r="AR229" s="81" t="s">
        <v>325</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8"/>
      <c r="BG229" s="49"/>
      <c r="BH229" s="48"/>
      <c r="BI229" s="49"/>
      <c r="BJ229" s="48"/>
      <c r="BK229" s="49"/>
      <c r="BL229" s="48"/>
      <c r="BM229" s="49"/>
      <c r="BN229" s="48"/>
    </row>
    <row r="230" spans="1:66" ht="15">
      <c r="A230" s="66" t="s">
        <v>473</v>
      </c>
      <c r="B230" s="66" t="s">
        <v>545</v>
      </c>
      <c r="C230" s="67" t="s">
        <v>3149</v>
      </c>
      <c r="D230" s="68">
        <v>4</v>
      </c>
      <c r="E230" s="69" t="s">
        <v>132</v>
      </c>
      <c r="F230" s="70">
        <v>30</v>
      </c>
      <c r="G230" s="67"/>
      <c r="H230" s="71"/>
      <c r="I230" s="72"/>
      <c r="J230" s="72"/>
      <c r="K230" s="34" t="s">
        <v>65</v>
      </c>
      <c r="L230" s="79">
        <v>230</v>
      </c>
      <c r="M230" s="79"/>
      <c r="N230" s="74"/>
      <c r="O230" s="81" t="s">
        <v>587</v>
      </c>
      <c r="P230" s="83">
        <v>44004.57053240741</v>
      </c>
      <c r="Q230" s="81" t="s">
        <v>626</v>
      </c>
      <c r="R230" s="84" t="str">
        <f>HYPERLINK("https://twitter.com/i/web/status/1275054330006196226")</f>
        <v>https://twitter.com/i/web/status/1275054330006196226</v>
      </c>
      <c r="S230" s="81" t="s">
        <v>676</v>
      </c>
      <c r="T230" s="81" t="s">
        <v>707</v>
      </c>
      <c r="U230" s="81"/>
      <c r="V230" s="84" t="str">
        <f>HYPERLINK("http://pbs.twimg.com/profile_images/953436802110623744/NK6Q5dVg_normal.jpg")</f>
        <v>http://pbs.twimg.com/profile_images/953436802110623744/NK6Q5dVg_normal.jpg</v>
      </c>
      <c r="W230" s="83">
        <v>44004.57053240741</v>
      </c>
      <c r="X230" s="87">
        <v>44004</v>
      </c>
      <c r="Y230" s="89" t="s">
        <v>846</v>
      </c>
      <c r="Z230" s="84" t="str">
        <f>HYPERLINK("https://twitter.com/jornalismodados/status/1275061368203259904")</f>
        <v>https://twitter.com/jornalismodados/status/1275061368203259904</v>
      </c>
      <c r="AA230" s="81"/>
      <c r="AB230" s="81"/>
      <c r="AC230" s="89" t="s">
        <v>1055</v>
      </c>
      <c r="AD230" s="81"/>
      <c r="AE230" s="81" t="b">
        <v>0</v>
      </c>
      <c r="AF230" s="81">
        <v>0</v>
      </c>
      <c r="AG230" s="89" t="s">
        <v>1149</v>
      </c>
      <c r="AH230" s="81" t="b">
        <v>0</v>
      </c>
      <c r="AI230" s="81" t="s">
        <v>1155</v>
      </c>
      <c r="AJ230" s="81"/>
      <c r="AK230" s="89" t="s">
        <v>1149</v>
      </c>
      <c r="AL230" s="81" t="b">
        <v>0</v>
      </c>
      <c r="AM230" s="81">
        <v>0</v>
      </c>
      <c r="AN230" s="89" t="s">
        <v>1149</v>
      </c>
      <c r="AO230" s="81" t="s">
        <v>1180</v>
      </c>
      <c r="AP230" s="81" t="b">
        <v>0</v>
      </c>
      <c r="AQ230" s="89" t="s">
        <v>1055</v>
      </c>
      <c r="AR230" s="81" t="s">
        <v>325</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8">
        <v>0</v>
      </c>
      <c r="BG230" s="49">
        <v>0</v>
      </c>
      <c r="BH230" s="48">
        <v>0</v>
      </c>
      <c r="BI230" s="49">
        <v>0</v>
      </c>
      <c r="BJ230" s="48">
        <v>0</v>
      </c>
      <c r="BK230" s="49">
        <v>0</v>
      </c>
      <c r="BL230" s="48">
        <v>21</v>
      </c>
      <c r="BM230" s="49">
        <v>100</v>
      </c>
      <c r="BN230" s="48">
        <v>21</v>
      </c>
    </row>
    <row r="231" spans="1:66" ht="15">
      <c r="A231" s="66" t="s">
        <v>473</v>
      </c>
      <c r="B231" s="66" t="s">
        <v>546</v>
      </c>
      <c r="C231" s="67" t="s">
        <v>3149</v>
      </c>
      <c r="D231" s="68">
        <v>4</v>
      </c>
      <c r="E231" s="69" t="s">
        <v>132</v>
      </c>
      <c r="F231" s="70">
        <v>30</v>
      </c>
      <c r="G231" s="67"/>
      <c r="H231" s="71"/>
      <c r="I231" s="72"/>
      <c r="J231" s="72"/>
      <c r="K231" s="34" t="s">
        <v>65</v>
      </c>
      <c r="L231" s="79">
        <v>231</v>
      </c>
      <c r="M231" s="79"/>
      <c r="N231" s="74"/>
      <c r="O231" s="81" t="s">
        <v>587</v>
      </c>
      <c r="P231" s="83">
        <v>44004.57063657408</v>
      </c>
      <c r="Q231" s="81" t="s">
        <v>627</v>
      </c>
      <c r="R231" s="84" t="str">
        <f>HYPERLINK("https://twitter.com/i/web/status/1275050043129692160")</f>
        <v>https://twitter.com/i/web/status/1275050043129692160</v>
      </c>
      <c r="S231" s="81" t="s">
        <v>676</v>
      </c>
      <c r="T231" s="81" t="s">
        <v>707</v>
      </c>
      <c r="U231" s="81"/>
      <c r="V231" s="84" t="str">
        <f>HYPERLINK("http://pbs.twimg.com/profile_images/953436802110623744/NK6Q5dVg_normal.jpg")</f>
        <v>http://pbs.twimg.com/profile_images/953436802110623744/NK6Q5dVg_normal.jpg</v>
      </c>
      <c r="W231" s="83">
        <v>44004.57063657408</v>
      </c>
      <c r="X231" s="87">
        <v>44004</v>
      </c>
      <c r="Y231" s="89" t="s">
        <v>847</v>
      </c>
      <c r="Z231" s="84" t="str">
        <f>HYPERLINK("https://twitter.com/jornalismodados/status/1275061407709573122")</f>
        <v>https://twitter.com/jornalismodados/status/1275061407709573122</v>
      </c>
      <c r="AA231" s="81"/>
      <c r="AB231" s="81"/>
      <c r="AC231" s="89" t="s">
        <v>1056</v>
      </c>
      <c r="AD231" s="81"/>
      <c r="AE231" s="81" t="b">
        <v>0</v>
      </c>
      <c r="AF231" s="81">
        <v>0</v>
      </c>
      <c r="AG231" s="89" t="s">
        <v>1149</v>
      </c>
      <c r="AH231" s="81" t="b">
        <v>0</v>
      </c>
      <c r="AI231" s="81" t="s">
        <v>1155</v>
      </c>
      <c r="AJ231" s="81"/>
      <c r="AK231" s="89" t="s">
        <v>1149</v>
      </c>
      <c r="AL231" s="81" t="b">
        <v>0</v>
      </c>
      <c r="AM231" s="81">
        <v>0</v>
      </c>
      <c r="AN231" s="89" t="s">
        <v>1149</v>
      </c>
      <c r="AO231" s="81" t="s">
        <v>1180</v>
      </c>
      <c r="AP231" s="81" t="b">
        <v>0</v>
      </c>
      <c r="AQ231" s="89" t="s">
        <v>1056</v>
      </c>
      <c r="AR231" s="81" t="s">
        <v>325</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8"/>
      <c r="BG231" s="49"/>
      <c r="BH231" s="48"/>
      <c r="BI231" s="49"/>
      <c r="BJ231" s="48"/>
      <c r="BK231" s="49"/>
      <c r="BL231" s="48"/>
      <c r="BM231" s="49"/>
      <c r="BN231" s="48"/>
    </row>
    <row r="232" spans="1:66" ht="15">
      <c r="A232" s="66" t="s">
        <v>473</v>
      </c>
      <c r="B232" s="66" t="s">
        <v>547</v>
      </c>
      <c r="C232" s="67" t="s">
        <v>3149</v>
      </c>
      <c r="D232" s="68">
        <v>4</v>
      </c>
      <c r="E232" s="69" t="s">
        <v>132</v>
      </c>
      <c r="F232" s="70">
        <v>30</v>
      </c>
      <c r="G232" s="67"/>
      <c r="H232" s="71"/>
      <c r="I232" s="72"/>
      <c r="J232" s="72"/>
      <c r="K232" s="34" t="s">
        <v>65</v>
      </c>
      <c r="L232" s="79">
        <v>232</v>
      </c>
      <c r="M232" s="79"/>
      <c r="N232" s="74"/>
      <c r="O232" s="81" t="s">
        <v>587</v>
      </c>
      <c r="P232" s="83">
        <v>44004.57063657408</v>
      </c>
      <c r="Q232" s="81" t="s">
        <v>627</v>
      </c>
      <c r="R232" s="84" t="str">
        <f>HYPERLINK("https://twitter.com/i/web/status/1275050043129692160")</f>
        <v>https://twitter.com/i/web/status/1275050043129692160</v>
      </c>
      <c r="S232" s="81" t="s">
        <v>676</v>
      </c>
      <c r="T232" s="81" t="s">
        <v>707</v>
      </c>
      <c r="U232" s="81"/>
      <c r="V232" s="84" t="str">
        <f>HYPERLINK("http://pbs.twimg.com/profile_images/953436802110623744/NK6Q5dVg_normal.jpg")</f>
        <v>http://pbs.twimg.com/profile_images/953436802110623744/NK6Q5dVg_normal.jpg</v>
      </c>
      <c r="W232" s="83">
        <v>44004.57063657408</v>
      </c>
      <c r="X232" s="87">
        <v>44004</v>
      </c>
      <c r="Y232" s="89" t="s">
        <v>847</v>
      </c>
      <c r="Z232" s="84" t="str">
        <f>HYPERLINK("https://twitter.com/jornalismodados/status/1275061407709573122")</f>
        <v>https://twitter.com/jornalismodados/status/1275061407709573122</v>
      </c>
      <c r="AA232" s="81"/>
      <c r="AB232" s="81"/>
      <c r="AC232" s="89" t="s">
        <v>1056</v>
      </c>
      <c r="AD232" s="81"/>
      <c r="AE232" s="81" t="b">
        <v>0</v>
      </c>
      <c r="AF232" s="81">
        <v>0</v>
      </c>
      <c r="AG232" s="89" t="s">
        <v>1149</v>
      </c>
      <c r="AH232" s="81" t="b">
        <v>0</v>
      </c>
      <c r="AI232" s="81" t="s">
        <v>1155</v>
      </c>
      <c r="AJ232" s="81"/>
      <c r="AK232" s="89" t="s">
        <v>1149</v>
      </c>
      <c r="AL232" s="81" t="b">
        <v>0</v>
      </c>
      <c r="AM232" s="81">
        <v>0</v>
      </c>
      <c r="AN232" s="89" t="s">
        <v>1149</v>
      </c>
      <c r="AO232" s="81" t="s">
        <v>1180</v>
      </c>
      <c r="AP232" s="81" t="b">
        <v>0</v>
      </c>
      <c r="AQ232" s="89" t="s">
        <v>1056</v>
      </c>
      <c r="AR232" s="81" t="s">
        <v>325</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8">
        <v>0</v>
      </c>
      <c r="BG232" s="49">
        <v>0</v>
      </c>
      <c r="BH232" s="48">
        <v>0</v>
      </c>
      <c r="BI232" s="49">
        <v>0</v>
      </c>
      <c r="BJ232" s="48">
        <v>0</v>
      </c>
      <c r="BK232" s="49">
        <v>0</v>
      </c>
      <c r="BL232" s="48">
        <v>22</v>
      </c>
      <c r="BM232" s="49">
        <v>100</v>
      </c>
      <c r="BN232" s="48">
        <v>22</v>
      </c>
    </row>
    <row r="233" spans="1:66" ht="15">
      <c r="A233" s="66" t="s">
        <v>473</v>
      </c>
      <c r="B233" s="66" t="s">
        <v>548</v>
      </c>
      <c r="C233" s="67" t="s">
        <v>3151</v>
      </c>
      <c r="D233" s="68">
        <v>6</v>
      </c>
      <c r="E233" s="69" t="s">
        <v>132</v>
      </c>
      <c r="F233" s="70">
        <v>23.333333333333332</v>
      </c>
      <c r="G233" s="67"/>
      <c r="H233" s="71"/>
      <c r="I233" s="72"/>
      <c r="J233" s="72"/>
      <c r="K233" s="34" t="s">
        <v>65</v>
      </c>
      <c r="L233" s="79">
        <v>233</v>
      </c>
      <c r="M233" s="79"/>
      <c r="N233" s="74"/>
      <c r="O233" s="81" t="s">
        <v>587</v>
      </c>
      <c r="P233" s="83">
        <v>44004.6121875</v>
      </c>
      <c r="Q233" s="81" t="s">
        <v>628</v>
      </c>
      <c r="R233" s="84" t="str">
        <f>HYPERLINK("https://twitter.com/i/web/status/1275067751967502336")</f>
        <v>https://twitter.com/i/web/status/1275067751967502336</v>
      </c>
      <c r="S233" s="81" t="s">
        <v>676</v>
      </c>
      <c r="T233" s="81" t="s">
        <v>707</v>
      </c>
      <c r="U233" s="81"/>
      <c r="V233" s="84" t="str">
        <f>HYPERLINK("http://pbs.twimg.com/profile_images/953436802110623744/NK6Q5dVg_normal.jpg")</f>
        <v>http://pbs.twimg.com/profile_images/953436802110623744/NK6Q5dVg_normal.jpg</v>
      </c>
      <c r="W233" s="83">
        <v>44004.6121875</v>
      </c>
      <c r="X233" s="87">
        <v>44004</v>
      </c>
      <c r="Y233" s="89" t="s">
        <v>848</v>
      </c>
      <c r="Z233" s="84" t="str">
        <f>HYPERLINK("https://twitter.com/jornalismodados/status/1275076463805386753")</f>
        <v>https://twitter.com/jornalismodados/status/1275076463805386753</v>
      </c>
      <c r="AA233" s="81"/>
      <c r="AB233" s="81"/>
      <c r="AC233" s="89" t="s">
        <v>1057</v>
      </c>
      <c r="AD233" s="81"/>
      <c r="AE233" s="81" t="b">
        <v>0</v>
      </c>
      <c r="AF233" s="81">
        <v>0</v>
      </c>
      <c r="AG233" s="89" t="s">
        <v>1149</v>
      </c>
      <c r="AH233" s="81" t="b">
        <v>0</v>
      </c>
      <c r="AI233" s="81" t="s">
        <v>1155</v>
      </c>
      <c r="AJ233" s="81"/>
      <c r="AK233" s="89" t="s">
        <v>1149</v>
      </c>
      <c r="AL233" s="81" t="b">
        <v>0</v>
      </c>
      <c r="AM233" s="81">
        <v>0</v>
      </c>
      <c r="AN233" s="89" t="s">
        <v>1149</v>
      </c>
      <c r="AO233" s="81" t="s">
        <v>1180</v>
      </c>
      <c r="AP233" s="81" t="b">
        <v>0</v>
      </c>
      <c r="AQ233" s="89" t="s">
        <v>1057</v>
      </c>
      <c r="AR233" s="81" t="s">
        <v>325</v>
      </c>
      <c r="AS233" s="81">
        <v>0</v>
      </c>
      <c r="AT233" s="81">
        <v>0</v>
      </c>
      <c r="AU233" s="81"/>
      <c r="AV233" s="81"/>
      <c r="AW233" s="81"/>
      <c r="AX233" s="81"/>
      <c r="AY233" s="81"/>
      <c r="AZ233" s="81"/>
      <c r="BA233" s="81"/>
      <c r="BB233" s="81"/>
      <c r="BC233">
        <v>2</v>
      </c>
      <c r="BD233" s="80" t="str">
        <f>REPLACE(INDEX(GroupVertices[Group],MATCH(Edges[[#This Row],[Vertex 1]],GroupVertices[Vertex],0)),1,1,"")</f>
        <v>1</v>
      </c>
      <c r="BE233" s="80" t="str">
        <f>REPLACE(INDEX(GroupVertices[Group],MATCH(Edges[[#This Row],[Vertex 2]],GroupVertices[Vertex],0)),1,1,"")</f>
        <v>1</v>
      </c>
      <c r="BF233" s="48"/>
      <c r="BG233" s="49"/>
      <c r="BH233" s="48"/>
      <c r="BI233" s="49"/>
      <c r="BJ233" s="48"/>
      <c r="BK233" s="49"/>
      <c r="BL233" s="48"/>
      <c r="BM233" s="49"/>
      <c r="BN233" s="48"/>
    </row>
    <row r="234" spans="1:66" ht="15">
      <c r="A234" s="66" t="s">
        <v>473</v>
      </c>
      <c r="B234" s="66" t="s">
        <v>548</v>
      </c>
      <c r="C234" s="67" t="s">
        <v>3151</v>
      </c>
      <c r="D234" s="68">
        <v>6</v>
      </c>
      <c r="E234" s="69" t="s">
        <v>132</v>
      </c>
      <c r="F234" s="70">
        <v>23.333333333333332</v>
      </c>
      <c r="G234" s="67"/>
      <c r="H234" s="71"/>
      <c r="I234" s="72"/>
      <c r="J234" s="72"/>
      <c r="K234" s="34" t="s">
        <v>65</v>
      </c>
      <c r="L234" s="79">
        <v>234</v>
      </c>
      <c r="M234" s="79"/>
      <c r="N234" s="74"/>
      <c r="O234" s="81" t="s">
        <v>587</v>
      </c>
      <c r="P234" s="83">
        <v>44004.65385416667</v>
      </c>
      <c r="Q234" s="81" t="s">
        <v>629</v>
      </c>
      <c r="R234" s="81"/>
      <c r="S234" s="81"/>
      <c r="T234" s="81" t="s">
        <v>707</v>
      </c>
      <c r="U234" s="81"/>
      <c r="V234" s="84" t="str">
        <f>HYPERLINK("http://pbs.twimg.com/profile_images/953436802110623744/NK6Q5dVg_normal.jpg")</f>
        <v>http://pbs.twimg.com/profile_images/953436802110623744/NK6Q5dVg_normal.jpg</v>
      </c>
      <c r="W234" s="83">
        <v>44004.65385416667</v>
      </c>
      <c r="X234" s="87">
        <v>44004</v>
      </c>
      <c r="Y234" s="89" t="s">
        <v>849</v>
      </c>
      <c r="Z234" s="84" t="str">
        <f>HYPERLINK("https://twitter.com/jornalismodados/status/1275091562947633153")</f>
        <v>https://twitter.com/jornalismodados/status/1275091562947633153</v>
      </c>
      <c r="AA234" s="81"/>
      <c r="AB234" s="81"/>
      <c r="AC234" s="89" t="s">
        <v>1058</v>
      </c>
      <c r="AD234" s="81"/>
      <c r="AE234" s="81" t="b">
        <v>0</v>
      </c>
      <c r="AF234" s="81">
        <v>0</v>
      </c>
      <c r="AG234" s="89" t="s">
        <v>1149</v>
      </c>
      <c r="AH234" s="81" t="b">
        <v>0</v>
      </c>
      <c r="AI234" s="81" t="s">
        <v>1155</v>
      </c>
      <c r="AJ234" s="81"/>
      <c r="AK234" s="89" t="s">
        <v>1149</v>
      </c>
      <c r="AL234" s="81" t="b">
        <v>0</v>
      </c>
      <c r="AM234" s="81">
        <v>0</v>
      </c>
      <c r="AN234" s="89" t="s">
        <v>1149</v>
      </c>
      <c r="AO234" s="81" t="s">
        <v>1180</v>
      </c>
      <c r="AP234" s="81" t="b">
        <v>0</v>
      </c>
      <c r="AQ234" s="89" t="s">
        <v>1058</v>
      </c>
      <c r="AR234" s="81" t="s">
        <v>325</v>
      </c>
      <c r="AS234" s="81">
        <v>0</v>
      </c>
      <c r="AT234" s="81">
        <v>0</v>
      </c>
      <c r="AU234" s="81"/>
      <c r="AV234" s="81"/>
      <c r="AW234" s="81"/>
      <c r="AX234" s="81"/>
      <c r="AY234" s="81"/>
      <c r="AZ234" s="81"/>
      <c r="BA234" s="81"/>
      <c r="BB234" s="81"/>
      <c r="BC234">
        <v>2</v>
      </c>
      <c r="BD234" s="80" t="str">
        <f>REPLACE(INDEX(GroupVertices[Group],MATCH(Edges[[#This Row],[Vertex 1]],GroupVertices[Vertex],0)),1,1,"")</f>
        <v>1</v>
      </c>
      <c r="BE234" s="80" t="str">
        <f>REPLACE(INDEX(GroupVertices[Group],MATCH(Edges[[#This Row],[Vertex 2]],GroupVertices[Vertex],0)),1,1,"")</f>
        <v>1</v>
      </c>
      <c r="BF234" s="48"/>
      <c r="BG234" s="49"/>
      <c r="BH234" s="48"/>
      <c r="BI234" s="49"/>
      <c r="BJ234" s="48"/>
      <c r="BK234" s="49"/>
      <c r="BL234" s="48"/>
      <c r="BM234" s="49"/>
      <c r="BN234" s="48"/>
    </row>
    <row r="235" spans="1:66" ht="15">
      <c r="A235" s="66" t="s">
        <v>473</v>
      </c>
      <c r="B235" s="66" t="s">
        <v>549</v>
      </c>
      <c r="C235" s="67" t="s">
        <v>3151</v>
      </c>
      <c r="D235" s="68">
        <v>6</v>
      </c>
      <c r="E235" s="69" t="s">
        <v>132</v>
      </c>
      <c r="F235" s="70">
        <v>23.333333333333332</v>
      </c>
      <c r="G235" s="67"/>
      <c r="H235" s="71"/>
      <c r="I235" s="72"/>
      <c r="J235" s="72"/>
      <c r="K235" s="34" t="s">
        <v>65</v>
      </c>
      <c r="L235" s="79">
        <v>235</v>
      </c>
      <c r="M235" s="79"/>
      <c r="N235" s="74"/>
      <c r="O235" s="81" t="s">
        <v>587</v>
      </c>
      <c r="P235" s="83">
        <v>44004.6121875</v>
      </c>
      <c r="Q235" s="81" t="s">
        <v>628</v>
      </c>
      <c r="R235" s="84" t="str">
        <f>HYPERLINK("https://twitter.com/i/web/status/1275067751967502336")</f>
        <v>https://twitter.com/i/web/status/1275067751967502336</v>
      </c>
      <c r="S235" s="81" t="s">
        <v>676</v>
      </c>
      <c r="T235" s="81" t="s">
        <v>707</v>
      </c>
      <c r="U235" s="81"/>
      <c r="V235" s="84" t="str">
        <f>HYPERLINK("http://pbs.twimg.com/profile_images/953436802110623744/NK6Q5dVg_normal.jpg")</f>
        <v>http://pbs.twimg.com/profile_images/953436802110623744/NK6Q5dVg_normal.jpg</v>
      </c>
      <c r="W235" s="83">
        <v>44004.6121875</v>
      </c>
      <c r="X235" s="87">
        <v>44004</v>
      </c>
      <c r="Y235" s="89" t="s">
        <v>848</v>
      </c>
      <c r="Z235" s="84" t="str">
        <f>HYPERLINK("https://twitter.com/jornalismodados/status/1275076463805386753")</f>
        <v>https://twitter.com/jornalismodados/status/1275076463805386753</v>
      </c>
      <c r="AA235" s="81"/>
      <c r="AB235" s="81"/>
      <c r="AC235" s="89" t="s">
        <v>1057</v>
      </c>
      <c r="AD235" s="81"/>
      <c r="AE235" s="81" t="b">
        <v>0</v>
      </c>
      <c r="AF235" s="81">
        <v>0</v>
      </c>
      <c r="AG235" s="89" t="s">
        <v>1149</v>
      </c>
      <c r="AH235" s="81" t="b">
        <v>0</v>
      </c>
      <c r="AI235" s="81" t="s">
        <v>1155</v>
      </c>
      <c r="AJ235" s="81"/>
      <c r="AK235" s="89" t="s">
        <v>1149</v>
      </c>
      <c r="AL235" s="81" t="b">
        <v>0</v>
      </c>
      <c r="AM235" s="81">
        <v>0</v>
      </c>
      <c r="AN235" s="89" t="s">
        <v>1149</v>
      </c>
      <c r="AO235" s="81" t="s">
        <v>1180</v>
      </c>
      <c r="AP235" s="81" t="b">
        <v>0</v>
      </c>
      <c r="AQ235" s="89" t="s">
        <v>1057</v>
      </c>
      <c r="AR235" s="81" t="s">
        <v>325</v>
      </c>
      <c r="AS235" s="81">
        <v>0</v>
      </c>
      <c r="AT235" s="81">
        <v>0</v>
      </c>
      <c r="AU235" s="81"/>
      <c r="AV235" s="81"/>
      <c r="AW235" s="81"/>
      <c r="AX235" s="81"/>
      <c r="AY235" s="81"/>
      <c r="AZ235" s="81"/>
      <c r="BA235" s="81"/>
      <c r="BB235" s="81"/>
      <c r="BC235">
        <v>2</v>
      </c>
      <c r="BD235" s="80" t="str">
        <f>REPLACE(INDEX(GroupVertices[Group],MATCH(Edges[[#This Row],[Vertex 1]],GroupVertices[Vertex],0)),1,1,"")</f>
        <v>1</v>
      </c>
      <c r="BE235" s="80" t="str">
        <f>REPLACE(INDEX(GroupVertices[Group],MATCH(Edges[[#This Row],[Vertex 2]],GroupVertices[Vertex],0)),1,1,"")</f>
        <v>1</v>
      </c>
      <c r="BF235" s="48"/>
      <c r="BG235" s="49"/>
      <c r="BH235" s="48"/>
      <c r="BI235" s="49"/>
      <c r="BJ235" s="48"/>
      <c r="BK235" s="49"/>
      <c r="BL235" s="48"/>
      <c r="BM235" s="49"/>
      <c r="BN235" s="48"/>
    </row>
    <row r="236" spans="1:66" ht="15">
      <c r="A236" s="66" t="s">
        <v>473</v>
      </c>
      <c r="B236" s="66" t="s">
        <v>549</v>
      </c>
      <c r="C236" s="67" t="s">
        <v>3151</v>
      </c>
      <c r="D236" s="68">
        <v>6</v>
      </c>
      <c r="E236" s="69" t="s">
        <v>132</v>
      </c>
      <c r="F236" s="70">
        <v>23.333333333333332</v>
      </c>
      <c r="G236" s="67"/>
      <c r="H236" s="71"/>
      <c r="I236" s="72"/>
      <c r="J236" s="72"/>
      <c r="K236" s="34" t="s">
        <v>65</v>
      </c>
      <c r="L236" s="79">
        <v>236</v>
      </c>
      <c r="M236" s="79"/>
      <c r="N236" s="74"/>
      <c r="O236" s="81" t="s">
        <v>587</v>
      </c>
      <c r="P236" s="83">
        <v>44004.65385416667</v>
      </c>
      <c r="Q236" s="81" t="s">
        <v>629</v>
      </c>
      <c r="R236" s="81"/>
      <c r="S236" s="81"/>
      <c r="T236" s="81" t="s">
        <v>707</v>
      </c>
      <c r="U236" s="81"/>
      <c r="V236" s="84" t="str">
        <f>HYPERLINK("http://pbs.twimg.com/profile_images/953436802110623744/NK6Q5dVg_normal.jpg")</f>
        <v>http://pbs.twimg.com/profile_images/953436802110623744/NK6Q5dVg_normal.jpg</v>
      </c>
      <c r="W236" s="83">
        <v>44004.65385416667</v>
      </c>
      <c r="X236" s="87">
        <v>44004</v>
      </c>
      <c r="Y236" s="89" t="s">
        <v>849</v>
      </c>
      <c r="Z236" s="84" t="str">
        <f>HYPERLINK("https://twitter.com/jornalismodados/status/1275091562947633153")</f>
        <v>https://twitter.com/jornalismodados/status/1275091562947633153</v>
      </c>
      <c r="AA236" s="81"/>
      <c r="AB236" s="81"/>
      <c r="AC236" s="89" t="s">
        <v>1058</v>
      </c>
      <c r="AD236" s="81"/>
      <c r="AE236" s="81" t="b">
        <v>0</v>
      </c>
      <c r="AF236" s="81">
        <v>0</v>
      </c>
      <c r="AG236" s="89" t="s">
        <v>1149</v>
      </c>
      <c r="AH236" s="81" t="b">
        <v>0</v>
      </c>
      <c r="AI236" s="81" t="s">
        <v>1155</v>
      </c>
      <c r="AJ236" s="81"/>
      <c r="AK236" s="89" t="s">
        <v>1149</v>
      </c>
      <c r="AL236" s="81" t="b">
        <v>0</v>
      </c>
      <c r="AM236" s="81">
        <v>0</v>
      </c>
      <c r="AN236" s="89" t="s">
        <v>1149</v>
      </c>
      <c r="AO236" s="81" t="s">
        <v>1180</v>
      </c>
      <c r="AP236" s="81" t="b">
        <v>0</v>
      </c>
      <c r="AQ236" s="89" t="s">
        <v>1058</v>
      </c>
      <c r="AR236" s="81" t="s">
        <v>325</v>
      </c>
      <c r="AS236" s="81">
        <v>0</v>
      </c>
      <c r="AT236" s="81">
        <v>0</v>
      </c>
      <c r="AU236" s="81"/>
      <c r="AV236" s="81"/>
      <c r="AW236" s="81"/>
      <c r="AX236" s="81"/>
      <c r="AY236" s="81"/>
      <c r="AZ236" s="81"/>
      <c r="BA236" s="81"/>
      <c r="BB236" s="81"/>
      <c r="BC236">
        <v>2</v>
      </c>
      <c r="BD236" s="80" t="str">
        <f>REPLACE(INDEX(GroupVertices[Group],MATCH(Edges[[#This Row],[Vertex 1]],GroupVertices[Vertex],0)),1,1,"")</f>
        <v>1</v>
      </c>
      <c r="BE236" s="80" t="str">
        <f>REPLACE(INDEX(GroupVertices[Group],MATCH(Edges[[#This Row],[Vertex 2]],GroupVertices[Vertex],0)),1,1,"")</f>
        <v>1</v>
      </c>
      <c r="BF236" s="48"/>
      <c r="BG236" s="49"/>
      <c r="BH236" s="48"/>
      <c r="BI236" s="49"/>
      <c r="BJ236" s="48"/>
      <c r="BK236" s="49"/>
      <c r="BL236" s="48"/>
      <c r="BM236" s="49"/>
      <c r="BN236" s="48"/>
    </row>
    <row r="237" spans="1:66" ht="15">
      <c r="A237" s="66" t="s">
        <v>473</v>
      </c>
      <c r="B237" s="66" t="s">
        <v>550</v>
      </c>
      <c r="C237" s="67" t="s">
        <v>3151</v>
      </c>
      <c r="D237" s="68">
        <v>6</v>
      </c>
      <c r="E237" s="69" t="s">
        <v>132</v>
      </c>
      <c r="F237" s="70">
        <v>23.333333333333332</v>
      </c>
      <c r="G237" s="67"/>
      <c r="H237" s="71"/>
      <c r="I237" s="72"/>
      <c r="J237" s="72"/>
      <c r="K237" s="34" t="s">
        <v>65</v>
      </c>
      <c r="L237" s="79">
        <v>237</v>
      </c>
      <c r="M237" s="79"/>
      <c r="N237" s="74"/>
      <c r="O237" s="81" t="s">
        <v>587</v>
      </c>
      <c r="P237" s="83">
        <v>44004.6121875</v>
      </c>
      <c r="Q237" s="81" t="s">
        <v>628</v>
      </c>
      <c r="R237" s="84" t="str">
        <f>HYPERLINK("https://twitter.com/i/web/status/1275067751967502336")</f>
        <v>https://twitter.com/i/web/status/1275067751967502336</v>
      </c>
      <c r="S237" s="81" t="s">
        <v>676</v>
      </c>
      <c r="T237" s="81" t="s">
        <v>707</v>
      </c>
      <c r="U237" s="81"/>
      <c r="V237" s="84" t="str">
        <f>HYPERLINK("http://pbs.twimg.com/profile_images/953436802110623744/NK6Q5dVg_normal.jpg")</f>
        <v>http://pbs.twimg.com/profile_images/953436802110623744/NK6Q5dVg_normal.jpg</v>
      </c>
      <c r="W237" s="83">
        <v>44004.6121875</v>
      </c>
      <c r="X237" s="87">
        <v>44004</v>
      </c>
      <c r="Y237" s="89" t="s">
        <v>848</v>
      </c>
      <c r="Z237" s="84" t="str">
        <f>HYPERLINK("https://twitter.com/jornalismodados/status/1275076463805386753")</f>
        <v>https://twitter.com/jornalismodados/status/1275076463805386753</v>
      </c>
      <c r="AA237" s="81"/>
      <c r="AB237" s="81"/>
      <c r="AC237" s="89" t="s">
        <v>1057</v>
      </c>
      <c r="AD237" s="81"/>
      <c r="AE237" s="81" t="b">
        <v>0</v>
      </c>
      <c r="AF237" s="81">
        <v>0</v>
      </c>
      <c r="AG237" s="89" t="s">
        <v>1149</v>
      </c>
      <c r="AH237" s="81" t="b">
        <v>0</v>
      </c>
      <c r="AI237" s="81" t="s">
        <v>1155</v>
      </c>
      <c r="AJ237" s="81"/>
      <c r="AK237" s="89" t="s">
        <v>1149</v>
      </c>
      <c r="AL237" s="81" t="b">
        <v>0</v>
      </c>
      <c r="AM237" s="81">
        <v>0</v>
      </c>
      <c r="AN237" s="89" t="s">
        <v>1149</v>
      </c>
      <c r="AO237" s="81" t="s">
        <v>1180</v>
      </c>
      <c r="AP237" s="81" t="b">
        <v>0</v>
      </c>
      <c r="AQ237" s="89" t="s">
        <v>1057</v>
      </c>
      <c r="AR237" s="81" t="s">
        <v>325</v>
      </c>
      <c r="AS237" s="81">
        <v>0</v>
      </c>
      <c r="AT237" s="81">
        <v>0</v>
      </c>
      <c r="AU237" s="81"/>
      <c r="AV237" s="81"/>
      <c r="AW237" s="81"/>
      <c r="AX237" s="81"/>
      <c r="AY237" s="81"/>
      <c r="AZ237" s="81"/>
      <c r="BA237" s="81"/>
      <c r="BB237" s="81"/>
      <c r="BC237">
        <v>2</v>
      </c>
      <c r="BD237" s="80" t="str">
        <f>REPLACE(INDEX(GroupVertices[Group],MATCH(Edges[[#This Row],[Vertex 1]],GroupVertices[Vertex],0)),1,1,"")</f>
        <v>1</v>
      </c>
      <c r="BE237" s="80" t="str">
        <f>REPLACE(INDEX(GroupVertices[Group],MATCH(Edges[[#This Row],[Vertex 2]],GroupVertices[Vertex],0)),1,1,"")</f>
        <v>1</v>
      </c>
      <c r="BF237" s="48">
        <v>0</v>
      </c>
      <c r="BG237" s="49">
        <v>0</v>
      </c>
      <c r="BH237" s="48">
        <v>0</v>
      </c>
      <c r="BI237" s="49">
        <v>0</v>
      </c>
      <c r="BJ237" s="48">
        <v>0</v>
      </c>
      <c r="BK237" s="49">
        <v>0</v>
      </c>
      <c r="BL237" s="48">
        <v>26</v>
      </c>
      <c r="BM237" s="49">
        <v>100</v>
      </c>
      <c r="BN237" s="48">
        <v>26</v>
      </c>
    </row>
    <row r="238" spans="1:66" ht="15">
      <c r="A238" s="66" t="s">
        <v>473</v>
      </c>
      <c r="B238" s="66" t="s">
        <v>550</v>
      </c>
      <c r="C238" s="67" t="s">
        <v>3151</v>
      </c>
      <c r="D238" s="68">
        <v>6</v>
      </c>
      <c r="E238" s="69" t="s">
        <v>132</v>
      </c>
      <c r="F238" s="70">
        <v>23.333333333333332</v>
      </c>
      <c r="G238" s="67"/>
      <c r="H238" s="71"/>
      <c r="I238" s="72"/>
      <c r="J238" s="72"/>
      <c r="K238" s="34" t="s">
        <v>65</v>
      </c>
      <c r="L238" s="79">
        <v>238</v>
      </c>
      <c r="M238" s="79"/>
      <c r="N238" s="74"/>
      <c r="O238" s="81" t="s">
        <v>587</v>
      </c>
      <c r="P238" s="83">
        <v>44004.65385416667</v>
      </c>
      <c r="Q238" s="81" t="s">
        <v>629</v>
      </c>
      <c r="R238" s="81"/>
      <c r="S238" s="81"/>
      <c r="T238" s="81" t="s">
        <v>707</v>
      </c>
      <c r="U238" s="81"/>
      <c r="V238" s="84" t="str">
        <f>HYPERLINK("http://pbs.twimg.com/profile_images/953436802110623744/NK6Q5dVg_normal.jpg")</f>
        <v>http://pbs.twimg.com/profile_images/953436802110623744/NK6Q5dVg_normal.jpg</v>
      </c>
      <c r="W238" s="83">
        <v>44004.65385416667</v>
      </c>
      <c r="X238" s="87">
        <v>44004</v>
      </c>
      <c r="Y238" s="89" t="s">
        <v>849</v>
      </c>
      <c r="Z238" s="84" t="str">
        <f>HYPERLINK("https://twitter.com/jornalismodados/status/1275091562947633153")</f>
        <v>https://twitter.com/jornalismodados/status/1275091562947633153</v>
      </c>
      <c r="AA238" s="81"/>
      <c r="AB238" s="81"/>
      <c r="AC238" s="89" t="s">
        <v>1058</v>
      </c>
      <c r="AD238" s="81"/>
      <c r="AE238" s="81" t="b">
        <v>0</v>
      </c>
      <c r="AF238" s="81">
        <v>0</v>
      </c>
      <c r="AG238" s="89" t="s">
        <v>1149</v>
      </c>
      <c r="AH238" s="81" t="b">
        <v>0</v>
      </c>
      <c r="AI238" s="81" t="s">
        <v>1155</v>
      </c>
      <c r="AJ238" s="81"/>
      <c r="AK238" s="89" t="s">
        <v>1149</v>
      </c>
      <c r="AL238" s="81" t="b">
        <v>0</v>
      </c>
      <c r="AM238" s="81">
        <v>0</v>
      </c>
      <c r="AN238" s="89" t="s">
        <v>1149</v>
      </c>
      <c r="AO238" s="81" t="s">
        <v>1180</v>
      </c>
      <c r="AP238" s="81" t="b">
        <v>0</v>
      </c>
      <c r="AQ238" s="89" t="s">
        <v>1058</v>
      </c>
      <c r="AR238" s="81" t="s">
        <v>325</v>
      </c>
      <c r="AS238" s="81">
        <v>0</v>
      </c>
      <c r="AT238" s="81">
        <v>0</v>
      </c>
      <c r="AU238" s="81"/>
      <c r="AV238" s="81"/>
      <c r="AW238" s="81"/>
      <c r="AX238" s="81"/>
      <c r="AY238" s="81"/>
      <c r="AZ238" s="81"/>
      <c r="BA238" s="81"/>
      <c r="BB238" s="81"/>
      <c r="BC238">
        <v>2</v>
      </c>
      <c r="BD238" s="80" t="str">
        <f>REPLACE(INDEX(GroupVertices[Group],MATCH(Edges[[#This Row],[Vertex 1]],GroupVertices[Vertex],0)),1,1,"")</f>
        <v>1</v>
      </c>
      <c r="BE238" s="80" t="str">
        <f>REPLACE(INDEX(GroupVertices[Group],MATCH(Edges[[#This Row],[Vertex 2]],GroupVertices[Vertex],0)),1,1,"")</f>
        <v>1</v>
      </c>
      <c r="BF238" s="48">
        <v>0</v>
      </c>
      <c r="BG238" s="49">
        <v>0</v>
      </c>
      <c r="BH238" s="48">
        <v>0</v>
      </c>
      <c r="BI238" s="49">
        <v>0</v>
      </c>
      <c r="BJ238" s="48">
        <v>0</v>
      </c>
      <c r="BK238" s="49">
        <v>0</v>
      </c>
      <c r="BL238" s="48">
        <v>29</v>
      </c>
      <c r="BM238" s="49">
        <v>100</v>
      </c>
      <c r="BN238" s="48">
        <v>29</v>
      </c>
    </row>
    <row r="239" spans="1:66" ht="15">
      <c r="A239" s="66" t="s">
        <v>473</v>
      </c>
      <c r="B239" s="66" t="s">
        <v>551</v>
      </c>
      <c r="C239" s="67" t="s">
        <v>3149</v>
      </c>
      <c r="D239" s="68">
        <v>4</v>
      </c>
      <c r="E239" s="69" t="s">
        <v>132</v>
      </c>
      <c r="F239" s="70">
        <v>30</v>
      </c>
      <c r="G239" s="67"/>
      <c r="H239" s="71"/>
      <c r="I239" s="72"/>
      <c r="J239" s="72"/>
      <c r="K239" s="34" t="s">
        <v>65</v>
      </c>
      <c r="L239" s="79">
        <v>239</v>
      </c>
      <c r="M239" s="79"/>
      <c r="N239" s="74"/>
      <c r="O239" s="81" t="s">
        <v>587</v>
      </c>
      <c r="P239" s="83">
        <v>44004.65390046296</v>
      </c>
      <c r="Q239" s="81" t="s">
        <v>630</v>
      </c>
      <c r="R239" s="84" t="str">
        <f>HYPERLINK("https://twitter.com/i/web/status/1275081774133940224")</f>
        <v>https://twitter.com/i/web/status/1275081774133940224</v>
      </c>
      <c r="S239" s="81" t="s">
        <v>676</v>
      </c>
      <c r="T239" s="81" t="s">
        <v>707</v>
      </c>
      <c r="U239" s="81"/>
      <c r="V239" s="84" t="str">
        <f>HYPERLINK("http://pbs.twimg.com/profile_images/953436802110623744/NK6Q5dVg_normal.jpg")</f>
        <v>http://pbs.twimg.com/profile_images/953436802110623744/NK6Q5dVg_normal.jpg</v>
      </c>
      <c r="W239" s="83">
        <v>44004.65390046296</v>
      </c>
      <c r="X239" s="87">
        <v>44004</v>
      </c>
      <c r="Y239" s="89" t="s">
        <v>850</v>
      </c>
      <c r="Z239" s="84" t="str">
        <f>HYPERLINK("https://twitter.com/jornalismodados/status/1275091581159321600")</f>
        <v>https://twitter.com/jornalismodados/status/1275091581159321600</v>
      </c>
      <c r="AA239" s="81"/>
      <c r="AB239" s="81"/>
      <c r="AC239" s="89" t="s">
        <v>1059</v>
      </c>
      <c r="AD239" s="81"/>
      <c r="AE239" s="81" t="b">
        <v>0</v>
      </c>
      <c r="AF239" s="81">
        <v>0</v>
      </c>
      <c r="AG239" s="89" t="s">
        <v>1149</v>
      </c>
      <c r="AH239" s="81" t="b">
        <v>0</v>
      </c>
      <c r="AI239" s="81" t="s">
        <v>1155</v>
      </c>
      <c r="AJ239" s="81"/>
      <c r="AK239" s="89" t="s">
        <v>1149</v>
      </c>
      <c r="AL239" s="81" t="b">
        <v>0</v>
      </c>
      <c r="AM239" s="81">
        <v>0</v>
      </c>
      <c r="AN239" s="89" t="s">
        <v>1149</v>
      </c>
      <c r="AO239" s="81" t="s">
        <v>1180</v>
      </c>
      <c r="AP239" s="81" t="b">
        <v>0</v>
      </c>
      <c r="AQ239" s="89" t="s">
        <v>1059</v>
      </c>
      <c r="AR239" s="81" t="s">
        <v>325</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8">
        <v>0</v>
      </c>
      <c r="BG239" s="49">
        <v>0</v>
      </c>
      <c r="BH239" s="48">
        <v>0</v>
      </c>
      <c r="BI239" s="49">
        <v>0</v>
      </c>
      <c r="BJ239" s="48">
        <v>0</v>
      </c>
      <c r="BK239" s="49">
        <v>0</v>
      </c>
      <c r="BL239" s="48">
        <v>25</v>
      </c>
      <c r="BM239" s="49">
        <v>100</v>
      </c>
      <c r="BN239" s="48">
        <v>25</v>
      </c>
    </row>
    <row r="240" spans="1:66" ht="15">
      <c r="A240" s="66" t="s">
        <v>473</v>
      </c>
      <c r="B240" s="66" t="s">
        <v>552</v>
      </c>
      <c r="C240" s="67" t="s">
        <v>3149</v>
      </c>
      <c r="D240" s="68">
        <v>4</v>
      </c>
      <c r="E240" s="69" t="s">
        <v>132</v>
      </c>
      <c r="F240" s="70">
        <v>30</v>
      </c>
      <c r="G240" s="67"/>
      <c r="H240" s="71"/>
      <c r="I240" s="72"/>
      <c r="J240" s="72"/>
      <c r="K240" s="34" t="s">
        <v>65</v>
      </c>
      <c r="L240" s="79">
        <v>240</v>
      </c>
      <c r="M240" s="79"/>
      <c r="N240" s="74"/>
      <c r="O240" s="81" t="s">
        <v>587</v>
      </c>
      <c r="P240" s="83">
        <v>44004.69552083333</v>
      </c>
      <c r="Q240" s="81" t="s">
        <v>631</v>
      </c>
      <c r="R240" s="81"/>
      <c r="S240" s="81"/>
      <c r="T240" s="81" t="s">
        <v>707</v>
      </c>
      <c r="U240" s="81"/>
      <c r="V240" s="84" t="str">
        <f>HYPERLINK("http://pbs.twimg.com/profile_images/953436802110623744/NK6Q5dVg_normal.jpg")</f>
        <v>http://pbs.twimg.com/profile_images/953436802110623744/NK6Q5dVg_normal.jpg</v>
      </c>
      <c r="W240" s="83">
        <v>44004.69552083333</v>
      </c>
      <c r="X240" s="87">
        <v>44004</v>
      </c>
      <c r="Y240" s="89" t="s">
        <v>851</v>
      </c>
      <c r="Z240" s="84" t="str">
        <f>HYPERLINK("https://twitter.com/jornalismodados/status/1275106662630731776")</f>
        <v>https://twitter.com/jornalismodados/status/1275106662630731776</v>
      </c>
      <c r="AA240" s="81"/>
      <c r="AB240" s="81"/>
      <c r="AC240" s="89" t="s">
        <v>1060</v>
      </c>
      <c r="AD240" s="81"/>
      <c r="AE240" s="81" t="b">
        <v>0</v>
      </c>
      <c r="AF240" s="81">
        <v>0</v>
      </c>
      <c r="AG240" s="89" t="s">
        <v>1149</v>
      </c>
      <c r="AH240" s="81" t="b">
        <v>0</v>
      </c>
      <c r="AI240" s="81" t="s">
        <v>1155</v>
      </c>
      <c r="AJ240" s="81"/>
      <c r="AK240" s="89" t="s">
        <v>1149</v>
      </c>
      <c r="AL240" s="81" t="b">
        <v>0</v>
      </c>
      <c r="AM240" s="81">
        <v>0</v>
      </c>
      <c r="AN240" s="89" t="s">
        <v>1149</v>
      </c>
      <c r="AO240" s="81" t="s">
        <v>1180</v>
      </c>
      <c r="AP240" s="81" t="b">
        <v>0</v>
      </c>
      <c r="AQ240" s="89" t="s">
        <v>1060</v>
      </c>
      <c r="AR240" s="81" t="s">
        <v>325</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8"/>
      <c r="BG240" s="49"/>
      <c r="BH240" s="48"/>
      <c r="BI240" s="49"/>
      <c r="BJ240" s="48"/>
      <c r="BK240" s="49"/>
      <c r="BL240" s="48"/>
      <c r="BM240" s="49"/>
      <c r="BN240" s="48"/>
    </row>
    <row r="241" spans="1:66" ht="15">
      <c r="A241" s="66" t="s">
        <v>473</v>
      </c>
      <c r="B241" s="66" t="s">
        <v>553</v>
      </c>
      <c r="C241" s="67" t="s">
        <v>3149</v>
      </c>
      <c r="D241" s="68">
        <v>4</v>
      </c>
      <c r="E241" s="69" t="s">
        <v>132</v>
      </c>
      <c r="F241" s="70">
        <v>30</v>
      </c>
      <c r="G241" s="67"/>
      <c r="H241" s="71"/>
      <c r="I241" s="72"/>
      <c r="J241" s="72"/>
      <c r="K241" s="34" t="s">
        <v>65</v>
      </c>
      <c r="L241" s="79">
        <v>241</v>
      </c>
      <c r="M241" s="79"/>
      <c r="N241" s="74"/>
      <c r="O241" s="81" t="s">
        <v>587</v>
      </c>
      <c r="P241" s="83">
        <v>44004.69556712963</v>
      </c>
      <c r="Q241" s="81" t="s">
        <v>632</v>
      </c>
      <c r="R241" s="81"/>
      <c r="S241" s="81"/>
      <c r="T241" s="81" t="s">
        <v>707</v>
      </c>
      <c r="U241" s="81"/>
      <c r="V241" s="84" t="str">
        <f>HYPERLINK("http://pbs.twimg.com/profile_images/953436802110623744/NK6Q5dVg_normal.jpg")</f>
        <v>http://pbs.twimg.com/profile_images/953436802110623744/NK6Q5dVg_normal.jpg</v>
      </c>
      <c r="W241" s="83">
        <v>44004.69556712963</v>
      </c>
      <c r="X241" s="87">
        <v>44004</v>
      </c>
      <c r="Y241" s="89" t="s">
        <v>852</v>
      </c>
      <c r="Z241" s="84" t="str">
        <f>HYPERLINK("https://twitter.com/jornalismodados/status/1275106681060560896")</f>
        <v>https://twitter.com/jornalismodados/status/1275106681060560896</v>
      </c>
      <c r="AA241" s="81"/>
      <c r="AB241" s="81"/>
      <c r="AC241" s="89" t="s">
        <v>1061</v>
      </c>
      <c r="AD241" s="81"/>
      <c r="AE241" s="81" t="b">
        <v>0</v>
      </c>
      <c r="AF241" s="81">
        <v>1</v>
      </c>
      <c r="AG241" s="89" t="s">
        <v>1149</v>
      </c>
      <c r="AH241" s="81" t="b">
        <v>0</v>
      </c>
      <c r="AI241" s="81" t="s">
        <v>1155</v>
      </c>
      <c r="AJ241" s="81"/>
      <c r="AK241" s="89" t="s">
        <v>1149</v>
      </c>
      <c r="AL241" s="81" t="b">
        <v>0</v>
      </c>
      <c r="AM241" s="81">
        <v>0</v>
      </c>
      <c r="AN241" s="89" t="s">
        <v>1149</v>
      </c>
      <c r="AO241" s="81" t="s">
        <v>1180</v>
      </c>
      <c r="AP241" s="81" t="b">
        <v>0</v>
      </c>
      <c r="AQ241" s="89" t="s">
        <v>1061</v>
      </c>
      <c r="AR241" s="81" t="s">
        <v>325</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8"/>
      <c r="BG241" s="49"/>
      <c r="BH241" s="48"/>
      <c r="BI241" s="49"/>
      <c r="BJ241" s="48"/>
      <c r="BK241" s="49"/>
      <c r="BL241" s="48"/>
      <c r="BM241" s="49"/>
      <c r="BN241" s="48"/>
    </row>
    <row r="242" spans="1:66" ht="15">
      <c r="A242" s="66" t="s">
        <v>473</v>
      </c>
      <c r="B242" s="66" t="s">
        <v>554</v>
      </c>
      <c r="C242" s="67" t="s">
        <v>3151</v>
      </c>
      <c r="D242" s="68">
        <v>6</v>
      </c>
      <c r="E242" s="69" t="s">
        <v>132</v>
      </c>
      <c r="F242" s="70">
        <v>23.333333333333332</v>
      </c>
      <c r="G242" s="67"/>
      <c r="H242" s="71"/>
      <c r="I242" s="72"/>
      <c r="J242" s="72"/>
      <c r="K242" s="34" t="s">
        <v>65</v>
      </c>
      <c r="L242" s="79">
        <v>242</v>
      </c>
      <c r="M242" s="79"/>
      <c r="N242" s="74"/>
      <c r="O242" s="81" t="s">
        <v>587</v>
      </c>
      <c r="P242" s="83">
        <v>44004.69567129629</v>
      </c>
      <c r="Q242" s="81" t="s">
        <v>633</v>
      </c>
      <c r="R242" s="81"/>
      <c r="S242" s="81"/>
      <c r="T242" s="81" t="s">
        <v>707</v>
      </c>
      <c r="U242" s="81"/>
      <c r="V242" s="84" t="str">
        <f>HYPERLINK("http://pbs.twimg.com/profile_images/953436802110623744/NK6Q5dVg_normal.jpg")</f>
        <v>http://pbs.twimg.com/profile_images/953436802110623744/NK6Q5dVg_normal.jpg</v>
      </c>
      <c r="W242" s="83">
        <v>44004.69567129629</v>
      </c>
      <c r="X242" s="87">
        <v>44004</v>
      </c>
      <c r="Y242" s="89" t="s">
        <v>853</v>
      </c>
      <c r="Z242" s="84" t="str">
        <f>HYPERLINK("https://twitter.com/jornalismodados/status/1275106716489789441")</f>
        <v>https://twitter.com/jornalismodados/status/1275106716489789441</v>
      </c>
      <c r="AA242" s="81"/>
      <c r="AB242" s="81"/>
      <c r="AC242" s="89" t="s">
        <v>1062</v>
      </c>
      <c r="AD242" s="81"/>
      <c r="AE242" s="81" t="b">
        <v>0</v>
      </c>
      <c r="AF242" s="81">
        <v>0</v>
      </c>
      <c r="AG242" s="89" t="s">
        <v>1149</v>
      </c>
      <c r="AH242" s="81" t="b">
        <v>0</v>
      </c>
      <c r="AI242" s="81" t="s">
        <v>1155</v>
      </c>
      <c r="AJ242" s="81"/>
      <c r="AK242" s="89" t="s">
        <v>1149</v>
      </c>
      <c r="AL242" s="81" t="b">
        <v>0</v>
      </c>
      <c r="AM242" s="81">
        <v>0</v>
      </c>
      <c r="AN242" s="89" t="s">
        <v>1149</v>
      </c>
      <c r="AO242" s="81" t="s">
        <v>1180</v>
      </c>
      <c r="AP242" s="81" t="b">
        <v>0</v>
      </c>
      <c r="AQ242" s="89" t="s">
        <v>1062</v>
      </c>
      <c r="AR242" s="81" t="s">
        <v>325</v>
      </c>
      <c r="AS242" s="81">
        <v>0</v>
      </c>
      <c r="AT242" s="81">
        <v>0</v>
      </c>
      <c r="AU242" s="81"/>
      <c r="AV242" s="81"/>
      <c r="AW242" s="81"/>
      <c r="AX242" s="81"/>
      <c r="AY242" s="81"/>
      <c r="AZ242" s="81"/>
      <c r="BA242" s="81"/>
      <c r="BB242" s="81"/>
      <c r="BC242">
        <v>2</v>
      </c>
      <c r="BD242" s="80" t="str">
        <f>REPLACE(INDEX(GroupVertices[Group],MATCH(Edges[[#This Row],[Vertex 1]],GroupVertices[Vertex],0)),1,1,"")</f>
        <v>1</v>
      </c>
      <c r="BE242" s="80" t="str">
        <f>REPLACE(INDEX(GroupVertices[Group],MATCH(Edges[[#This Row],[Vertex 2]],GroupVertices[Vertex],0)),1,1,"")</f>
        <v>1</v>
      </c>
      <c r="BF242" s="48"/>
      <c r="BG242" s="49"/>
      <c r="BH242" s="48"/>
      <c r="BI242" s="49"/>
      <c r="BJ242" s="48"/>
      <c r="BK242" s="49"/>
      <c r="BL242" s="48"/>
      <c r="BM242" s="49"/>
      <c r="BN242" s="48"/>
    </row>
    <row r="243" spans="1:66" ht="15">
      <c r="A243" s="66" t="s">
        <v>473</v>
      </c>
      <c r="B243" s="66" t="s">
        <v>554</v>
      </c>
      <c r="C243" s="67" t="s">
        <v>3151</v>
      </c>
      <c r="D243" s="68">
        <v>6</v>
      </c>
      <c r="E243" s="69" t="s">
        <v>132</v>
      </c>
      <c r="F243" s="70">
        <v>23.333333333333332</v>
      </c>
      <c r="G243" s="67"/>
      <c r="H243" s="71"/>
      <c r="I243" s="72"/>
      <c r="J243" s="72"/>
      <c r="K243" s="34" t="s">
        <v>65</v>
      </c>
      <c r="L243" s="79">
        <v>243</v>
      </c>
      <c r="M243" s="79"/>
      <c r="N243" s="74"/>
      <c r="O243" s="81" t="s">
        <v>587</v>
      </c>
      <c r="P243" s="83">
        <v>44004.73753472222</v>
      </c>
      <c r="Q243" s="81" t="s">
        <v>634</v>
      </c>
      <c r="R243" s="84" t="str">
        <f>HYPERLINK("https://twitter.com/i/web/status/1275106716489789441")</f>
        <v>https://twitter.com/i/web/status/1275106716489789441</v>
      </c>
      <c r="S243" s="81" t="s">
        <v>676</v>
      </c>
      <c r="T243" s="81" t="s">
        <v>718</v>
      </c>
      <c r="U243" s="81"/>
      <c r="V243" s="84" t="str">
        <f>HYPERLINK("http://pbs.twimg.com/profile_images/953436802110623744/NK6Q5dVg_normal.jpg")</f>
        <v>http://pbs.twimg.com/profile_images/953436802110623744/NK6Q5dVg_normal.jpg</v>
      </c>
      <c r="W243" s="83">
        <v>44004.73753472222</v>
      </c>
      <c r="X243" s="87">
        <v>44004</v>
      </c>
      <c r="Y243" s="89" t="s">
        <v>854</v>
      </c>
      <c r="Z243" s="84" t="str">
        <f>HYPERLINK("https://twitter.com/jornalismodados/status/1275121889099333634")</f>
        <v>https://twitter.com/jornalismodados/status/1275121889099333634</v>
      </c>
      <c r="AA243" s="81"/>
      <c r="AB243" s="81"/>
      <c r="AC243" s="89" t="s">
        <v>1063</v>
      </c>
      <c r="AD243" s="81"/>
      <c r="AE243" s="81" t="b">
        <v>0</v>
      </c>
      <c r="AF243" s="81">
        <v>0</v>
      </c>
      <c r="AG243" s="89" t="s">
        <v>1149</v>
      </c>
      <c r="AH243" s="81" t="b">
        <v>0</v>
      </c>
      <c r="AI243" s="81" t="s">
        <v>1155</v>
      </c>
      <c r="AJ243" s="81"/>
      <c r="AK243" s="89" t="s">
        <v>1149</v>
      </c>
      <c r="AL243" s="81" t="b">
        <v>0</v>
      </c>
      <c r="AM243" s="81">
        <v>0</v>
      </c>
      <c r="AN243" s="89" t="s">
        <v>1149</v>
      </c>
      <c r="AO243" s="81" t="s">
        <v>1180</v>
      </c>
      <c r="AP243" s="81" t="b">
        <v>0</v>
      </c>
      <c r="AQ243" s="89" t="s">
        <v>1063</v>
      </c>
      <c r="AR243" s="81" t="s">
        <v>325</v>
      </c>
      <c r="AS243" s="81">
        <v>0</v>
      </c>
      <c r="AT243" s="81">
        <v>0</v>
      </c>
      <c r="AU243" s="81"/>
      <c r="AV243" s="81"/>
      <c r="AW243" s="81"/>
      <c r="AX243" s="81"/>
      <c r="AY243" s="81"/>
      <c r="AZ243" s="81"/>
      <c r="BA243" s="81"/>
      <c r="BB243" s="81"/>
      <c r="BC243">
        <v>2</v>
      </c>
      <c r="BD243" s="80" t="str">
        <f>REPLACE(INDEX(GroupVertices[Group],MATCH(Edges[[#This Row],[Vertex 1]],GroupVertices[Vertex],0)),1,1,"")</f>
        <v>1</v>
      </c>
      <c r="BE243" s="80" t="str">
        <f>REPLACE(INDEX(GroupVertices[Group],MATCH(Edges[[#This Row],[Vertex 2]],GroupVertices[Vertex],0)),1,1,"")</f>
        <v>1</v>
      </c>
      <c r="BF243" s="48"/>
      <c r="BG243" s="49"/>
      <c r="BH243" s="48"/>
      <c r="BI243" s="49"/>
      <c r="BJ243" s="48"/>
      <c r="BK243" s="49"/>
      <c r="BL243" s="48"/>
      <c r="BM243" s="49"/>
      <c r="BN243" s="48"/>
    </row>
    <row r="244" spans="1:66" ht="15">
      <c r="A244" s="66" t="s">
        <v>473</v>
      </c>
      <c r="B244" s="66" t="s">
        <v>555</v>
      </c>
      <c r="C244" s="67" t="s">
        <v>3151</v>
      </c>
      <c r="D244" s="68">
        <v>6</v>
      </c>
      <c r="E244" s="69" t="s">
        <v>132</v>
      </c>
      <c r="F244" s="70">
        <v>23.333333333333332</v>
      </c>
      <c r="G244" s="67"/>
      <c r="H244" s="71"/>
      <c r="I244" s="72"/>
      <c r="J244" s="72"/>
      <c r="K244" s="34" t="s">
        <v>65</v>
      </c>
      <c r="L244" s="79">
        <v>244</v>
      </c>
      <c r="M244" s="79"/>
      <c r="N244" s="74"/>
      <c r="O244" s="81" t="s">
        <v>587</v>
      </c>
      <c r="P244" s="83">
        <v>44004.737337962964</v>
      </c>
      <c r="Q244" s="81" t="s">
        <v>635</v>
      </c>
      <c r="R244" s="81"/>
      <c r="S244" s="81"/>
      <c r="T244" s="81" t="s">
        <v>707</v>
      </c>
      <c r="U244" s="81"/>
      <c r="V244" s="84" t="str">
        <f>HYPERLINK("http://pbs.twimg.com/profile_images/953436802110623744/NK6Q5dVg_normal.jpg")</f>
        <v>http://pbs.twimg.com/profile_images/953436802110623744/NK6Q5dVg_normal.jpg</v>
      </c>
      <c r="W244" s="83">
        <v>44004.737337962964</v>
      </c>
      <c r="X244" s="87">
        <v>44004</v>
      </c>
      <c r="Y244" s="89" t="s">
        <v>855</v>
      </c>
      <c r="Z244" s="84" t="str">
        <f>HYPERLINK("https://twitter.com/jornalismodados/status/1275121818836389888")</f>
        <v>https://twitter.com/jornalismodados/status/1275121818836389888</v>
      </c>
      <c r="AA244" s="81"/>
      <c r="AB244" s="81"/>
      <c r="AC244" s="89" t="s">
        <v>1064</v>
      </c>
      <c r="AD244" s="81"/>
      <c r="AE244" s="81" t="b">
        <v>0</v>
      </c>
      <c r="AF244" s="81">
        <v>0</v>
      </c>
      <c r="AG244" s="89" t="s">
        <v>1149</v>
      </c>
      <c r="AH244" s="81" t="b">
        <v>0</v>
      </c>
      <c r="AI244" s="81" t="s">
        <v>1155</v>
      </c>
      <c r="AJ244" s="81"/>
      <c r="AK244" s="89" t="s">
        <v>1149</v>
      </c>
      <c r="AL244" s="81" t="b">
        <v>0</v>
      </c>
      <c r="AM244" s="81">
        <v>0</v>
      </c>
      <c r="AN244" s="89" t="s">
        <v>1149</v>
      </c>
      <c r="AO244" s="81" t="s">
        <v>1180</v>
      </c>
      <c r="AP244" s="81" t="b">
        <v>0</v>
      </c>
      <c r="AQ244" s="89" t="s">
        <v>1064</v>
      </c>
      <c r="AR244" s="81" t="s">
        <v>325</v>
      </c>
      <c r="AS244" s="81">
        <v>0</v>
      </c>
      <c r="AT244" s="81">
        <v>0</v>
      </c>
      <c r="AU244" s="81"/>
      <c r="AV244" s="81"/>
      <c r="AW244" s="81"/>
      <c r="AX244" s="81"/>
      <c r="AY244" s="81"/>
      <c r="AZ244" s="81"/>
      <c r="BA244" s="81"/>
      <c r="BB244" s="81"/>
      <c r="BC244">
        <v>2</v>
      </c>
      <c r="BD244" s="80" t="str">
        <f>REPLACE(INDEX(GroupVertices[Group],MATCH(Edges[[#This Row],[Vertex 1]],GroupVertices[Vertex],0)),1,1,"")</f>
        <v>1</v>
      </c>
      <c r="BE244" s="80" t="str">
        <f>REPLACE(INDEX(GroupVertices[Group],MATCH(Edges[[#This Row],[Vertex 2]],GroupVertices[Vertex],0)),1,1,"")</f>
        <v>1</v>
      </c>
      <c r="BF244" s="48"/>
      <c r="BG244" s="49"/>
      <c r="BH244" s="48"/>
      <c r="BI244" s="49"/>
      <c r="BJ244" s="48"/>
      <c r="BK244" s="49"/>
      <c r="BL244" s="48"/>
      <c r="BM244" s="49"/>
      <c r="BN244" s="48"/>
    </row>
    <row r="245" spans="1:66" ht="15">
      <c r="A245" s="66" t="s">
        <v>473</v>
      </c>
      <c r="B245" s="66" t="s">
        <v>555</v>
      </c>
      <c r="C245" s="67" t="s">
        <v>3151</v>
      </c>
      <c r="D245" s="68">
        <v>6</v>
      </c>
      <c r="E245" s="69" t="s">
        <v>132</v>
      </c>
      <c r="F245" s="70">
        <v>23.333333333333332</v>
      </c>
      <c r="G245" s="67"/>
      <c r="H245" s="71"/>
      <c r="I245" s="72"/>
      <c r="J245" s="72"/>
      <c r="K245" s="34" t="s">
        <v>65</v>
      </c>
      <c r="L245" s="79">
        <v>245</v>
      </c>
      <c r="M245" s="79"/>
      <c r="N245" s="74"/>
      <c r="O245" s="81" t="s">
        <v>587</v>
      </c>
      <c r="P245" s="83">
        <v>44004.77885416667</v>
      </c>
      <c r="Q245" s="81" t="s">
        <v>636</v>
      </c>
      <c r="R245" s="84" t="str">
        <f>HYPERLINK("https://twitter.com/i/web/status/1275121818836389888")</f>
        <v>https://twitter.com/i/web/status/1275121818836389888</v>
      </c>
      <c r="S245" s="81" t="s">
        <v>676</v>
      </c>
      <c r="T245" s="81" t="s">
        <v>718</v>
      </c>
      <c r="U245" s="81"/>
      <c r="V245" s="84" t="str">
        <f>HYPERLINK("http://pbs.twimg.com/profile_images/953436802110623744/NK6Q5dVg_normal.jpg")</f>
        <v>http://pbs.twimg.com/profile_images/953436802110623744/NK6Q5dVg_normal.jpg</v>
      </c>
      <c r="W245" s="83">
        <v>44004.77885416667</v>
      </c>
      <c r="X245" s="87">
        <v>44004</v>
      </c>
      <c r="Y245" s="89" t="s">
        <v>856</v>
      </c>
      <c r="Z245" s="84" t="str">
        <f>HYPERLINK("https://twitter.com/jornalismodados/status/1275136861065949184")</f>
        <v>https://twitter.com/jornalismodados/status/1275136861065949184</v>
      </c>
      <c r="AA245" s="81"/>
      <c r="AB245" s="81"/>
      <c r="AC245" s="89" t="s">
        <v>1065</v>
      </c>
      <c r="AD245" s="81"/>
      <c r="AE245" s="81" t="b">
        <v>0</v>
      </c>
      <c r="AF245" s="81">
        <v>0</v>
      </c>
      <c r="AG245" s="89" t="s">
        <v>1149</v>
      </c>
      <c r="AH245" s="81" t="b">
        <v>0</v>
      </c>
      <c r="AI245" s="81" t="s">
        <v>1155</v>
      </c>
      <c r="AJ245" s="81"/>
      <c r="AK245" s="89" t="s">
        <v>1149</v>
      </c>
      <c r="AL245" s="81" t="b">
        <v>0</v>
      </c>
      <c r="AM245" s="81">
        <v>0</v>
      </c>
      <c r="AN245" s="89" t="s">
        <v>1149</v>
      </c>
      <c r="AO245" s="81" t="s">
        <v>1180</v>
      </c>
      <c r="AP245" s="81" t="b">
        <v>0</v>
      </c>
      <c r="AQ245" s="89" t="s">
        <v>1065</v>
      </c>
      <c r="AR245" s="81" t="s">
        <v>325</v>
      </c>
      <c r="AS245" s="81">
        <v>0</v>
      </c>
      <c r="AT245" s="81">
        <v>0</v>
      </c>
      <c r="AU245" s="81"/>
      <c r="AV245" s="81"/>
      <c r="AW245" s="81"/>
      <c r="AX245" s="81"/>
      <c r="AY245" s="81"/>
      <c r="AZ245" s="81"/>
      <c r="BA245" s="81"/>
      <c r="BB245" s="81"/>
      <c r="BC245">
        <v>2</v>
      </c>
      <c r="BD245" s="80" t="str">
        <f>REPLACE(INDEX(GroupVertices[Group],MATCH(Edges[[#This Row],[Vertex 1]],GroupVertices[Vertex],0)),1,1,"")</f>
        <v>1</v>
      </c>
      <c r="BE245" s="80" t="str">
        <f>REPLACE(INDEX(GroupVertices[Group],MATCH(Edges[[#This Row],[Vertex 2]],GroupVertices[Vertex],0)),1,1,"")</f>
        <v>1</v>
      </c>
      <c r="BF245" s="48"/>
      <c r="BG245" s="49"/>
      <c r="BH245" s="48"/>
      <c r="BI245" s="49"/>
      <c r="BJ245" s="48"/>
      <c r="BK245" s="49"/>
      <c r="BL245" s="48"/>
      <c r="BM245" s="49"/>
      <c r="BN245" s="48"/>
    </row>
    <row r="246" spans="1:66" ht="15">
      <c r="A246" s="66" t="s">
        <v>473</v>
      </c>
      <c r="B246" s="66" t="s">
        <v>556</v>
      </c>
      <c r="C246" s="67" t="s">
        <v>3151</v>
      </c>
      <c r="D246" s="68">
        <v>6</v>
      </c>
      <c r="E246" s="69" t="s">
        <v>132</v>
      </c>
      <c r="F246" s="70">
        <v>23.333333333333332</v>
      </c>
      <c r="G246" s="67"/>
      <c r="H246" s="71"/>
      <c r="I246" s="72"/>
      <c r="J246" s="72"/>
      <c r="K246" s="34" t="s">
        <v>65</v>
      </c>
      <c r="L246" s="79">
        <v>246</v>
      </c>
      <c r="M246" s="79"/>
      <c r="N246" s="74"/>
      <c r="O246" s="81" t="s">
        <v>587</v>
      </c>
      <c r="P246" s="83">
        <v>44004.737280092595</v>
      </c>
      <c r="Q246" s="81" t="s">
        <v>637</v>
      </c>
      <c r="R246" s="81"/>
      <c r="S246" s="81"/>
      <c r="T246" s="81" t="s">
        <v>707</v>
      </c>
      <c r="U246" s="81"/>
      <c r="V246" s="84" t="str">
        <f>HYPERLINK("http://pbs.twimg.com/profile_images/953436802110623744/NK6Q5dVg_normal.jpg")</f>
        <v>http://pbs.twimg.com/profile_images/953436802110623744/NK6Q5dVg_normal.jpg</v>
      </c>
      <c r="W246" s="83">
        <v>44004.737280092595</v>
      </c>
      <c r="X246" s="87">
        <v>44004</v>
      </c>
      <c r="Y246" s="89" t="s">
        <v>857</v>
      </c>
      <c r="Z246" s="84" t="str">
        <f>HYPERLINK("https://twitter.com/jornalismodados/status/1275121796350709761")</f>
        <v>https://twitter.com/jornalismodados/status/1275121796350709761</v>
      </c>
      <c r="AA246" s="81"/>
      <c r="AB246" s="81"/>
      <c r="AC246" s="89" t="s">
        <v>1066</v>
      </c>
      <c r="AD246" s="81"/>
      <c r="AE246" s="81" t="b">
        <v>0</v>
      </c>
      <c r="AF246" s="81">
        <v>0</v>
      </c>
      <c r="AG246" s="89" t="s">
        <v>1149</v>
      </c>
      <c r="AH246" s="81" t="b">
        <v>0</v>
      </c>
      <c r="AI246" s="81" t="s">
        <v>1155</v>
      </c>
      <c r="AJ246" s="81"/>
      <c r="AK246" s="89" t="s">
        <v>1149</v>
      </c>
      <c r="AL246" s="81" t="b">
        <v>0</v>
      </c>
      <c r="AM246" s="81">
        <v>0</v>
      </c>
      <c r="AN246" s="89" t="s">
        <v>1149</v>
      </c>
      <c r="AO246" s="81" t="s">
        <v>1180</v>
      </c>
      <c r="AP246" s="81" t="b">
        <v>0</v>
      </c>
      <c r="AQ246" s="89" t="s">
        <v>1066</v>
      </c>
      <c r="AR246" s="81" t="s">
        <v>325</v>
      </c>
      <c r="AS246" s="81">
        <v>0</v>
      </c>
      <c r="AT246" s="81">
        <v>0</v>
      </c>
      <c r="AU246" s="81"/>
      <c r="AV246" s="81"/>
      <c r="AW246" s="81"/>
      <c r="AX246" s="81"/>
      <c r="AY246" s="81"/>
      <c r="AZ246" s="81"/>
      <c r="BA246" s="81"/>
      <c r="BB246" s="81"/>
      <c r="BC246">
        <v>2</v>
      </c>
      <c r="BD246" s="80" t="str">
        <f>REPLACE(INDEX(GroupVertices[Group],MATCH(Edges[[#This Row],[Vertex 1]],GroupVertices[Vertex],0)),1,1,"")</f>
        <v>1</v>
      </c>
      <c r="BE246" s="80" t="str">
        <f>REPLACE(INDEX(GroupVertices[Group],MATCH(Edges[[#This Row],[Vertex 2]],GroupVertices[Vertex],0)),1,1,"")</f>
        <v>1</v>
      </c>
      <c r="BF246" s="48"/>
      <c r="BG246" s="49"/>
      <c r="BH246" s="48"/>
      <c r="BI246" s="49"/>
      <c r="BJ246" s="48"/>
      <c r="BK246" s="49"/>
      <c r="BL246" s="48"/>
      <c r="BM246" s="49"/>
      <c r="BN246" s="48"/>
    </row>
    <row r="247" spans="1:66" ht="15">
      <c r="A247" s="66" t="s">
        <v>473</v>
      </c>
      <c r="B247" s="66" t="s">
        <v>556</v>
      </c>
      <c r="C247" s="67" t="s">
        <v>3151</v>
      </c>
      <c r="D247" s="68">
        <v>6</v>
      </c>
      <c r="E247" s="69" t="s">
        <v>132</v>
      </c>
      <c r="F247" s="70">
        <v>23.333333333333332</v>
      </c>
      <c r="G247" s="67"/>
      <c r="H247" s="71"/>
      <c r="I247" s="72"/>
      <c r="J247" s="72"/>
      <c r="K247" s="34" t="s">
        <v>65</v>
      </c>
      <c r="L247" s="79">
        <v>247</v>
      </c>
      <c r="M247" s="79"/>
      <c r="N247" s="74"/>
      <c r="O247" s="81" t="s">
        <v>587</v>
      </c>
      <c r="P247" s="83">
        <v>44004.77893518518</v>
      </c>
      <c r="Q247" s="81" t="s">
        <v>638</v>
      </c>
      <c r="R247" s="84" t="str">
        <f>HYPERLINK("https://twitter.com/i/web/status/1275121796350709761")</f>
        <v>https://twitter.com/i/web/status/1275121796350709761</v>
      </c>
      <c r="S247" s="81" t="s">
        <v>676</v>
      </c>
      <c r="T247" s="81" t="s">
        <v>718</v>
      </c>
      <c r="U247" s="81"/>
      <c r="V247" s="84" t="str">
        <f>HYPERLINK("http://pbs.twimg.com/profile_images/953436802110623744/NK6Q5dVg_normal.jpg")</f>
        <v>http://pbs.twimg.com/profile_images/953436802110623744/NK6Q5dVg_normal.jpg</v>
      </c>
      <c r="W247" s="83">
        <v>44004.77893518518</v>
      </c>
      <c r="X247" s="87">
        <v>44004</v>
      </c>
      <c r="Y247" s="89" t="s">
        <v>858</v>
      </c>
      <c r="Z247" s="84" t="str">
        <f>HYPERLINK("https://twitter.com/jornalismodados/status/1275136891856306176")</f>
        <v>https://twitter.com/jornalismodados/status/1275136891856306176</v>
      </c>
      <c r="AA247" s="81"/>
      <c r="AB247" s="81"/>
      <c r="AC247" s="89" t="s">
        <v>1067</v>
      </c>
      <c r="AD247" s="81"/>
      <c r="AE247" s="81" t="b">
        <v>0</v>
      </c>
      <c r="AF247" s="81">
        <v>0</v>
      </c>
      <c r="AG247" s="89" t="s">
        <v>1149</v>
      </c>
      <c r="AH247" s="81" t="b">
        <v>0</v>
      </c>
      <c r="AI247" s="81" t="s">
        <v>1155</v>
      </c>
      <c r="AJ247" s="81"/>
      <c r="AK247" s="89" t="s">
        <v>1149</v>
      </c>
      <c r="AL247" s="81" t="b">
        <v>0</v>
      </c>
      <c r="AM247" s="81">
        <v>0</v>
      </c>
      <c r="AN247" s="89" t="s">
        <v>1149</v>
      </c>
      <c r="AO247" s="81" t="s">
        <v>1180</v>
      </c>
      <c r="AP247" s="81" t="b">
        <v>0</v>
      </c>
      <c r="AQ247" s="89" t="s">
        <v>1067</v>
      </c>
      <c r="AR247" s="81" t="s">
        <v>325</v>
      </c>
      <c r="AS247" s="81">
        <v>0</v>
      </c>
      <c r="AT247" s="81">
        <v>0</v>
      </c>
      <c r="AU247" s="81"/>
      <c r="AV247" s="81"/>
      <c r="AW247" s="81"/>
      <c r="AX247" s="81"/>
      <c r="AY247" s="81"/>
      <c r="AZ247" s="81"/>
      <c r="BA247" s="81"/>
      <c r="BB247" s="81"/>
      <c r="BC247">
        <v>2</v>
      </c>
      <c r="BD247" s="80" t="str">
        <f>REPLACE(INDEX(GroupVertices[Group],MATCH(Edges[[#This Row],[Vertex 1]],GroupVertices[Vertex],0)),1,1,"")</f>
        <v>1</v>
      </c>
      <c r="BE247" s="80" t="str">
        <f>REPLACE(INDEX(GroupVertices[Group],MATCH(Edges[[#This Row],[Vertex 2]],GroupVertices[Vertex],0)),1,1,"")</f>
        <v>1</v>
      </c>
      <c r="BF247" s="48"/>
      <c r="BG247" s="49"/>
      <c r="BH247" s="48"/>
      <c r="BI247" s="49"/>
      <c r="BJ247" s="48"/>
      <c r="BK247" s="49"/>
      <c r="BL247" s="48"/>
      <c r="BM247" s="49"/>
      <c r="BN247" s="48"/>
    </row>
    <row r="248" spans="1:66" ht="15">
      <c r="A248" s="66" t="s">
        <v>473</v>
      </c>
      <c r="B248" s="66" t="s">
        <v>557</v>
      </c>
      <c r="C248" s="67" t="s">
        <v>3151</v>
      </c>
      <c r="D248" s="68">
        <v>6</v>
      </c>
      <c r="E248" s="69" t="s">
        <v>132</v>
      </c>
      <c r="F248" s="70">
        <v>23.333333333333332</v>
      </c>
      <c r="G248" s="67"/>
      <c r="H248" s="71"/>
      <c r="I248" s="72"/>
      <c r="J248" s="72"/>
      <c r="K248" s="34" t="s">
        <v>65</v>
      </c>
      <c r="L248" s="79">
        <v>248</v>
      </c>
      <c r="M248" s="79"/>
      <c r="N248" s="74"/>
      <c r="O248" s="81" t="s">
        <v>587</v>
      </c>
      <c r="P248" s="83">
        <v>44004.7371875</v>
      </c>
      <c r="Q248" s="81" t="s">
        <v>639</v>
      </c>
      <c r="R248" s="81"/>
      <c r="S248" s="81"/>
      <c r="T248" s="81" t="s">
        <v>707</v>
      </c>
      <c r="U248" s="81"/>
      <c r="V248" s="84" t="str">
        <f>HYPERLINK("http://pbs.twimg.com/profile_images/953436802110623744/NK6Q5dVg_normal.jpg")</f>
        <v>http://pbs.twimg.com/profile_images/953436802110623744/NK6Q5dVg_normal.jpg</v>
      </c>
      <c r="W248" s="83">
        <v>44004.7371875</v>
      </c>
      <c r="X248" s="87">
        <v>44004</v>
      </c>
      <c r="Y248" s="89" t="s">
        <v>859</v>
      </c>
      <c r="Z248" s="84" t="str">
        <f>HYPERLINK("https://twitter.com/jornalismodados/status/1275121761441517569")</f>
        <v>https://twitter.com/jornalismodados/status/1275121761441517569</v>
      </c>
      <c r="AA248" s="81"/>
      <c r="AB248" s="81"/>
      <c r="AC248" s="89" t="s">
        <v>1068</v>
      </c>
      <c r="AD248" s="81"/>
      <c r="AE248" s="81" t="b">
        <v>0</v>
      </c>
      <c r="AF248" s="81">
        <v>0</v>
      </c>
      <c r="AG248" s="89" t="s">
        <v>1149</v>
      </c>
      <c r="AH248" s="81" t="b">
        <v>0</v>
      </c>
      <c r="AI248" s="81" t="s">
        <v>1155</v>
      </c>
      <c r="AJ248" s="81"/>
      <c r="AK248" s="89" t="s">
        <v>1149</v>
      </c>
      <c r="AL248" s="81" t="b">
        <v>0</v>
      </c>
      <c r="AM248" s="81">
        <v>0</v>
      </c>
      <c r="AN248" s="89" t="s">
        <v>1149</v>
      </c>
      <c r="AO248" s="81" t="s">
        <v>1180</v>
      </c>
      <c r="AP248" s="81" t="b">
        <v>0</v>
      </c>
      <c r="AQ248" s="89" t="s">
        <v>1068</v>
      </c>
      <c r="AR248" s="81" t="s">
        <v>325</v>
      </c>
      <c r="AS248" s="81">
        <v>0</v>
      </c>
      <c r="AT248" s="81">
        <v>0</v>
      </c>
      <c r="AU248" s="81"/>
      <c r="AV248" s="81"/>
      <c r="AW248" s="81"/>
      <c r="AX248" s="81"/>
      <c r="AY248" s="81"/>
      <c r="AZ248" s="81"/>
      <c r="BA248" s="81"/>
      <c r="BB248" s="81"/>
      <c r="BC248">
        <v>2</v>
      </c>
      <c r="BD248" s="80" t="str">
        <f>REPLACE(INDEX(GroupVertices[Group],MATCH(Edges[[#This Row],[Vertex 1]],GroupVertices[Vertex],0)),1,1,"")</f>
        <v>1</v>
      </c>
      <c r="BE248" s="80" t="str">
        <f>REPLACE(INDEX(GroupVertices[Group],MATCH(Edges[[#This Row],[Vertex 2]],GroupVertices[Vertex],0)),1,1,"")</f>
        <v>1</v>
      </c>
      <c r="BF248" s="48"/>
      <c r="BG248" s="49"/>
      <c r="BH248" s="48"/>
      <c r="BI248" s="49"/>
      <c r="BJ248" s="48"/>
      <c r="BK248" s="49"/>
      <c r="BL248" s="48"/>
      <c r="BM248" s="49"/>
      <c r="BN248" s="48"/>
    </row>
    <row r="249" spans="1:66" ht="15">
      <c r="A249" s="66" t="s">
        <v>473</v>
      </c>
      <c r="B249" s="66" t="s">
        <v>557</v>
      </c>
      <c r="C249" s="67" t="s">
        <v>3151</v>
      </c>
      <c r="D249" s="68">
        <v>6</v>
      </c>
      <c r="E249" s="69" t="s">
        <v>132</v>
      </c>
      <c r="F249" s="70">
        <v>23.333333333333332</v>
      </c>
      <c r="G249" s="67"/>
      <c r="H249" s="71"/>
      <c r="I249" s="72"/>
      <c r="J249" s="72"/>
      <c r="K249" s="34" t="s">
        <v>65</v>
      </c>
      <c r="L249" s="79">
        <v>249</v>
      </c>
      <c r="M249" s="79"/>
      <c r="N249" s="74"/>
      <c r="O249" s="81" t="s">
        <v>587</v>
      </c>
      <c r="P249" s="83">
        <v>44004.77903935185</v>
      </c>
      <c r="Q249" s="81" t="s">
        <v>640</v>
      </c>
      <c r="R249" s="84" t="str">
        <f>HYPERLINK("https://twitter.com/i/web/status/1275121761441517569")</f>
        <v>https://twitter.com/i/web/status/1275121761441517569</v>
      </c>
      <c r="S249" s="81" t="s">
        <v>676</v>
      </c>
      <c r="T249" s="81" t="s">
        <v>718</v>
      </c>
      <c r="U249" s="81"/>
      <c r="V249" s="84" t="str">
        <f>HYPERLINK("http://pbs.twimg.com/profile_images/953436802110623744/NK6Q5dVg_normal.jpg")</f>
        <v>http://pbs.twimg.com/profile_images/953436802110623744/NK6Q5dVg_normal.jpg</v>
      </c>
      <c r="W249" s="83">
        <v>44004.77903935185</v>
      </c>
      <c r="X249" s="87">
        <v>44004</v>
      </c>
      <c r="Y249" s="89" t="s">
        <v>860</v>
      </c>
      <c r="Z249" s="84" t="str">
        <f>HYPERLINK("https://twitter.com/jornalismodados/status/1275136931349790721")</f>
        <v>https://twitter.com/jornalismodados/status/1275136931349790721</v>
      </c>
      <c r="AA249" s="81"/>
      <c r="AB249" s="81"/>
      <c r="AC249" s="89" t="s">
        <v>1069</v>
      </c>
      <c r="AD249" s="81"/>
      <c r="AE249" s="81" t="b">
        <v>0</v>
      </c>
      <c r="AF249" s="81">
        <v>0</v>
      </c>
      <c r="AG249" s="89" t="s">
        <v>1149</v>
      </c>
      <c r="AH249" s="81" t="b">
        <v>0</v>
      </c>
      <c r="AI249" s="81" t="s">
        <v>1155</v>
      </c>
      <c r="AJ249" s="81"/>
      <c r="AK249" s="89" t="s">
        <v>1149</v>
      </c>
      <c r="AL249" s="81" t="b">
        <v>0</v>
      </c>
      <c r="AM249" s="81">
        <v>0</v>
      </c>
      <c r="AN249" s="89" t="s">
        <v>1149</v>
      </c>
      <c r="AO249" s="81" t="s">
        <v>1180</v>
      </c>
      <c r="AP249" s="81" t="b">
        <v>0</v>
      </c>
      <c r="AQ249" s="89" t="s">
        <v>1069</v>
      </c>
      <c r="AR249" s="81" t="s">
        <v>325</v>
      </c>
      <c r="AS249" s="81">
        <v>0</v>
      </c>
      <c r="AT249" s="81">
        <v>0</v>
      </c>
      <c r="AU249" s="81"/>
      <c r="AV249" s="81"/>
      <c r="AW249" s="81"/>
      <c r="AX249" s="81"/>
      <c r="AY249" s="81"/>
      <c r="AZ249" s="81"/>
      <c r="BA249" s="81"/>
      <c r="BB249" s="81"/>
      <c r="BC249">
        <v>2</v>
      </c>
      <c r="BD249" s="80" t="str">
        <f>REPLACE(INDEX(GroupVertices[Group],MATCH(Edges[[#This Row],[Vertex 1]],GroupVertices[Vertex],0)),1,1,"")</f>
        <v>1</v>
      </c>
      <c r="BE249" s="80" t="str">
        <f>REPLACE(INDEX(GroupVertices[Group],MATCH(Edges[[#This Row],[Vertex 2]],GroupVertices[Vertex],0)),1,1,"")</f>
        <v>1</v>
      </c>
      <c r="BF249" s="48"/>
      <c r="BG249" s="49"/>
      <c r="BH249" s="48"/>
      <c r="BI249" s="49"/>
      <c r="BJ249" s="48"/>
      <c r="BK249" s="49"/>
      <c r="BL249" s="48"/>
      <c r="BM249" s="49"/>
      <c r="BN249" s="48"/>
    </row>
    <row r="250" spans="1:66" ht="15">
      <c r="A250" s="66" t="s">
        <v>473</v>
      </c>
      <c r="B250" s="66" t="s">
        <v>558</v>
      </c>
      <c r="C250" s="67" t="s">
        <v>3149</v>
      </c>
      <c r="D250" s="68">
        <v>4</v>
      </c>
      <c r="E250" s="69" t="s">
        <v>132</v>
      </c>
      <c r="F250" s="70">
        <v>30</v>
      </c>
      <c r="G250" s="67"/>
      <c r="H250" s="71"/>
      <c r="I250" s="72"/>
      <c r="J250" s="72"/>
      <c r="K250" s="34" t="s">
        <v>65</v>
      </c>
      <c r="L250" s="79">
        <v>250</v>
      </c>
      <c r="M250" s="79"/>
      <c r="N250" s="74"/>
      <c r="O250" s="81" t="s">
        <v>587</v>
      </c>
      <c r="P250" s="83">
        <v>44004.820625</v>
      </c>
      <c r="Q250" s="81" t="s">
        <v>641</v>
      </c>
      <c r="R250" s="84" t="str">
        <f>HYPERLINK("https://twitter.com/i/web/status/1275146401245204481")</f>
        <v>https://twitter.com/i/web/status/1275146401245204481</v>
      </c>
      <c r="S250" s="81" t="s">
        <v>676</v>
      </c>
      <c r="T250" s="81" t="s">
        <v>707</v>
      </c>
      <c r="U250" s="81"/>
      <c r="V250" s="84" t="str">
        <f>HYPERLINK("http://pbs.twimg.com/profile_images/953436802110623744/NK6Q5dVg_normal.jpg")</f>
        <v>http://pbs.twimg.com/profile_images/953436802110623744/NK6Q5dVg_normal.jpg</v>
      </c>
      <c r="W250" s="83">
        <v>44004.820625</v>
      </c>
      <c r="X250" s="87">
        <v>44004</v>
      </c>
      <c r="Y250" s="89" t="s">
        <v>861</v>
      </c>
      <c r="Z250" s="84" t="str">
        <f>HYPERLINK("https://twitter.com/jornalismodados/status/1275152000095789057")</f>
        <v>https://twitter.com/jornalismodados/status/1275152000095789057</v>
      </c>
      <c r="AA250" s="81"/>
      <c r="AB250" s="81"/>
      <c r="AC250" s="89" t="s">
        <v>1070</v>
      </c>
      <c r="AD250" s="81"/>
      <c r="AE250" s="81" t="b">
        <v>0</v>
      </c>
      <c r="AF250" s="81">
        <v>0</v>
      </c>
      <c r="AG250" s="89" t="s">
        <v>1149</v>
      </c>
      <c r="AH250" s="81" t="b">
        <v>0</v>
      </c>
      <c r="AI250" s="81" t="s">
        <v>1155</v>
      </c>
      <c r="AJ250" s="81"/>
      <c r="AK250" s="89" t="s">
        <v>1149</v>
      </c>
      <c r="AL250" s="81" t="b">
        <v>0</v>
      </c>
      <c r="AM250" s="81">
        <v>0</v>
      </c>
      <c r="AN250" s="89" t="s">
        <v>1149</v>
      </c>
      <c r="AO250" s="81" t="s">
        <v>1180</v>
      </c>
      <c r="AP250" s="81" t="b">
        <v>0</v>
      </c>
      <c r="AQ250" s="89" t="s">
        <v>1070</v>
      </c>
      <c r="AR250" s="81" t="s">
        <v>325</v>
      </c>
      <c r="AS250" s="81">
        <v>0</v>
      </c>
      <c r="AT250" s="81">
        <v>0</v>
      </c>
      <c r="AU250" s="81"/>
      <c r="AV250" s="81"/>
      <c r="AW250" s="81"/>
      <c r="AX250" s="81"/>
      <c r="AY250" s="81"/>
      <c r="AZ250" s="81"/>
      <c r="BA250" s="81"/>
      <c r="BB250" s="81"/>
      <c r="BC250">
        <v>1</v>
      </c>
      <c r="BD250" s="80" t="str">
        <f>REPLACE(INDEX(GroupVertices[Group],MATCH(Edges[[#This Row],[Vertex 1]],GroupVertices[Vertex],0)),1,1,"")</f>
        <v>1</v>
      </c>
      <c r="BE250" s="80" t="str">
        <f>REPLACE(INDEX(GroupVertices[Group],MATCH(Edges[[#This Row],[Vertex 2]],GroupVertices[Vertex],0)),1,1,"")</f>
        <v>1</v>
      </c>
      <c r="BF250" s="48"/>
      <c r="BG250" s="49"/>
      <c r="BH250" s="48"/>
      <c r="BI250" s="49"/>
      <c r="BJ250" s="48"/>
      <c r="BK250" s="49"/>
      <c r="BL250" s="48"/>
      <c r="BM250" s="49"/>
      <c r="BN250" s="48"/>
    </row>
    <row r="251" spans="1:66" ht="15">
      <c r="A251" s="66" t="s">
        <v>473</v>
      </c>
      <c r="B251" s="66" t="s">
        <v>559</v>
      </c>
      <c r="C251" s="67" t="s">
        <v>3149</v>
      </c>
      <c r="D251" s="68">
        <v>4</v>
      </c>
      <c r="E251" s="69" t="s">
        <v>132</v>
      </c>
      <c r="F251" s="70">
        <v>30</v>
      </c>
      <c r="G251" s="67"/>
      <c r="H251" s="71"/>
      <c r="I251" s="72"/>
      <c r="J251" s="72"/>
      <c r="K251" s="34" t="s">
        <v>65</v>
      </c>
      <c r="L251" s="79">
        <v>251</v>
      </c>
      <c r="M251" s="79"/>
      <c r="N251" s="74"/>
      <c r="O251" s="81" t="s">
        <v>587</v>
      </c>
      <c r="P251" s="83">
        <v>44004.820625</v>
      </c>
      <c r="Q251" s="81" t="s">
        <v>641</v>
      </c>
      <c r="R251" s="84" t="str">
        <f>HYPERLINK("https://twitter.com/i/web/status/1275146401245204481")</f>
        <v>https://twitter.com/i/web/status/1275146401245204481</v>
      </c>
      <c r="S251" s="81" t="s">
        <v>676</v>
      </c>
      <c r="T251" s="81" t="s">
        <v>707</v>
      </c>
      <c r="U251" s="81"/>
      <c r="V251" s="84" t="str">
        <f>HYPERLINK("http://pbs.twimg.com/profile_images/953436802110623744/NK6Q5dVg_normal.jpg")</f>
        <v>http://pbs.twimg.com/profile_images/953436802110623744/NK6Q5dVg_normal.jpg</v>
      </c>
      <c r="W251" s="83">
        <v>44004.820625</v>
      </c>
      <c r="X251" s="87">
        <v>44004</v>
      </c>
      <c r="Y251" s="89" t="s">
        <v>861</v>
      </c>
      <c r="Z251" s="84" t="str">
        <f>HYPERLINK("https://twitter.com/jornalismodados/status/1275152000095789057")</f>
        <v>https://twitter.com/jornalismodados/status/1275152000095789057</v>
      </c>
      <c r="AA251" s="81"/>
      <c r="AB251" s="81"/>
      <c r="AC251" s="89" t="s">
        <v>1070</v>
      </c>
      <c r="AD251" s="81"/>
      <c r="AE251" s="81" t="b">
        <v>0</v>
      </c>
      <c r="AF251" s="81">
        <v>0</v>
      </c>
      <c r="AG251" s="89" t="s">
        <v>1149</v>
      </c>
      <c r="AH251" s="81" t="b">
        <v>0</v>
      </c>
      <c r="AI251" s="81" t="s">
        <v>1155</v>
      </c>
      <c r="AJ251" s="81"/>
      <c r="AK251" s="89" t="s">
        <v>1149</v>
      </c>
      <c r="AL251" s="81" t="b">
        <v>0</v>
      </c>
      <c r="AM251" s="81">
        <v>0</v>
      </c>
      <c r="AN251" s="89" t="s">
        <v>1149</v>
      </c>
      <c r="AO251" s="81" t="s">
        <v>1180</v>
      </c>
      <c r="AP251" s="81" t="b">
        <v>0</v>
      </c>
      <c r="AQ251" s="89" t="s">
        <v>1070</v>
      </c>
      <c r="AR251" s="81" t="s">
        <v>325</v>
      </c>
      <c r="AS251" s="81">
        <v>0</v>
      </c>
      <c r="AT251" s="81">
        <v>0</v>
      </c>
      <c r="AU251" s="81"/>
      <c r="AV251" s="81"/>
      <c r="AW251" s="81"/>
      <c r="AX251" s="81"/>
      <c r="AY251" s="81"/>
      <c r="AZ251" s="81"/>
      <c r="BA251" s="81"/>
      <c r="BB251" s="81"/>
      <c r="BC251">
        <v>1</v>
      </c>
      <c r="BD251" s="80" t="str">
        <f>REPLACE(INDEX(GroupVertices[Group],MATCH(Edges[[#This Row],[Vertex 1]],GroupVertices[Vertex],0)),1,1,"")</f>
        <v>1</v>
      </c>
      <c r="BE251" s="80" t="str">
        <f>REPLACE(INDEX(GroupVertices[Group],MATCH(Edges[[#This Row],[Vertex 2]],GroupVertices[Vertex],0)),1,1,"")</f>
        <v>1</v>
      </c>
      <c r="BF251" s="48">
        <v>0</v>
      </c>
      <c r="BG251" s="49">
        <v>0</v>
      </c>
      <c r="BH251" s="48">
        <v>0</v>
      </c>
      <c r="BI251" s="49">
        <v>0</v>
      </c>
      <c r="BJ251" s="48">
        <v>0</v>
      </c>
      <c r="BK251" s="49">
        <v>0</v>
      </c>
      <c r="BL251" s="48">
        <v>26</v>
      </c>
      <c r="BM251" s="49">
        <v>100</v>
      </c>
      <c r="BN251" s="48">
        <v>26</v>
      </c>
    </row>
    <row r="252" spans="1:66" ht="15">
      <c r="A252" s="66" t="s">
        <v>473</v>
      </c>
      <c r="B252" s="66" t="s">
        <v>560</v>
      </c>
      <c r="C252" s="67" t="s">
        <v>3149</v>
      </c>
      <c r="D252" s="68">
        <v>4</v>
      </c>
      <c r="E252" s="69" t="s">
        <v>132</v>
      </c>
      <c r="F252" s="70">
        <v>30</v>
      </c>
      <c r="G252" s="67"/>
      <c r="H252" s="71"/>
      <c r="I252" s="72"/>
      <c r="J252" s="72"/>
      <c r="K252" s="34" t="s">
        <v>65</v>
      </c>
      <c r="L252" s="79">
        <v>252</v>
      </c>
      <c r="M252" s="79"/>
      <c r="N252" s="74"/>
      <c r="O252" s="81" t="s">
        <v>587</v>
      </c>
      <c r="P252" s="83">
        <v>44004.82067129629</v>
      </c>
      <c r="Q252" s="81" t="s">
        <v>642</v>
      </c>
      <c r="R252" s="84" t="str">
        <f>HYPERLINK("https://twitter.com/i/web/status/1275142638782631936")</f>
        <v>https://twitter.com/i/web/status/1275142638782631936</v>
      </c>
      <c r="S252" s="81" t="s">
        <v>676</v>
      </c>
      <c r="T252" s="81" t="s">
        <v>707</v>
      </c>
      <c r="U252" s="81"/>
      <c r="V252" s="84" t="str">
        <f>HYPERLINK("http://pbs.twimg.com/profile_images/953436802110623744/NK6Q5dVg_normal.jpg")</f>
        <v>http://pbs.twimg.com/profile_images/953436802110623744/NK6Q5dVg_normal.jpg</v>
      </c>
      <c r="W252" s="83">
        <v>44004.82067129629</v>
      </c>
      <c r="X252" s="87">
        <v>44004</v>
      </c>
      <c r="Y252" s="89" t="s">
        <v>862</v>
      </c>
      <c r="Z252" s="84" t="str">
        <f>HYPERLINK("https://twitter.com/jornalismodados/status/1275152014285176832")</f>
        <v>https://twitter.com/jornalismodados/status/1275152014285176832</v>
      </c>
      <c r="AA252" s="81"/>
      <c r="AB252" s="81"/>
      <c r="AC252" s="89" t="s">
        <v>1071</v>
      </c>
      <c r="AD252" s="81"/>
      <c r="AE252" s="81" t="b">
        <v>0</v>
      </c>
      <c r="AF252" s="81">
        <v>0</v>
      </c>
      <c r="AG252" s="89" t="s">
        <v>1149</v>
      </c>
      <c r="AH252" s="81" t="b">
        <v>0</v>
      </c>
      <c r="AI252" s="81" t="s">
        <v>1155</v>
      </c>
      <c r="AJ252" s="81"/>
      <c r="AK252" s="89" t="s">
        <v>1149</v>
      </c>
      <c r="AL252" s="81" t="b">
        <v>0</v>
      </c>
      <c r="AM252" s="81">
        <v>0</v>
      </c>
      <c r="AN252" s="89" t="s">
        <v>1149</v>
      </c>
      <c r="AO252" s="81" t="s">
        <v>1180</v>
      </c>
      <c r="AP252" s="81" t="b">
        <v>0</v>
      </c>
      <c r="AQ252" s="89" t="s">
        <v>1071</v>
      </c>
      <c r="AR252" s="81" t="s">
        <v>325</v>
      </c>
      <c r="AS252" s="81">
        <v>0</v>
      </c>
      <c r="AT252" s="81">
        <v>0</v>
      </c>
      <c r="AU252" s="81"/>
      <c r="AV252" s="81"/>
      <c r="AW252" s="81"/>
      <c r="AX252" s="81"/>
      <c r="AY252" s="81"/>
      <c r="AZ252" s="81"/>
      <c r="BA252" s="81"/>
      <c r="BB252" s="81"/>
      <c r="BC252">
        <v>1</v>
      </c>
      <c r="BD252" s="80" t="str">
        <f>REPLACE(INDEX(GroupVertices[Group],MATCH(Edges[[#This Row],[Vertex 1]],GroupVertices[Vertex],0)),1,1,"")</f>
        <v>1</v>
      </c>
      <c r="BE252" s="80" t="str">
        <f>REPLACE(INDEX(GroupVertices[Group],MATCH(Edges[[#This Row],[Vertex 2]],GroupVertices[Vertex],0)),1,1,"")</f>
        <v>1</v>
      </c>
      <c r="BF252" s="48">
        <v>0</v>
      </c>
      <c r="BG252" s="49">
        <v>0</v>
      </c>
      <c r="BH252" s="48">
        <v>0</v>
      </c>
      <c r="BI252" s="49">
        <v>0</v>
      </c>
      <c r="BJ252" s="48">
        <v>0</v>
      </c>
      <c r="BK252" s="49">
        <v>0</v>
      </c>
      <c r="BL252" s="48">
        <v>27</v>
      </c>
      <c r="BM252" s="49">
        <v>100</v>
      </c>
      <c r="BN252" s="48">
        <v>27</v>
      </c>
    </row>
    <row r="253" spans="1:66" ht="15">
      <c r="A253" s="66" t="s">
        <v>473</v>
      </c>
      <c r="B253" s="66" t="s">
        <v>561</v>
      </c>
      <c r="C253" s="67" t="s">
        <v>3149</v>
      </c>
      <c r="D253" s="68">
        <v>4</v>
      </c>
      <c r="E253" s="69" t="s">
        <v>132</v>
      </c>
      <c r="F253" s="70">
        <v>30</v>
      </c>
      <c r="G253" s="67"/>
      <c r="H253" s="71"/>
      <c r="I253" s="72"/>
      <c r="J253" s="72"/>
      <c r="K253" s="34" t="s">
        <v>65</v>
      </c>
      <c r="L253" s="79">
        <v>253</v>
      </c>
      <c r="M253" s="79"/>
      <c r="N253" s="74"/>
      <c r="O253" s="81" t="s">
        <v>587</v>
      </c>
      <c r="P253" s="83">
        <v>44004.8621875</v>
      </c>
      <c r="Q253" s="81" t="s">
        <v>643</v>
      </c>
      <c r="R253" s="81"/>
      <c r="S253" s="81"/>
      <c r="T253" s="81" t="s">
        <v>707</v>
      </c>
      <c r="U253" s="81"/>
      <c r="V253" s="84" t="str">
        <f>HYPERLINK("http://pbs.twimg.com/profile_images/953436802110623744/NK6Q5dVg_normal.jpg")</f>
        <v>http://pbs.twimg.com/profile_images/953436802110623744/NK6Q5dVg_normal.jpg</v>
      </c>
      <c r="W253" s="83">
        <v>44004.8621875</v>
      </c>
      <c r="X253" s="87">
        <v>44004</v>
      </c>
      <c r="Y253" s="89" t="s">
        <v>863</v>
      </c>
      <c r="Z253" s="84" t="str">
        <f>HYPERLINK("https://twitter.com/jornalismodados/status/1275167060952322051")</f>
        <v>https://twitter.com/jornalismodados/status/1275167060952322051</v>
      </c>
      <c r="AA253" s="81"/>
      <c r="AB253" s="81"/>
      <c r="AC253" s="89" t="s">
        <v>1072</v>
      </c>
      <c r="AD253" s="81"/>
      <c r="AE253" s="81" t="b">
        <v>0</v>
      </c>
      <c r="AF253" s="81">
        <v>0</v>
      </c>
      <c r="AG253" s="89" t="s">
        <v>1149</v>
      </c>
      <c r="AH253" s="81" t="b">
        <v>0</v>
      </c>
      <c r="AI253" s="81" t="s">
        <v>1155</v>
      </c>
      <c r="AJ253" s="81"/>
      <c r="AK253" s="89" t="s">
        <v>1149</v>
      </c>
      <c r="AL253" s="81" t="b">
        <v>0</v>
      </c>
      <c r="AM253" s="81">
        <v>0</v>
      </c>
      <c r="AN253" s="89" t="s">
        <v>1149</v>
      </c>
      <c r="AO253" s="81" t="s">
        <v>1180</v>
      </c>
      <c r="AP253" s="81" t="b">
        <v>0</v>
      </c>
      <c r="AQ253" s="89" t="s">
        <v>1072</v>
      </c>
      <c r="AR253" s="81" t="s">
        <v>325</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1</v>
      </c>
      <c r="BF253" s="48"/>
      <c r="BG253" s="49"/>
      <c r="BH253" s="48"/>
      <c r="BI253" s="49"/>
      <c r="BJ253" s="48"/>
      <c r="BK253" s="49"/>
      <c r="BL253" s="48"/>
      <c r="BM253" s="49"/>
      <c r="BN253" s="48"/>
    </row>
    <row r="254" spans="1:66" ht="15">
      <c r="A254" s="66" t="s">
        <v>473</v>
      </c>
      <c r="B254" s="66" t="s">
        <v>562</v>
      </c>
      <c r="C254" s="67" t="s">
        <v>3149</v>
      </c>
      <c r="D254" s="68">
        <v>4</v>
      </c>
      <c r="E254" s="69" t="s">
        <v>132</v>
      </c>
      <c r="F254" s="70">
        <v>30</v>
      </c>
      <c r="G254" s="67"/>
      <c r="H254" s="71"/>
      <c r="I254" s="72"/>
      <c r="J254" s="72"/>
      <c r="K254" s="34" t="s">
        <v>65</v>
      </c>
      <c r="L254" s="79">
        <v>254</v>
      </c>
      <c r="M254" s="79"/>
      <c r="N254" s="74"/>
      <c r="O254" s="81" t="s">
        <v>587</v>
      </c>
      <c r="P254" s="83">
        <v>44004.862233796295</v>
      </c>
      <c r="Q254" s="81" t="s">
        <v>644</v>
      </c>
      <c r="R254" s="81"/>
      <c r="S254" s="81"/>
      <c r="T254" s="81" t="s">
        <v>707</v>
      </c>
      <c r="U254" s="81"/>
      <c r="V254" s="84" t="str">
        <f>HYPERLINK("http://pbs.twimg.com/profile_images/953436802110623744/NK6Q5dVg_normal.jpg")</f>
        <v>http://pbs.twimg.com/profile_images/953436802110623744/NK6Q5dVg_normal.jpg</v>
      </c>
      <c r="W254" s="83">
        <v>44004.862233796295</v>
      </c>
      <c r="X254" s="87">
        <v>44004</v>
      </c>
      <c r="Y254" s="89" t="s">
        <v>864</v>
      </c>
      <c r="Z254" s="84" t="str">
        <f>HYPERLINK("https://twitter.com/jornalismodados/status/1275167079294013446")</f>
        <v>https://twitter.com/jornalismodados/status/1275167079294013446</v>
      </c>
      <c r="AA254" s="81"/>
      <c r="AB254" s="81"/>
      <c r="AC254" s="89" t="s">
        <v>1073</v>
      </c>
      <c r="AD254" s="81"/>
      <c r="AE254" s="81" t="b">
        <v>0</v>
      </c>
      <c r="AF254" s="81">
        <v>0</v>
      </c>
      <c r="AG254" s="89" t="s">
        <v>1149</v>
      </c>
      <c r="AH254" s="81" t="b">
        <v>0</v>
      </c>
      <c r="AI254" s="81" t="s">
        <v>1155</v>
      </c>
      <c r="AJ254" s="81"/>
      <c r="AK254" s="89" t="s">
        <v>1149</v>
      </c>
      <c r="AL254" s="81" t="b">
        <v>0</v>
      </c>
      <c r="AM254" s="81">
        <v>0</v>
      </c>
      <c r="AN254" s="89" t="s">
        <v>1149</v>
      </c>
      <c r="AO254" s="81" t="s">
        <v>1180</v>
      </c>
      <c r="AP254" s="81" t="b">
        <v>0</v>
      </c>
      <c r="AQ254" s="89" t="s">
        <v>1073</v>
      </c>
      <c r="AR254" s="81" t="s">
        <v>325</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1</v>
      </c>
      <c r="BF254" s="48"/>
      <c r="BG254" s="49"/>
      <c r="BH254" s="48"/>
      <c r="BI254" s="49"/>
      <c r="BJ254" s="48"/>
      <c r="BK254" s="49"/>
      <c r="BL254" s="48"/>
      <c r="BM254" s="49"/>
      <c r="BN254" s="48"/>
    </row>
    <row r="255" spans="1:66" ht="15">
      <c r="A255" s="66" t="s">
        <v>473</v>
      </c>
      <c r="B255" s="66" t="s">
        <v>563</v>
      </c>
      <c r="C255" s="67" t="s">
        <v>3151</v>
      </c>
      <c r="D255" s="68">
        <v>6</v>
      </c>
      <c r="E255" s="69" t="s">
        <v>132</v>
      </c>
      <c r="F255" s="70">
        <v>23.333333333333332</v>
      </c>
      <c r="G255" s="67"/>
      <c r="H255" s="71"/>
      <c r="I255" s="72"/>
      <c r="J255" s="72"/>
      <c r="K255" s="34" t="s">
        <v>65</v>
      </c>
      <c r="L255" s="79">
        <v>255</v>
      </c>
      <c r="M255" s="79"/>
      <c r="N255" s="74"/>
      <c r="O255" s="81" t="s">
        <v>587</v>
      </c>
      <c r="P255" s="83">
        <v>44004.82074074074</v>
      </c>
      <c r="Q255" s="81" t="s">
        <v>645</v>
      </c>
      <c r="R255" s="81"/>
      <c r="S255" s="81"/>
      <c r="T255" s="81" t="s">
        <v>707</v>
      </c>
      <c r="U255" s="81"/>
      <c r="V255" s="84" t="str">
        <f>HYPERLINK("http://pbs.twimg.com/profile_images/953436802110623744/NK6Q5dVg_normal.jpg")</f>
        <v>http://pbs.twimg.com/profile_images/953436802110623744/NK6Q5dVg_normal.jpg</v>
      </c>
      <c r="W255" s="83">
        <v>44004.82074074074</v>
      </c>
      <c r="X255" s="87">
        <v>44004</v>
      </c>
      <c r="Y255" s="89" t="s">
        <v>865</v>
      </c>
      <c r="Z255" s="84" t="str">
        <f>HYPERLINK("https://twitter.com/jornalismodados/status/1275152041283932160")</f>
        <v>https://twitter.com/jornalismodados/status/1275152041283932160</v>
      </c>
      <c r="AA255" s="81"/>
      <c r="AB255" s="81"/>
      <c r="AC255" s="89" t="s">
        <v>1074</v>
      </c>
      <c r="AD255" s="81"/>
      <c r="AE255" s="81" t="b">
        <v>0</v>
      </c>
      <c r="AF255" s="81">
        <v>0</v>
      </c>
      <c r="AG255" s="89" t="s">
        <v>1149</v>
      </c>
      <c r="AH255" s="81" t="b">
        <v>0</v>
      </c>
      <c r="AI255" s="81" t="s">
        <v>1155</v>
      </c>
      <c r="AJ255" s="81"/>
      <c r="AK255" s="89" t="s">
        <v>1149</v>
      </c>
      <c r="AL255" s="81" t="b">
        <v>0</v>
      </c>
      <c r="AM255" s="81">
        <v>0</v>
      </c>
      <c r="AN255" s="89" t="s">
        <v>1149</v>
      </c>
      <c r="AO255" s="81" t="s">
        <v>1180</v>
      </c>
      <c r="AP255" s="81" t="b">
        <v>0</v>
      </c>
      <c r="AQ255" s="89" t="s">
        <v>1074</v>
      </c>
      <c r="AR255" s="81" t="s">
        <v>325</v>
      </c>
      <c r="AS255" s="81">
        <v>0</v>
      </c>
      <c r="AT255" s="81">
        <v>0</v>
      </c>
      <c r="AU255" s="81"/>
      <c r="AV255" s="81"/>
      <c r="AW255" s="81"/>
      <c r="AX255" s="81"/>
      <c r="AY255" s="81"/>
      <c r="AZ255" s="81"/>
      <c r="BA255" s="81"/>
      <c r="BB255" s="81"/>
      <c r="BC255">
        <v>2</v>
      </c>
      <c r="BD255" s="80" t="str">
        <f>REPLACE(INDEX(GroupVertices[Group],MATCH(Edges[[#This Row],[Vertex 1]],GroupVertices[Vertex],0)),1,1,"")</f>
        <v>1</v>
      </c>
      <c r="BE255" s="80" t="str">
        <f>REPLACE(INDEX(GroupVertices[Group],MATCH(Edges[[#This Row],[Vertex 2]],GroupVertices[Vertex],0)),1,1,"")</f>
        <v>1</v>
      </c>
      <c r="BF255" s="48"/>
      <c r="BG255" s="49"/>
      <c r="BH255" s="48"/>
      <c r="BI255" s="49"/>
      <c r="BJ255" s="48"/>
      <c r="BK255" s="49"/>
      <c r="BL255" s="48"/>
      <c r="BM255" s="49"/>
      <c r="BN255" s="48"/>
    </row>
    <row r="256" spans="1:66" ht="15">
      <c r="A256" s="66" t="s">
        <v>473</v>
      </c>
      <c r="B256" s="66" t="s">
        <v>563</v>
      </c>
      <c r="C256" s="67" t="s">
        <v>3151</v>
      </c>
      <c r="D256" s="68">
        <v>6</v>
      </c>
      <c r="E256" s="69" t="s">
        <v>132</v>
      </c>
      <c r="F256" s="70">
        <v>23.333333333333332</v>
      </c>
      <c r="G256" s="67"/>
      <c r="H256" s="71"/>
      <c r="I256" s="72"/>
      <c r="J256" s="72"/>
      <c r="K256" s="34" t="s">
        <v>65</v>
      </c>
      <c r="L256" s="79">
        <v>256</v>
      </c>
      <c r="M256" s="79"/>
      <c r="N256" s="74"/>
      <c r="O256" s="81" t="s">
        <v>587</v>
      </c>
      <c r="P256" s="83">
        <v>44004.86240740741</v>
      </c>
      <c r="Q256" s="81" t="s">
        <v>646</v>
      </c>
      <c r="R256" s="84" t="str">
        <f>HYPERLINK("https://twitter.com/i/web/status/1275152041283932160")</f>
        <v>https://twitter.com/i/web/status/1275152041283932160</v>
      </c>
      <c r="S256" s="81" t="s">
        <v>676</v>
      </c>
      <c r="T256" s="81" t="s">
        <v>718</v>
      </c>
      <c r="U256" s="81"/>
      <c r="V256" s="84" t="str">
        <f>HYPERLINK("http://pbs.twimg.com/profile_images/953436802110623744/NK6Q5dVg_normal.jpg")</f>
        <v>http://pbs.twimg.com/profile_images/953436802110623744/NK6Q5dVg_normal.jpg</v>
      </c>
      <c r="W256" s="83">
        <v>44004.86240740741</v>
      </c>
      <c r="X256" s="87">
        <v>44004</v>
      </c>
      <c r="Y256" s="89" t="s">
        <v>866</v>
      </c>
      <c r="Z256" s="84" t="str">
        <f>HYPERLINK("https://twitter.com/jornalismodados/status/1275167141835259905")</f>
        <v>https://twitter.com/jornalismodados/status/1275167141835259905</v>
      </c>
      <c r="AA256" s="81"/>
      <c r="AB256" s="81"/>
      <c r="AC256" s="89" t="s">
        <v>1075</v>
      </c>
      <c r="AD256" s="81"/>
      <c r="AE256" s="81" t="b">
        <v>0</v>
      </c>
      <c r="AF256" s="81">
        <v>0</v>
      </c>
      <c r="AG256" s="89" t="s">
        <v>1149</v>
      </c>
      <c r="AH256" s="81" t="b">
        <v>0</v>
      </c>
      <c r="AI256" s="81" t="s">
        <v>1155</v>
      </c>
      <c r="AJ256" s="81"/>
      <c r="AK256" s="89" t="s">
        <v>1149</v>
      </c>
      <c r="AL256" s="81" t="b">
        <v>0</v>
      </c>
      <c r="AM256" s="81">
        <v>0</v>
      </c>
      <c r="AN256" s="89" t="s">
        <v>1149</v>
      </c>
      <c r="AO256" s="81" t="s">
        <v>1180</v>
      </c>
      <c r="AP256" s="81" t="b">
        <v>0</v>
      </c>
      <c r="AQ256" s="89" t="s">
        <v>1075</v>
      </c>
      <c r="AR256" s="81" t="s">
        <v>325</v>
      </c>
      <c r="AS256" s="81">
        <v>0</v>
      </c>
      <c r="AT256" s="81">
        <v>0</v>
      </c>
      <c r="AU256" s="81"/>
      <c r="AV256" s="81"/>
      <c r="AW256" s="81"/>
      <c r="AX256" s="81"/>
      <c r="AY256" s="81"/>
      <c r="AZ256" s="81"/>
      <c r="BA256" s="81"/>
      <c r="BB256" s="81"/>
      <c r="BC256">
        <v>2</v>
      </c>
      <c r="BD256" s="80" t="str">
        <f>REPLACE(INDEX(GroupVertices[Group],MATCH(Edges[[#This Row],[Vertex 1]],GroupVertices[Vertex],0)),1,1,"")</f>
        <v>1</v>
      </c>
      <c r="BE256" s="80" t="str">
        <f>REPLACE(INDEX(GroupVertices[Group],MATCH(Edges[[#This Row],[Vertex 2]],GroupVertices[Vertex],0)),1,1,"")</f>
        <v>1</v>
      </c>
      <c r="BF256" s="48"/>
      <c r="BG256" s="49"/>
      <c r="BH256" s="48"/>
      <c r="BI256" s="49"/>
      <c r="BJ256" s="48"/>
      <c r="BK256" s="49"/>
      <c r="BL256" s="48"/>
      <c r="BM256" s="49"/>
      <c r="BN256" s="48"/>
    </row>
    <row r="257" spans="1:66" ht="15">
      <c r="A257" s="66" t="s">
        <v>473</v>
      </c>
      <c r="B257" s="66" t="s">
        <v>564</v>
      </c>
      <c r="C257" s="67" t="s">
        <v>3150</v>
      </c>
      <c r="D257" s="68">
        <v>10</v>
      </c>
      <c r="E257" s="69" t="s">
        <v>136</v>
      </c>
      <c r="F257" s="70">
        <v>10</v>
      </c>
      <c r="G257" s="67"/>
      <c r="H257" s="71"/>
      <c r="I257" s="72"/>
      <c r="J257" s="72"/>
      <c r="K257" s="34" t="s">
        <v>65</v>
      </c>
      <c r="L257" s="79">
        <v>257</v>
      </c>
      <c r="M257" s="79"/>
      <c r="N257" s="74"/>
      <c r="O257" s="81" t="s">
        <v>587</v>
      </c>
      <c r="P257" s="83">
        <v>44004.69552083333</v>
      </c>
      <c r="Q257" s="81" t="s">
        <v>631</v>
      </c>
      <c r="R257" s="81"/>
      <c r="S257" s="81"/>
      <c r="T257" s="81" t="s">
        <v>707</v>
      </c>
      <c r="U257" s="81"/>
      <c r="V257" s="84" t="str">
        <f>HYPERLINK("http://pbs.twimg.com/profile_images/953436802110623744/NK6Q5dVg_normal.jpg")</f>
        <v>http://pbs.twimg.com/profile_images/953436802110623744/NK6Q5dVg_normal.jpg</v>
      </c>
      <c r="W257" s="83">
        <v>44004.69552083333</v>
      </c>
      <c r="X257" s="87">
        <v>44004</v>
      </c>
      <c r="Y257" s="89" t="s">
        <v>851</v>
      </c>
      <c r="Z257" s="84" t="str">
        <f>HYPERLINK("https://twitter.com/jornalismodados/status/1275106662630731776")</f>
        <v>https://twitter.com/jornalismodados/status/1275106662630731776</v>
      </c>
      <c r="AA257" s="81"/>
      <c r="AB257" s="81"/>
      <c r="AC257" s="89" t="s">
        <v>1060</v>
      </c>
      <c r="AD257" s="81"/>
      <c r="AE257" s="81" t="b">
        <v>0</v>
      </c>
      <c r="AF257" s="81">
        <v>0</v>
      </c>
      <c r="AG257" s="89" t="s">
        <v>1149</v>
      </c>
      <c r="AH257" s="81" t="b">
        <v>0</v>
      </c>
      <c r="AI257" s="81" t="s">
        <v>1155</v>
      </c>
      <c r="AJ257" s="81"/>
      <c r="AK257" s="89" t="s">
        <v>1149</v>
      </c>
      <c r="AL257" s="81" t="b">
        <v>0</v>
      </c>
      <c r="AM257" s="81">
        <v>0</v>
      </c>
      <c r="AN257" s="89" t="s">
        <v>1149</v>
      </c>
      <c r="AO257" s="81" t="s">
        <v>1180</v>
      </c>
      <c r="AP257" s="81" t="b">
        <v>0</v>
      </c>
      <c r="AQ257" s="89" t="s">
        <v>1060</v>
      </c>
      <c r="AR257" s="81" t="s">
        <v>325</v>
      </c>
      <c r="AS257" s="81">
        <v>0</v>
      </c>
      <c r="AT257" s="81">
        <v>0</v>
      </c>
      <c r="AU257" s="81"/>
      <c r="AV257" s="81"/>
      <c r="AW257" s="81"/>
      <c r="AX257" s="81"/>
      <c r="AY257" s="81"/>
      <c r="AZ257" s="81"/>
      <c r="BA257" s="81"/>
      <c r="BB257" s="81"/>
      <c r="BC257">
        <v>16</v>
      </c>
      <c r="BD257" s="80" t="str">
        <f>REPLACE(INDEX(GroupVertices[Group],MATCH(Edges[[#This Row],[Vertex 1]],GroupVertices[Vertex],0)),1,1,"")</f>
        <v>1</v>
      </c>
      <c r="BE257" s="80" t="str">
        <f>REPLACE(INDEX(GroupVertices[Group],MATCH(Edges[[#This Row],[Vertex 2]],GroupVertices[Vertex],0)),1,1,"")</f>
        <v>1</v>
      </c>
      <c r="BF257" s="48">
        <v>0</v>
      </c>
      <c r="BG257" s="49">
        <v>0</v>
      </c>
      <c r="BH257" s="48">
        <v>0</v>
      </c>
      <c r="BI257" s="49">
        <v>0</v>
      </c>
      <c r="BJ257" s="48">
        <v>0</v>
      </c>
      <c r="BK257" s="49">
        <v>0</v>
      </c>
      <c r="BL257" s="48">
        <v>30</v>
      </c>
      <c r="BM257" s="49">
        <v>100</v>
      </c>
      <c r="BN257" s="48">
        <v>30</v>
      </c>
    </row>
    <row r="258" spans="1:66" ht="15">
      <c r="A258" s="66" t="s">
        <v>473</v>
      </c>
      <c r="B258" s="66" t="s">
        <v>564</v>
      </c>
      <c r="C258" s="67" t="s">
        <v>3150</v>
      </c>
      <c r="D258" s="68">
        <v>10</v>
      </c>
      <c r="E258" s="69" t="s">
        <v>136</v>
      </c>
      <c r="F258" s="70">
        <v>10</v>
      </c>
      <c r="G258" s="67"/>
      <c r="H258" s="71"/>
      <c r="I258" s="72"/>
      <c r="J258" s="72"/>
      <c r="K258" s="34" t="s">
        <v>65</v>
      </c>
      <c r="L258" s="79">
        <v>258</v>
      </c>
      <c r="M258" s="79"/>
      <c r="N258" s="74"/>
      <c r="O258" s="81" t="s">
        <v>587</v>
      </c>
      <c r="P258" s="83">
        <v>44004.69556712963</v>
      </c>
      <c r="Q258" s="81" t="s">
        <v>632</v>
      </c>
      <c r="R258" s="81"/>
      <c r="S258" s="81"/>
      <c r="T258" s="81" t="s">
        <v>707</v>
      </c>
      <c r="U258" s="81"/>
      <c r="V258" s="84" t="str">
        <f>HYPERLINK("http://pbs.twimg.com/profile_images/953436802110623744/NK6Q5dVg_normal.jpg")</f>
        <v>http://pbs.twimg.com/profile_images/953436802110623744/NK6Q5dVg_normal.jpg</v>
      </c>
      <c r="W258" s="83">
        <v>44004.69556712963</v>
      </c>
      <c r="X258" s="87">
        <v>44004</v>
      </c>
      <c r="Y258" s="89" t="s">
        <v>852</v>
      </c>
      <c r="Z258" s="84" t="str">
        <f>HYPERLINK("https://twitter.com/jornalismodados/status/1275106681060560896")</f>
        <v>https://twitter.com/jornalismodados/status/1275106681060560896</v>
      </c>
      <c r="AA258" s="81"/>
      <c r="AB258" s="81"/>
      <c r="AC258" s="89" t="s">
        <v>1061</v>
      </c>
      <c r="AD258" s="81"/>
      <c r="AE258" s="81" t="b">
        <v>0</v>
      </c>
      <c r="AF258" s="81">
        <v>1</v>
      </c>
      <c r="AG258" s="89" t="s">
        <v>1149</v>
      </c>
      <c r="AH258" s="81" t="b">
        <v>0</v>
      </c>
      <c r="AI258" s="81" t="s">
        <v>1155</v>
      </c>
      <c r="AJ258" s="81"/>
      <c r="AK258" s="89" t="s">
        <v>1149</v>
      </c>
      <c r="AL258" s="81" t="b">
        <v>0</v>
      </c>
      <c r="AM258" s="81">
        <v>0</v>
      </c>
      <c r="AN258" s="89" t="s">
        <v>1149</v>
      </c>
      <c r="AO258" s="81" t="s">
        <v>1180</v>
      </c>
      <c r="AP258" s="81" t="b">
        <v>0</v>
      </c>
      <c r="AQ258" s="89" t="s">
        <v>1061</v>
      </c>
      <c r="AR258" s="81" t="s">
        <v>325</v>
      </c>
      <c r="AS258" s="81">
        <v>0</v>
      </c>
      <c r="AT258" s="81">
        <v>0</v>
      </c>
      <c r="AU258" s="81"/>
      <c r="AV258" s="81"/>
      <c r="AW258" s="81"/>
      <c r="AX258" s="81"/>
      <c r="AY258" s="81"/>
      <c r="AZ258" s="81"/>
      <c r="BA258" s="81"/>
      <c r="BB258" s="81"/>
      <c r="BC258">
        <v>16</v>
      </c>
      <c r="BD258" s="80" t="str">
        <f>REPLACE(INDEX(GroupVertices[Group],MATCH(Edges[[#This Row],[Vertex 1]],GroupVertices[Vertex],0)),1,1,"")</f>
        <v>1</v>
      </c>
      <c r="BE258" s="80" t="str">
        <f>REPLACE(INDEX(GroupVertices[Group],MATCH(Edges[[#This Row],[Vertex 2]],GroupVertices[Vertex],0)),1,1,"")</f>
        <v>1</v>
      </c>
      <c r="BF258" s="48">
        <v>0</v>
      </c>
      <c r="BG258" s="49">
        <v>0</v>
      </c>
      <c r="BH258" s="48">
        <v>0</v>
      </c>
      <c r="BI258" s="49">
        <v>0</v>
      </c>
      <c r="BJ258" s="48">
        <v>0</v>
      </c>
      <c r="BK258" s="49">
        <v>0</v>
      </c>
      <c r="BL258" s="48">
        <v>30</v>
      </c>
      <c r="BM258" s="49">
        <v>100</v>
      </c>
      <c r="BN258" s="48">
        <v>30</v>
      </c>
    </row>
    <row r="259" spans="1:66" ht="15">
      <c r="A259" s="66" t="s">
        <v>473</v>
      </c>
      <c r="B259" s="66" t="s">
        <v>564</v>
      </c>
      <c r="C259" s="67" t="s">
        <v>3150</v>
      </c>
      <c r="D259" s="68">
        <v>10</v>
      </c>
      <c r="E259" s="69" t="s">
        <v>136</v>
      </c>
      <c r="F259" s="70">
        <v>10</v>
      </c>
      <c r="G259" s="67"/>
      <c r="H259" s="71"/>
      <c r="I259" s="72"/>
      <c r="J259" s="72"/>
      <c r="K259" s="34" t="s">
        <v>65</v>
      </c>
      <c r="L259" s="79">
        <v>259</v>
      </c>
      <c r="M259" s="79"/>
      <c r="N259" s="74"/>
      <c r="O259" s="81" t="s">
        <v>587</v>
      </c>
      <c r="P259" s="83">
        <v>44004.69567129629</v>
      </c>
      <c r="Q259" s="81" t="s">
        <v>633</v>
      </c>
      <c r="R259" s="81"/>
      <c r="S259" s="81"/>
      <c r="T259" s="81" t="s">
        <v>707</v>
      </c>
      <c r="U259" s="81"/>
      <c r="V259" s="84" t="str">
        <f>HYPERLINK("http://pbs.twimg.com/profile_images/953436802110623744/NK6Q5dVg_normal.jpg")</f>
        <v>http://pbs.twimg.com/profile_images/953436802110623744/NK6Q5dVg_normal.jpg</v>
      </c>
      <c r="W259" s="83">
        <v>44004.69567129629</v>
      </c>
      <c r="X259" s="87">
        <v>44004</v>
      </c>
      <c r="Y259" s="89" t="s">
        <v>853</v>
      </c>
      <c r="Z259" s="84" t="str">
        <f>HYPERLINK("https://twitter.com/jornalismodados/status/1275106716489789441")</f>
        <v>https://twitter.com/jornalismodados/status/1275106716489789441</v>
      </c>
      <c r="AA259" s="81"/>
      <c r="AB259" s="81"/>
      <c r="AC259" s="89" t="s">
        <v>1062</v>
      </c>
      <c r="AD259" s="81"/>
      <c r="AE259" s="81" t="b">
        <v>0</v>
      </c>
      <c r="AF259" s="81">
        <v>0</v>
      </c>
      <c r="AG259" s="89" t="s">
        <v>1149</v>
      </c>
      <c r="AH259" s="81" t="b">
        <v>0</v>
      </c>
      <c r="AI259" s="81" t="s">
        <v>1155</v>
      </c>
      <c r="AJ259" s="81"/>
      <c r="AK259" s="89" t="s">
        <v>1149</v>
      </c>
      <c r="AL259" s="81" t="b">
        <v>0</v>
      </c>
      <c r="AM259" s="81">
        <v>0</v>
      </c>
      <c r="AN259" s="89" t="s">
        <v>1149</v>
      </c>
      <c r="AO259" s="81" t="s">
        <v>1180</v>
      </c>
      <c r="AP259" s="81" t="b">
        <v>0</v>
      </c>
      <c r="AQ259" s="89" t="s">
        <v>1062</v>
      </c>
      <c r="AR259" s="81" t="s">
        <v>325</v>
      </c>
      <c r="AS259" s="81">
        <v>0</v>
      </c>
      <c r="AT259" s="81">
        <v>0</v>
      </c>
      <c r="AU259" s="81"/>
      <c r="AV259" s="81"/>
      <c r="AW259" s="81"/>
      <c r="AX259" s="81"/>
      <c r="AY259" s="81"/>
      <c r="AZ259" s="81"/>
      <c r="BA259" s="81"/>
      <c r="BB259" s="81"/>
      <c r="BC259">
        <v>16</v>
      </c>
      <c r="BD259" s="80" t="str">
        <f>REPLACE(INDEX(GroupVertices[Group],MATCH(Edges[[#This Row],[Vertex 1]],GroupVertices[Vertex],0)),1,1,"")</f>
        <v>1</v>
      </c>
      <c r="BE259" s="80" t="str">
        <f>REPLACE(INDEX(GroupVertices[Group],MATCH(Edges[[#This Row],[Vertex 2]],GroupVertices[Vertex],0)),1,1,"")</f>
        <v>1</v>
      </c>
      <c r="BF259" s="48">
        <v>0</v>
      </c>
      <c r="BG259" s="49">
        <v>0</v>
      </c>
      <c r="BH259" s="48">
        <v>0</v>
      </c>
      <c r="BI259" s="49">
        <v>0</v>
      </c>
      <c r="BJ259" s="48">
        <v>0</v>
      </c>
      <c r="BK259" s="49">
        <v>0</v>
      </c>
      <c r="BL259" s="48">
        <v>30</v>
      </c>
      <c r="BM259" s="49">
        <v>100</v>
      </c>
      <c r="BN259" s="48">
        <v>30</v>
      </c>
    </row>
    <row r="260" spans="1:66" ht="15">
      <c r="A260" s="66" t="s">
        <v>473</v>
      </c>
      <c r="B260" s="66" t="s">
        <v>564</v>
      </c>
      <c r="C260" s="67" t="s">
        <v>3150</v>
      </c>
      <c r="D260" s="68">
        <v>10</v>
      </c>
      <c r="E260" s="69" t="s">
        <v>136</v>
      </c>
      <c r="F260" s="70">
        <v>10</v>
      </c>
      <c r="G260" s="67"/>
      <c r="H260" s="71"/>
      <c r="I260" s="72"/>
      <c r="J260" s="72"/>
      <c r="K260" s="34" t="s">
        <v>65</v>
      </c>
      <c r="L260" s="79">
        <v>260</v>
      </c>
      <c r="M260" s="79"/>
      <c r="N260" s="74"/>
      <c r="O260" s="81" t="s">
        <v>587</v>
      </c>
      <c r="P260" s="83">
        <v>44004.69578703704</v>
      </c>
      <c r="Q260" s="81" t="s">
        <v>647</v>
      </c>
      <c r="R260" s="84" t="str">
        <f>HYPERLINK("https://twitter.com/i/web/status/1275093202144497665")</f>
        <v>https://twitter.com/i/web/status/1275093202144497665</v>
      </c>
      <c r="S260" s="81" t="s">
        <v>676</v>
      </c>
      <c r="T260" s="81" t="s">
        <v>707</v>
      </c>
      <c r="U260" s="81"/>
      <c r="V260" s="84" t="str">
        <f>HYPERLINK("http://pbs.twimg.com/profile_images/953436802110623744/NK6Q5dVg_normal.jpg")</f>
        <v>http://pbs.twimg.com/profile_images/953436802110623744/NK6Q5dVg_normal.jpg</v>
      </c>
      <c r="W260" s="83">
        <v>44004.69578703704</v>
      </c>
      <c r="X260" s="87">
        <v>44004</v>
      </c>
      <c r="Y260" s="89" t="s">
        <v>867</v>
      </c>
      <c r="Z260" s="84" t="str">
        <f>HYPERLINK("https://twitter.com/jornalismodados/status/1275106760110608384")</f>
        <v>https://twitter.com/jornalismodados/status/1275106760110608384</v>
      </c>
      <c r="AA260" s="81"/>
      <c r="AB260" s="81"/>
      <c r="AC260" s="89" t="s">
        <v>1076</v>
      </c>
      <c r="AD260" s="81"/>
      <c r="AE260" s="81" t="b">
        <v>0</v>
      </c>
      <c r="AF260" s="81">
        <v>0</v>
      </c>
      <c r="AG260" s="89" t="s">
        <v>1149</v>
      </c>
      <c r="AH260" s="81" t="b">
        <v>0</v>
      </c>
      <c r="AI260" s="81" t="s">
        <v>1155</v>
      </c>
      <c r="AJ260" s="81"/>
      <c r="AK260" s="89" t="s">
        <v>1149</v>
      </c>
      <c r="AL260" s="81" t="b">
        <v>0</v>
      </c>
      <c r="AM260" s="81">
        <v>0</v>
      </c>
      <c r="AN260" s="89" t="s">
        <v>1149</v>
      </c>
      <c r="AO260" s="81" t="s">
        <v>1180</v>
      </c>
      <c r="AP260" s="81" t="b">
        <v>0</v>
      </c>
      <c r="AQ260" s="89" t="s">
        <v>1076</v>
      </c>
      <c r="AR260" s="81" t="s">
        <v>325</v>
      </c>
      <c r="AS260" s="81">
        <v>0</v>
      </c>
      <c r="AT260" s="81">
        <v>0</v>
      </c>
      <c r="AU260" s="81"/>
      <c r="AV260" s="81"/>
      <c r="AW260" s="81"/>
      <c r="AX260" s="81"/>
      <c r="AY260" s="81"/>
      <c r="AZ260" s="81"/>
      <c r="BA260" s="81"/>
      <c r="BB260" s="81"/>
      <c r="BC260">
        <v>16</v>
      </c>
      <c r="BD260" s="80" t="str">
        <f>REPLACE(INDEX(GroupVertices[Group],MATCH(Edges[[#This Row],[Vertex 1]],GroupVertices[Vertex],0)),1,1,"")</f>
        <v>1</v>
      </c>
      <c r="BE260" s="80" t="str">
        <f>REPLACE(INDEX(GroupVertices[Group],MATCH(Edges[[#This Row],[Vertex 2]],GroupVertices[Vertex],0)),1,1,"")</f>
        <v>1</v>
      </c>
      <c r="BF260" s="48">
        <v>0</v>
      </c>
      <c r="BG260" s="49">
        <v>0</v>
      </c>
      <c r="BH260" s="48">
        <v>0</v>
      </c>
      <c r="BI260" s="49">
        <v>0</v>
      </c>
      <c r="BJ260" s="48">
        <v>0</v>
      </c>
      <c r="BK260" s="49">
        <v>0</v>
      </c>
      <c r="BL260" s="48">
        <v>27</v>
      </c>
      <c r="BM260" s="49">
        <v>100</v>
      </c>
      <c r="BN260" s="48">
        <v>27</v>
      </c>
    </row>
    <row r="261" spans="1:66" ht="15">
      <c r="A261" s="66" t="s">
        <v>473</v>
      </c>
      <c r="B261" s="66" t="s">
        <v>564</v>
      </c>
      <c r="C261" s="67" t="s">
        <v>3150</v>
      </c>
      <c r="D261" s="68">
        <v>10</v>
      </c>
      <c r="E261" s="69" t="s">
        <v>136</v>
      </c>
      <c r="F261" s="70">
        <v>10</v>
      </c>
      <c r="G261" s="67"/>
      <c r="H261" s="71"/>
      <c r="I261" s="72"/>
      <c r="J261" s="72"/>
      <c r="K261" s="34" t="s">
        <v>65</v>
      </c>
      <c r="L261" s="79">
        <v>261</v>
      </c>
      <c r="M261" s="79"/>
      <c r="N261" s="74"/>
      <c r="O261" s="81" t="s">
        <v>587</v>
      </c>
      <c r="P261" s="83">
        <v>44004.7371875</v>
      </c>
      <c r="Q261" s="81" t="s">
        <v>639</v>
      </c>
      <c r="R261" s="81"/>
      <c r="S261" s="81"/>
      <c r="T261" s="81" t="s">
        <v>707</v>
      </c>
      <c r="U261" s="81"/>
      <c r="V261" s="84" t="str">
        <f>HYPERLINK("http://pbs.twimg.com/profile_images/953436802110623744/NK6Q5dVg_normal.jpg")</f>
        <v>http://pbs.twimg.com/profile_images/953436802110623744/NK6Q5dVg_normal.jpg</v>
      </c>
      <c r="W261" s="83">
        <v>44004.7371875</v>
      </c>
      <c r="X261" s="87">
        <v>44004</v>
      </c>
      <c r="Y261" s="89" t="s">
        <v>859</v>
      </c>
      <c r="Z261" s="84" t="str">
        <f>HYPERLINK("https://twitter.com/jornalismodados/status/1275121761441517569")</f>
        <v>https://twitter.com/jornalismodados/status/1275121761441517569</v>
      </c>
      <c r="AA261" s="81"/>
      <c r="AB261" s="81"/>
      <c r="AC261" s="89" t="s">
        <v>1068</v>
      </c>
      <c r="AD261" s="81"/>
      <c r="AE261" s="81" t="b">
        <v>0</v>
      </c>
      <c r="AF261" s="81">
        <v>0</v>
      </c>
      <c r="AG261" s="89" t="s">
        <v>1149</v>
      </c>
      <c r="AH261" s="81" t="b">
        <v>0</v>
      </c>
      <c r="AI261" s="81" t="s">
        <v>1155</v>
      </c>
      <c r="AJ261" s="81"/>
      <c r="AK261" s="89" t="s">
        <v>1149</v>
      </c>
      <c r="AL261" s="81" t="b">
        <v>0</v>
      </c>
      <c r="AM261" s="81">
        <v>0</v>
      </c>
      <c r="AN261" s="89" t="s">
        <v>1149</v>
      </c>
      <c r="AO261" s="81" t="s">
        <v>1180</v>
      </c>
      <c r="AP261" s="81" t="b">
        <v>0</v>
      </c>
      <c r="AQ261" s="89" t="s">
        <v>1068</v>
      </c>
      <c r="AR261" s="81" t="s">
        <v>325</v>
      </c>
      <c r="AS261" s="81">
        <v>0</v>
      </c>
      <c r="AT261" s="81">
        <v>0</v>
      </c>
      <c r="AU261" s="81"/>
      <c r="AV261" s="81"/>
      <c r="AW261" s="81"/>
      <c r="AX261" s="81"/>
      <c r="AY261" s="81"/>
      <c r="AZ261" s="81"/>
      <c r="BA261" s="81"/>
      <c r="BB261" s="81"/>
      <c r="BC261">
        <v>16</v>
      </c>
      <c r="BD261" s="80" t="str">
        <f>REPLACE(INDEX(GroupVertices[Group],MATCH(Edges[[#This Row],[Vertex 1]],GroupVertices[Vertex],0)),1,1,"")</f>
        <v>1</v>
      </c>
      <c r="BE261" s="80" t="str">
        <f>REPLACE(INDEX(GroupVertices[Group],MATCH(Edges[[#This Row],[Vertex 2]],GroupVertices[Vertex],0)),1,1,"")</f>
        <v>1</v>
      </c>
      <c r="BF261" s="48">
        <v>0</v>
      </c>
      <c r="BG261" s="49">
        <v>0</v>
      </c>
      <c r="BH261" s="48">
        <v>0</v>
      </c>
      <c r="BI261" s="49">
        <v>0</v>
      </c>
      <c r="BJ261" s="48">
        <v>0</v>
      </c>
      <c r="BK261" s="49">
        <v>0</v>
      </c>
      <c r="BL261" s="48">
        <v>30</v>
      </c>
      <c r="BM261" s="49">
        <v>100</v>
      </c>
      <c r="BN261" s="48">
        <v>30</v>
      </c>
    </row>
    <row r="262" spans="1:66" ht="15">
      <c r="A262" s="66" t="s">
        <v>473</v>
      </c>
      <c r="B262" s="66" t="s">
        <v>564</v>
      </c>
      <c r="C262" s="67" t="s">
        <v>3150</v>
      </c>
      <c r="D262" s="68">
        <v>10</v>
      </c>
      <c r="E262" s="69" t="s">
        <v>136</v>
      </c>
      <c r="F262" s="70">
        <v>10</v>
      </c>
      <c r="G262" s="67"/>
      <c r="H262" s="71"/>
      <c r="I262" s="72"/>
      <c r="J262" s="72"/>
      <c r="K262" s="34" t="s">
        <v>65</v>
      </c>
      <c r="L262" s="79">
        <v>262</v>
      </c>
      <c r="M262" s="79"/>
      <c r="N262" s="74"/>
      <c r="O262" s="81" t="s">
        <v>587</v>
      </c>
      <c r="P262" s="83">
        <v>44004.737280092595</v>
      </c>
      <c r="Q262" s="81" t="s">
        <v>637</v>
      </c>
      <c r="R262" s="81"/>
      <c r="S262" s="81"/>
      <c r="T262" s="81" t="s">
        <v>707</v>
      </c>
      <c r="U262" s="81"/>
      <c r="V262" s="84" t="str">
        <f>HYPERLINK("http://pbs.twimg.com/profile_images/953436802110623744/NK6Q5dVg_normal.jpg")</f>
        <v>http://pbs.twimg.com/profile_images/953436802110623744/NK6Q5dVg_normal.jpg</v>
      </c>
      <c r="W262" s="83">
        <v>44004.737280092595</v>
      </c>
      <c r="X262" s="87">
        <v>44004</v>
      </c>
      <c r="Y262" s="89" t="s">
        <v>857</v>
      </c>
      <c r="Z262" s="84" t="str">
        <f>HYPERLINK("https://twitter.com/jornalismodados/status/1275121796350709761")</f>
        <v>https://twitter.com/jornalismodados/status/1275121796350709761</v>
      </c>
      <c r="AA262" s="81"/>
      <c r="AB262" s="81"/>
      <c r="AC262" s="89" t="s">
        <v>1066</v>
      </c>
      <c r="AD262" s="81"/>
      <c r="AE262" s="81" t="b">
        <v>0</v>
      </c>
      <c r="AF262" s="81">
        <v>0</v>
      </c>
      <c r="AG262" s="89" t="s">
        <v>1149</v>
      </c>
      <c r="AH262" s="81" t="b">
        <v>0</v>
      </c>
      <c r="AI262" s="81" t="s">
        <v>1155</v>
      </c>
      <c r="AJ262" s="81"/>
      <c r="AK262" s="89" t="s">
        <v>1149</v>
      </c>
      <c r="AL262" s="81" t="b">
        <v>0</v>
      </c>
      <c r="AM262" s="81">
        <v>0</v>
      </c>
      <c r="AN262" s="89" t="s">
        <v>1149</v>
      </c>
      <c r="AO262" s="81" t="s">
        <v>1180</v>
      </c>
      <c r="AP262" s="81" t="b">
        <v>0</v>
      </c>
      <c r="AQ262" s="89" t="s">
        <v>1066</v>
      </c>
      <c r="AR262" s="81" t="s">
        <v>325</v>
      </c>
      <c r="AS262" s="81">
        <v>0</v>
      </c>
      <c r="AT262" s="81">
        <v>0</v>
      </c>
      <c r="AU262" s="81"/>
      <c r="AV262" s="81"/>
      <c r="AW262" s="81"/>
      <c r="AX262" s="81"/>
      <c r="AY262" s="81"/>
      <c r="AZ262" s="81"/>
      <c r="BA262" s="81"/>
      <c r="BB262" s="81"/>
      <c r="BC262">
        <v>16</v>
      </c>
      <c r="BD262" s="80" t="str">
        <f>REPLACE(INDEX(GroupVertices[Group],MATCH(Edges[[#This Row],[Vertex 1]],GroupVertices[Vertex],0)),1,1,"")</f>
        <v>1</v>
      </c>
      <c r="BE262" s="80" t="str">
        <f>REPLACE(INDEX(GroupVertices[Group],MATCH(Edges[[#This Row],[Vertex 2]],GroupVertices[Vertex],0)),1,1,"")</f>
        <v>1</v>
      </c>
      <c r="BF262" s="48">
        <v>0</v>
      </c>
      <c r="BG262" s="49">
        <v>0</v>
      </c>
      <c r="BH262" s="48">
        <v>0</v>
      </c>
      <c r="BI262" s="49">
        <v>0</v>
      </c>
      <c r="BJ262" s="48">
        <v>0</v>
      </c>
      <c r="BK262" s="49">
        <v>0</v>
      </c>
      <c r="BL262" s="48">
        <v>30</v>
      </c>
      <c r="BM262" s="49">
        <v>100</v>
      </c>
      <c r="BN262" s="48">
        <v>30</v>
      </c>
    </row>
    <row r="263" spans="1:66" ht="15">
      <c r="A263" s="66" t="s">
        <v>473</v>
      </c>
      <c r="B263" s="66" t="s">
        <v>564</v>
      </c>
      <c r="C263" s="67" t="s">
        <v>3150</v>
      </c>
      <c r="D263" s="68">
        <v>10</v>
      </c>
      <c r="E263" s="69" t="s">
        <v>136</v>
      </c>
      <c r="F263" s="70">
        <v>10</v>
      </c>
      <c r="G263" s="67"/>
      <c r="H263" s="71"/>
      <c r="I263" s="72"/>
      <c r="J263" s="72"/>
      <c r="K263" s="34" t="s">
        <v>65</v>
      </c>
      <c r="L263" s="79">
        <v>263</v>
      </c>
      <c r="M263" s="79"/>
      <c r="N263" s="74"/>
      <c r="O263" s="81" t="s">
        <v>587</v>
      </c>
      <c r="P263" s="83">
        <v>44004.737337962964</v>
      </c>
      <c r="Q263" s="81" t="s">
        <v>635</v>
      </c>
      <c r="R263" s="81"/>
      <c r="S263" s="81"/>
      <c r="T263" s="81" t="s">
        <v>707</v>
      </c>
      <c r="U263" s="81"/>
      <c r="V263" s="84" t="str">
        <f>HYPERLINK("http://pbs.twimg.com/profile_images/953436802110623744/NK6Q5dVg_normal.jpg")</f>
        <v>http://pbs.twimg.com/profile_images/953436802110623744/NK6Q5dVg_normal.jpg</v>
      </c>
      <c r="W263" s="83">
        <v>44004.737337962964</v>
      </c>
      <c r="X263" s="87">
        <v>44004</v>
      </c>
      <c r="Y263" s="89" t="s">
        <v>855</v>
      </c>
      <c r="Z263" s="84" t="str">
        <f>HYPERLINK("https://twitter.com/jornalismodados/status/1275121818836389888")</f>
        <v>https://twitter.com/jornalismodados/status/1275121818836389888</v>
      </c>
      <c r="AA263" s="81"/>
      <c r="AB263" s="81"/>
      <c r="AC263" s="89" t="s">
        <v>1064</v>
      </c>
      <c r="AD263" s="81"/>
      <c r="AE263" s="81" t="b">
        <v>0</v>
      </c>
      <c r="AF263" s="81">
        <v>0</v>
      </c>
      <c r="AG263" s="89" t="s">
        <v>1149</v>
      </c>
      <c r="AH263" s="81" t="b">
        <v>0</v>
      </c>
      <c r="AI263" s="81" t="s">
        <v>1155</v>
      </c>
      <c r="AJ263" s="81"/>
      <c r="AK263" s="89" t="s">
        <v>1149</v>
      </c>
      <c r="AL263" s="81" t="b">
        <v>0</v>
      </c>
      <c r="AM263" s="81">
        <v>0</v>
      </c>
      <c r="AN263" s="89" t="s">
        <v>1149</v>
      </c>
      <c r="AO263" s="81" t="s">
        <v>1180</v>
      </c>
      <c r="AP263" s="81" t="b">
        <v>0</v>
      </c>
      <c r="AQ263" s="89" t="s">
        <v>1064</v>
      </c>
      <c r="AR263" s="81" t="s">
        <v>325</v>
      </c>
      <c r="AS263" s="81">
        <v>0</v>
      </c>
      <c r="AT263" s="81">
        <v>0</v>
      </c>
      <c r="AU263" s="81"/>
      <c r="AV263" s="81"/>
      <c r="AW263" s="81"/>
      <c r="AX263" s="81"/>
      <c r="AY263" s="81"/>
      <c r="AZ263" s="81"/>
      <c r="BA263" s="81"/>
      <c r="BB263" s="81"/>
      <c r="BC263">
        <v>16</v>
      </c>
      <c r="BD263" s="80" t="str">
        <f>REPLACE(INDEX(GroupVertices[Group],MATCH(Edges[[#This Row],[Vertex 1]],GroupVertices[Vertex],0)),1,1,"")</f>
        <v>1</v>
      </c>
      <c r="BE263" s="80" t="str">
        <f>REPLACE(INDEX(GroupVertices[Group],MATCH(Edges[[#This Row],[Vertex 2]],GroupVertices[Vertex],0)),1,1,"")</f>
        <v>1</v>
      </c>
      <c r="BF263" s="48">
        <v>0</v>
      </c>
      <c r="BG263" s="49">
        <v>0</v>
      </c>
      <c r="BH263" s="48">
        <v>0</v>
      </c>
      <c r="BI263" s="49">
        <v>0</v>
      </c>
      <c r="BJ263" s="48">
        <v>0</v>
      </c>
      <c r="BK263" s="49">
        <v>0</v>
      </c>
      <c r="BL263" s="48">
        <v>30</v>
      </c>
      <c r="BM263" s="49">
        <v>100</v>
      </c>
      <c r="BN263" s="48">
        <v>30</v>
      </c>
    </row>
    <row r="264" spans="1:66" ht="15">
      <c r="A264" s="66" t="s">
        <v>473</v>
      </c>
      <c r="B264" s="66" t="s">
        <v>564</v>
      </c>
      <c r="C264" s="67" t="s">
        <v>3150</v>
      </c>
      <c r="D264" s="68">
        <v>10</v>
      </c>
      <c r="E264" s="69" t="s">
        <v>136</v>
      </c>
      <c r="F264" s="70">
        <v>10</v>
      </c>
      <c r="G264" s="67"/>
      <c r="H264" s="71"/>
      <c r="I264" s="72"/>
      <c r="J264" s="72"/>
      <c r="K264" s="34" t="s">
        <v>65</v>
      </c>
      <c r="L264" s="79">
        <v>264</v>
      </c>
      <c r="M264" s="79"/>
      <c r="N264" s="74"/>
      <c r="O264" s="81" t="s">
        <v>587</v>
      </c>
      <c r="P264" s="83">
        <v>44004.73746527778</v>
      </c>
      <c r="Q264" s="81" t="s">
        <v>648</v>
      </c>
      <c r="R264" s="84" t="str">
        <f>HYPERLINK("https://twitter.com/i/web/status/1275106760110608384")</f>
        <v>https://twitter.com/i/web/status/1275106760110608384</v>
      </c>
      <c r="S264" s="81" t="s">
        <v>676</v>
      </c>
      <c r="T264" s="81" t="s">
        <v>718</v>
      </c>
      <c r="U264" s="81"/>
      <c r="V264" s="84" t="str">
        <f>HYPERLINK("http://pbs.twimg.com/profile_images/953436802110623744/NK6Q5dVg_normal.jpg")</f>
        <v>http://pbs.twimg.com/profile_images/953436802110623744/NK6Q5dVg_normal.jpg</v>
      </c>
      <c r="W264" s="83">
        <v>44004.73746527778</v>
      </c>
      <c r="X264" s="87">
        <v>44004</v>
      </c>
      <c r="Y264" s="89" t="s">
        <v>868</v>
      </c>
      <c r="Z264" s="84" t="str">
        <f>HYPERLINK("https://twitter.com/jornalismodados/status/1275121862394236929")</f>
        <v>https://twitter.com/jornalismodados/status/1275121862394236929</v>
      </c>
      <c r="AA264" s="81"/>
      <c r="AB264" s="81"/>
      <c r="AC264" s="89" t="s">
        <v>1077</v>
      </c>
      <c r="AD264" s="81"/>
      <c r="AE264" s="81" t="b">
        <v>0</v>
      </c>
      <c r="AF264" s="81">
        <v>0</v>
      </c>
      <c r="AG264" s="89" t="s">
        <v>1149</v>
      </c>
      <c r="AH264" s="81" t="b">
        <v>0</v>
      </c>
      <c r="AI264" s="81" t="s">
        <v>1155</v>
      </c>
      <c r="AJ264" s="81"/>
      <c r="AK264" s="89" t="s">
        <v>1149</v>
      </c>
      <c r="AL264" s="81" t="b">
        <v>0</v>
      </c>
      <c r="AM264" s="81">
        <v>0</v>
      </c>
      <c r="AN264" s="89" t="s">
        <v>1149</v>
      </c>
      <c r="AO264" s="81" t="s">
        <v>1180</v>
      </c>
      <c r="AP264" s="81" t="b">
        <v>0</v>
      </c>
      <c r="AQ264" s="89" t="s">
        <v>1077</v>
      </c>
      <c r="AR264" s="81" t="s">
        <v>325</v>
      </c>
      <c r="AS264" s="81">
        <v>0</v>
      </c>
      <c r="AT264" s="81">
        <v>0</v>
      </c>
      <c r="AU264" s="81"/>
      <c r="AV264" s="81"/>
      <c r="AW264" s="81"/>
      <c r="AX264" s="81"/>
      <c r="AY264" s="81"/>
      <c r="AZ264" s="81"/>
      <c r="BA264" s="81"/>
      <c r="BB264" s="81"/>
      <c r="BC264">
        <v>16</v>
      </c>
      <c r="BD264" s="80" t="str">
        <f>REPLACE(INDEX(GroupVertices[Group],MATCH(Edges[[#This Row],[Vertex 1]],GroupVertices[Vertex],0)),1,1,"")</f>
        <v>1</v>
      </c>
      <c r="BE264" s="80" t="str">
        <f>REPLACE(INDEX(GroupVertices[Group],MATCH(Edges[[#This Row],[Vertex 2]],GroupVertices[Vertex],0)),1,1,"")</f>
        <v>1</v>
      </c>
      <c r="BF264" s="48">
        <v>0</v>
      </c>
      <c r="BG264" s="49">
        <v>0</v>
      </c>
      <c r="BH264" s="48">
        <v>0</v>
      </c>
      <c r="BI264" s="49">
        <v>0</v>
      </c>
      <c r="BJ264" s="48">
        <v>0</v>
      </c>
      <c r="BK264" s="49">
        <v>0</v>
      </c>
      <c r="BL264" s="48">
        <v>28</v>
      </c>
      <c r="BM264" s="49">
        <v>100</v>
      </c>
      <c r="BN264" s="48">
        <v>28</v>
      </c>
    </row>
    <row r="265" spans="1:66" ht="15">
      <c r="A265" s="66" t="s">
        <v>473</v>
      </c>
      <c r="B265" s="66" t="s">
        <v>564</v>
      </c>
      <c r="C265" s="67" t="s">
        <v>3150</v>
      </c>
      <c r="D265" s="68">
        <v>10</v>
      </c>
      <c r="E265" s="69" t="s">
        <v>136</v>
      </c>
      <c r="F265" s="70">
        <v>10</v>
      </c>
      <c r="G265" s="67"/>
      <c r="H265" s="71"/>
      <c r="I265" s="72"/>
      <c r="J265" s="72"/>
      <c r="K265" s="34" t="s">
        <v>65</v>
      </c>
      <c r="L265" s="79">
        <v>265</v>
      </c>
      <c r="M265" s="79"/>
      <c r="N265" s="74"/>
      <c r="O265" s="81" t="s">
        <v>587</v>
      </c>
      <c r="P265" s="83">
        <v>44004.73753472222</v>
      </c>
      <c r="Q265" s="81" t="s">
        <v>634</v>
      </c>
      <c r="R265" s="84" t="str">
        <f>HYPERLINK("https://twitter.com/i/web/status/1275106716489789441")</f>
        <v>https://twitter.com/i/web/status/1275106716489789441</v>
      </c>
      <c r="S265" s="81" t="s">
        <v>676</v>
      </c>
      <c r="T265" s="81" t="s">
        <v>718</v>
      </c>
      <c r="U265" s="81"/>
      <c r="V265" s="84" t="str">
        <f>HYPERLINK("http://pbs.twimg.com/profile_images/953436802110623744/NK6Q5dVg_normal.jpg")</f>
        <v>http://pbs.twimg.com/profile_images/953436802110623744/NK6Q5dVg_normal.jpg</v>
      </c>
      <c r="W265" s="83">
        <v>44004.73753472222</v>
      </c>
      <c r="X265" s="87">
        <v>44004</v>
      </c>
      <c r="Y265" s="89" t="s">
        <v>854</v>
      </c>
      <c r="Z265" s="84" t="str">
        <f>HYPERLINK("https://twitter.com/jornalismodados/status/1275121889099333634")</f>
        <v>https://twitter.com/jornalismodados/status/1275121889099333634</v>
      </c>
      <c r="AA265" s="81"/>
      <c r="AB265" s="81"/>
      <c r="AC265" s="89" t="s">
        <v>1063</v>
      </c>
      <c r="AD265" s="81"/>
      <c r="AE265" s="81" t="b">
        <v>0</v>
      </c>
      <c r="AF265" s="81">
        <v>0</v>
      </c>
      <c r="AG265" s="89" t="s">
        <v>1149</v>
      </c>
      <c r="AH265" s="81" t="b">
        <v>0</v>
      </c>
      <c r="AI265" s="81" t="s">
        <v>1155</v>
      </c>
      <c r="AJ265" s="81"/>
      <c r="AK265" s="89" t="s">
        <v>1149</v>
      </c>
      <c r="AL265" s="81" t="b">
        <v>0</v>
      </c>
      <c r="AM265" s="81">
        <v>0</v>
      </c>
      <c r="AN265" s="89" t="s">
        <v>1149</v>
      </c>
      <c r="AO265" s="81" t="s">
        <v>1180</v>
      </c>
      <c r="AP265" s="81" t="b">
        <v>0</v>
      </c>
      <c r="AQ265" s="89" t="s">
        <v>1063</v>
      </c>
      <c r="AR265" s="81" t="s">
        <v>325</v>
      </c>
      <c r="AS265" s="81">
        <v>0</v>
      </c>
      <c r="AT265" s="81">
        <v>0</v>
      </c>
      <c r="AU265" s="81"/>
      <c r="AV265" s="81"/>
      <c r="AW265" s="81"/>
      <c r="AX265" s="81"/>
      <c r="AY265" s="81"/>
      <c r="AZ265" s="81"/>
      <c r="BA265" s="81"/>
      <c r="BB265" s="81"/>
      <c r="BC265">
        <v>16</v>
      </c>
      <c r="BD265" s="80" t="str">
        <f>REPLACE(INDEX(GroupVertices[Group],MATCH(Edges[[#This Row],[Vertex 1]],GroupVertices[Vertex],0)),1,1,"")</f>
        <v>1</v>
      </c>
      <c r="BE265" s="80" t="str">
        <f>REPLACE(INDEX(GroupVertices[Group],MATCH(Edges[[#This Row],[Vertex 2]],GroupVertices[Vertex],0)),1,1,"")</f>
        <v>1</v>
      </c>
      <c r="BF265" s="48">
        <v>0</v>
      </c>
      <c r="BG265" s="49">
        <v>0</v>
      </c>
      <c r="BH265" s="48">
        <v>0</v>
      </c>
      <c r="BI265" s="49">
        <v>0</v>
      </c>
      <c r="BJ265" s="48">
        <v>0</v>
      </c>
      <c r="BK265" s="49">
        <v>0</v>
      </c>
      <c r="BL265" s="48">
        <v>27</v>
      </c>
      <c r="BM265" s="49">
        <v>100</v>
      </c>
      <c r="BN265" s="48">
        <v>27</v>
      </c>
    </row>
    <row r="266" spans="1:66" ht="15">
      <c r="A266" s="66" t="s">
        <v>473</v>
      </c>
      <c r="B266" s="66" t="s">
        <v>564</v>
      </c>
      <c r="C266" s="67" t="s">
        <v>3150</v>
      </c>
      <c r="D266" s="68">
        <v>10</v>
      </c>
      <c r="E266" s="69" t="s">
        <v>136</v>
      </c>
      <c r="F266" s="70">
        <v>10</v>
      </c>
      <c r="G266" s="67"/>
      <c r="H266" s="71"/>
      <c r="I266" s="72"/>
      <c r="J266" s="72"/>
      <c r="K266" s="34" t="s">
        <v>65</v>
      </c>
      <c r="L266" s="79">
        <v>266</v>
      </c>
      <c r="M266" s="79"/>
      <c r="N266" s="74"/>
      <c r="O266" s="81" t="s">
        <v>587</v>
      </c>
      <c r="P266" s="83">
        <v>44004.77885416667</v>
      </c>
      <c r="Q266" s="81" t="s">
        <v>636</v>
      </c>
      <c r="R266" s="84" t="str">
        <f>HYPERLINK("https://twitter.com/i/web/status/1275121818836389888")</f>
        <v>https://twitter.com/i/web/status/1275121818836389888</v>
      </c>
      <c r="S266" s="81" t="s">
        <v>676</v>
      </c>
      <c r="T266" s="81" t="s">
        <v>718</v>
      </c>
      <c r="U266" s="81"/>
      <c r="V266" s="84" t="str">
        <f>HYPERLINK("http://pbs.twimg.com/profile_images/953436802110623744/NK6Q5dVg_normal.jpg")</f>
        <v>http://pbs.twimg.com/profile_images/953436802110623744/NK6Q5dVg_normal.jpg</v>
      </c>
      <c r="W266" s="83">
        <v>44004.77885416667</v>
      </c>
      <c r="X266" s="87">
        <v>44004</v>
      </c>
      <c r="Y266" s="89" t="s">
        <v>856</v>
      </c>
      <c r="Z266" s="84" t="str">
        <f>HYPERLINK("https://twitter.com/jornalismodados/status/1275136861065949184")</f>
        <v>https://twitter.com/jornalismodados/status/1275136861065949184</v>
      </c>
      <c r="AA266" s="81"/>
      <c r="AB266" s="81"/>
      <c r="AC266" s="89" t="s">
        <v>1065</v>
      </c>
      <c r="AD266" s="81"/>
      <c r="AE266" s="81" t="b">
        <v>0</v>
      </c>
      <c r="AF266" s="81">
        <v>0</v>
      </c>
      <c r="AG266" s="89" t="s">
        <v>1149</v>
      </c>
      <c r="AH266" s="81" t="b">
        <v>0</v>
      </c>
      <c r="AI266" s="81" t="s">
        <v>1155</v>
      </c>
      <c r="AJ266" s="81"/>
      <c r="AK266" s="89" t="s">
        <v>1149</v>
      </c>
      <c r="AL266" s="81" t="b">
        <v>0</v>
      </c>
      <c r="AM266" s="81">
        <v>0</v>
      </c>
      <c r="AN266" s="89" t="s">
        <v>1149</v>
      </c>
      <c r="AO266" s="81" t="s">
        <v>1180</v>
      </c>
      <c r="AP266" s="81" t="b">
        <v>0</v>
      </c>
      <c r="AQ266" s="89" t="s">
        <v>1065</v>
      </c>
      <c r="AR266" s="81" t="s">
        <v>325</v>
      </c>
      <c r="AS266" s="81">
        <v>0</v>
      </c>
      <c r="AT266" s="81">
        <v>0</v>
      </c>
      <c r="AU266" s="81"/>
      <c r="AV266" s="81"/>
      <c r="AW266" s="81"/>
      <c r="AX266" s="81"/>
      <c r="AY266" s="81"/>
      <c r="AZ266" s="81"/>
      <c r="BA266" s="81"/>
      <c r="BB266" s="81"/>
      <c r="BC266">
        <v>16</v>
      </c>
      <c r="BD266" s="80" t="str">
        <f>REPLACE(INDEX(GroupVertices[Group],MATCH(Edges[[#This Row],[Vertex 1]],GroupVertices[Vertex],0)),1,1,"")</f>
        <v>1</v>
      </c>
      <c r="BE266" s="80" t="str">
        <f>REPLACE(INDEX(GroupVertices[Group],MATCH(Edges[[#This Row],[Vertex 2]],GroupVertices[Vertex],0)),1,1,"")</f>
        <v>1</v>
      </c>
      <c r="BF266" s="48">
        <v>0</v>
      </c>
      <c r="BG266" s="49">
        <v>0</v>
      </c>
      <c r="BH266" s="48">
        <v>0</v>
      </c>
      <c r="BI266" s="49">
        <v>0</v>
      </c>
      <c r="BJ266" s="48">
        <v>0</v>
      </c>
      <c r="BK266" s="49">
        <v>0</v>
      </c>
      <c r="BL266" s="48">
        <v>27</v>
      </c>
      <c r="BM266" s="49">
        <v>100</v>
      </c>
      <c r="BN266" s="48">
        <v>27</v>
      </c>
    </row>
    <row r="267" spans="1:66" ht="15">
      <c r="A267" s="66" t="s">
        <v>473</v>
      </c>
      <c r="B267" s="66" t="s">
        <v>564</v>
      </c>
      <c r="C267" s="67" t="s">
        <v>3150</v>
      </c>
      <c r="D267" s="68">
        <v>10</v>
      </c>
      <c r="E267" s="69" t="s">
        <v>136</v>
      </c>
      <c r="F267" s="70">
        <v>10</v>
      </c>
      <c r="G267" s="67"/>
      <c r="H267" s="71"/>
      <c r="I267" s="72"/>
      <c r="J267" s="72"/>
      <c r="K267" s="34" t="s">
        <v>65</v>
      </c>
      <c r="L267" s="79">
        <v>267</v>
      </c>
      <c r="M267" s="79"/>
      <c r="N267" s="74"/>
      <c r="O267" s="81" t="s">
        <v>587</v>
      </c>
      <c r="P267" s="83">
        <v>44004.77893518518</v>
      </c>
      <c r="Q267" s="81" t="s">
        <v>638</v>
      </c>
      <c r="R267" s="84" t="str">
        <f>HYPERLINK("https://twitter.com/i/web/status/1275121796350709761")</f>
        <v>https://twitter.com/i/web/status/1275121796350709761</v>
      </c>
      <c r="S267" s="81" t="s">
        <v>676</v>
      </c>
      <c r="T267" s="81" t="s">
        <v>718</v>
      </c>
      <c r="U267" s="81"/>
      <c r="V267" s="84" t="str">
        <f>HYPERLINK("http://pbs.twimg.com/profile_images/953436802110623744/NK6Q5dVg_normal.jpg")</f>
        <v>http://pbs.twimg.com/profile_images/953436802110623744/NK6Q5dVg_normal.jpg</v>
      </c>
      <c r="W267" s="83">
        <v>44004.77893518518</v>
      </c>
      <c r="X267" s="87">
        <v>44004</v>
      </c>
      <c r="Y267" s="89" t="s">
        <v>858</v>
      </c>
      <c r="Z267" s="84" t="str">
        <f>HYPERLINK("https://twitter.com/jornalismodados/status/1275136891856306176")</f>
        <v>https://twitter.com/jornalismodados/status/1275136891856306176</v>
      </c>
      <c r="AA267" s="81"/>
      <c r="AB267" s="81"/>
      <c r="AC267" s="89" t="s">
        <v>1067</v>
      </c>
      <c r="AD267" s="81"/>
      <c r="AE267" s="81" t="b">
        <v>0</v>
      </c>
      <c r="AF267" s="81">
        <v>0</v>
      </c>
      <c r="AG267" s="89" t="s">
        <v>1149</v>
      </c>
      <c r="AH267" s="81" t="b">
        <v>0</v>
      </c>
      <c r="AI267" s="81" t="s">
        <v>1155</v>
      </c>
      <c r="AJ267" s="81"/>
      <c r="AK267" s="89" t="s">
        <v>1149</v>
      </c>
      <c r="AL267" s="81" t="b">
        <v>0</v>
      </c>
      <c r="AM267" s="81">
        <v>0</v>
      </c>
      <c r="AN267" s="89" t="s">
        <v>1149</v>
      </c>
      <c r="AO267" s="81" t="s">
        <v>1180</v>
      </c>
      <c r="AP267" s="81" t="b">
        <v>0</v>
      </c>
      <c r="AQ267" s="89" t="s">
        <v>1067</v>
      </c>
      <c r="AR267" s="81" t="s">
        <v>325</v>
      </c>
      <c r="AS267" s="81">
        <v>0</v>
      </c>
      <c r="AT267" s="81">
        <v>0</v>
      </c>
      <c r="AU267" s="81"/>
      <c r="AV267" s="81"/>
      <c r="AW267" s="81"/>
      <c r="AX267" s="81"/>
      <c r="AY267" s="81"/>
      <c r="AZ267" s="81"/>
      <c r="BA267" s="81"/>
      <c r="BB267" s="81"/>
      <c r="BC267">
        <v>16</v>
      </c>
      <c r="BD267" s="80" t="str">
        <f>REPLACE(INDEX(GroupVertices[Group],MATCH(Edges[[#This Row],[Vertex 1]],GroupVertices[Vertex],0)),1,1,"")</f>
        <v>1</v>
      </c>
      <c r="BE267" s="80" t="str">
        <f>REPLACE(INDEX(GroupVertices[Group],MATCH(Edges[[#This Row],[Vertex 2]],GroupVertices[Vertex],0)),1,1,"")</f>
        <v>1</v>
      </c>
      <c r="BF267" s="48">
        <v>0</v>
      </c>
      <c r="BG267" s="49">
        <v>0</v>
      </c>
      <c r="BH267" s="48">
        <v>0</v>
      </c>
      <c r="BI267" s="49">
        <v>0</v>
      </c>
      <c r="BJ267" s="48">
        <v>0</v>
      </c>
      <c r="BK267" s="49">
        <v>0</v>
      </c>
      <c r="BL267" s="48">
        <v>27</v>
      </c>
      <c r="BM267" s="49">
        <v>100</v>
      </c>
      <c r="BN267" s="48">
        <v>27</v>
      </c>
    </row>
    <row r="268" spans="1:66" ht="15">
      <c r="A268" s="66" t="s">
        <v>473</v>
      </c>
      <c r="B268" s="66" t="s">
        <v>564</v>
      </c>
      <c r="C268" s="67" t="s">
        <v>3150</v>
      </c>
      <c r="D268" s="68">
        <v>10</v>
      </c>
      <c r="E268" s="69" t="s">
        <v>136</v>
      </c>
      <c r="F268" s="70">
        <v>10</v>
      </c>
      <c r="G268" s="67"/>
      <c r="H268" s="71"/>
      <c r="I268" s="72"/>
      <c r="J268" s="72"/>
      <c r="K268" s="34" t="s">
        <v>65</v>
      </c>
      <c r="L268" s="79">
        <v>268</v>
      </c>
      <c r="M268" s="79"/>
      <c r="N268" s="74"/>
      <c r="O268" s="81" t="s">
        <v>587</v>
      </c>
      <c r="P268" s="83">
        <v>44004.77903935185</v>
      </c>
      <c r="Q268" s="81" t="s">
        <v>640</v>
      </c>
      <c r="R268" s="84" t="str">
        <f>HYPERLINK("https://twitter.com/i/web/status/1275121761441517569")</f>
        <v>https://twitter.com/i/web/status/1275121761441517569</v>
      </c>
      <c r="S268" s="81" t="s">
        <v>676</v>
      </c>
      <c r="T268" s="81" t="s">
        <v>718</v>
      </c>
      <c r="U268" s="81"/>
      <c r="V268" s="84" t="str">
        <f>HYPERLINK("http://pbs.twimg.com/profile_images/953436802110623744/NK6Q5dVg_normal.jpg")</f>
        <v>http://pbs.twimg.com/profile_images/953436802110623744/NK6Q5dVg_normal.jpg</v>
      </c>
      <c r="W268" s="83">
        <v>44004.77903935185</v>
      </c>
      <c r="X268" s="87">
        <v>44004</v>
      </c>
      <c r="Y268" s="89" t="s">
        <v>860</v>
      </c>
      <c r="Z268" s="84" t="str">
        <f>HYPERLINK("https://twitter.com/jornalismodados/status/1275136931349790721")</f>
        <v>https://twitter.com/jornalismodados/status/1275136931349790721</v>
      </c>
      <c r="AA268" s="81"/>
      <c r="AB268" s="81"/>
      <c r="AC268" s="89" t="s">
        <v>1069</v>
      </c>
      <c r="AD268" s="81"/>
      <c r="AE268" s="81" t="b">
        <v>0</v>
      </c>
      <c r="AF268" s="81">
        <v>0</v>
      </c>
      <c r="AG268" s="89" t="s">
        <v>1149</v>
      </c>
      <c r="AH268" s="81" t="b">
        <v>0</v>
      </c>
      <c r="AI268" s="81" t="s">
        <v>1155</v>
      </c>
      <c r="AJ268" s="81"/>
      <c r="AK268" s="89" t="s">
        <v>1149</v>
      </c>
      <c r="AL268" s="81" t="b">
        <v>0</v>
      </c>
      <c r="AM268" s="81">
        <v>0</v>
      </c>
      <c r="AN268" s="89" t="s">
        <v>1149</v>
      </c>
      <c r="AO268" s="81" t="s">
        <v>1180</v>
      </c>
      <c r="AP268" s="81" t="b">
        <v>0</v>
      </c>
      <c r="AQ268" s="89" t="s">
        <v>1069</v>
      </c>
      <c r="AR268" s="81" t="s">
        <v>325</v>
      </c>
      <c r="AS268" s="81">
        <v>0</v>
      </c>
      <c r="AT268" s="81">
        <v>0</v>
      </c>
      <c r="AU268" s="81"/>
      <c r="AV268" s="81"/>
      <c r="AW268" s="81"/>
      <c r="AX268" s="81"/>
      <c r="AY268" s="81"/>
      <c r="AZ268" s="81"/>
      <c r="BA268" s="81"/>
      <c r="BB268" s="81"/>
      <c r="BC268">
        <v>16</v>
      </c>
      <c r="BD268" s="80" t="str">
        <f>REPLACE(INDEX(GroupVertices[Group],MATCH(Edges[[#This Row],[Vertex 1]],GroupVertices[Vertex],0)),1,1,"")</f>
        <v>1</v>
      </c>
      <c r="BE268" s="80" t="str">
        <f>REPLACE(INDEX(GroupVertices[Group],MATCH(Edges[[#This Row],[Vertex 2]],GroupVertices[Vertex],0)),1,1,"")</f>
        <v>1</v>
      </c>
      <c r="BF268" s="48">
        <v>0</v>
      </c>
      <c r="BG268" s="49">
        <v>0</v>
      </c>
      <c r="BH268" s="48">
        <v>0</v>
      </c>
      <c r="BI268" s="49">
        <v>0</v>
      </c>
      <c r="BJ268" s="48">
        <v>0</v>
      </c>
      <c r="BK268" s="49">
        <v>0</v>
      </c>
      <c r="BL268" s="48">
        <v>27</v>
      </c>
      <c r="BM268" s="49">
        <v>100</v>
      </c>
      <c r="BN268" s="48">
        <v>27</v>
      </c>
    </row>
    <row r="269" spans="1:66" ht="15">
      <c r="A269" s="66" t="s">
        <v>473</v>
      </c>
      <c r="B269" s="66" t="s">
        <v>564</v>
      </c>
      <c r="C269" s="67" t="s">
        <v>3150</v>
      </c>
      <c r="D269" s="68">
        <v>10</v>
      </c>
      <c r="E269" s="69" t="s">
        <v>136</v>
      </c>
      <c r="F269" s="70">
        <v>10</v>
      </c>
      <c r="G269" s="67"/>
      <c r="H269" s="71"/>
      <c r="I269" s="72"/>
      <c r="J269" s="72"/>
      <c r="K269" s="34" t="s">
        <v>65</v>
      </c>
      <c r="L269" s="79">
        <v>269</v>
      </c>
      <c r="M269" s="79"/>
      <c r="N269" s="74"/>
      <c r="O269" s="81" t="s">
        <v>587</v>
      </c>
      <c r="P269" s="83">
        <v>44004.82052083333</v>
      </c>
      <c r="Q269" s="81" t="s">
        <v>649</v>
      </c>
      <c r="R269" s="81"/>
      <c r="S269" s="81"/>
      <c r="T269" s="81" t="s">
        <v>707</v>
      </c>
      <c r="U269" s="81"/>
      <c r="V269" s="84" t="str">
        <f>HYPERLINK("http://pbs.twimg.com/profile_images/953436802110623744/NK6Q5dVg_normal.jpg")</f>
        <v>http://pbs.twimg.com/profile_images/953436802110623744/NK6Q5dVg_normal.jpg</v>
      </c>
      <c r="W269" s="83">
        <v>44004.82052083333</v>
      </c>
      <c r="X269" s="87">
        <v>44004</v>
      </c>
      <c r="Y269" s="89" t="s">
        <v>869</v>
      </c>
      <c r="Z269" s="84" t="str">
        <f>HYPERLINK("https://twitter.com/jornalismodados/status/1275151960887439361")</f>
        <v>https://twitter.com/jornalismodados/status/1275151960887439361</v>
      </c>
      <c r="AA269" s="81"/>
      <c r="AB269" s="81"/>
      <c r="AC269" s="89" t="s">
        <v>1078</v>
      </c>
      <c r="AD269" s="81"/>
      <c r="AE269" s="81" t="b">
        <v>0</v>
      </c>
      <c r="AF269" s="81">
        <v>0</v>
      </c>
      <c r="AG269" s="89" t="s">
        <v>1149</v>
      </c>
      <c r="AH269" s="81" t="b">
        <v>0</v>
      </c>
      <c r="AI269" s="81" t="s">
        <v>1155</v>
      </c>
      <c r="AJ269" s="81"/>
      <c r="AK269" s="89" t="s">
        <v>1149</v>
      </c>
      <c r="AL269" s="81" t="b">
        <v>0</v>
      </c>
      <c r="AM269" s="81">
        <v>0</v>
      </c>
      <c r="AN269" s="89" t="s">
        <v>1149</v>
      </c>
      <c r="AO269" s="81" t="s">
        <v>1180</v>
      </c>
      <c r="AP269" s="81" t="b">
        <v>0</v>
      </c>
      <c r="AQ269" s="89" t="s">
        <v>1078</v>
      </c>
      <c r="AR269" s="81" t="s">
        <v>325</v>
      </c>
      <c r="AS269" s="81">
        <v>0</v>
      </c>
      <c r="AT269" s="81">
        <v>0</v>
      </c>
      <c r="AU269" s="81"/>
      <c r="AV269" s="81"/>
      <c r="AW269" s="81"/>
      <c r="AX269" s="81"/>
      <c r="AY269" s="81"/>
      <c r="AZ269" s="81"/>
      <c r="BA269" s="81"/>
      <c r="BB269" s="81"/>
      <c r="BC269">
        <v>16</v>
      </c>
      <c r="BD269" s="80" t="str">
        <f>REPLACE(INDEX(GroupVertices[Group],MATCH(Edges[[#This Row],[Vertex 1]],GroupVertices[Vertex],0)),1,1,"")</f>
        <v>1</v>
      </c>
      <c r="BE269" s="80" t="str">
        <f>REPLACE(INDEX(GroupVertices[Group],MATCH(Edges[[#This Row],[Vertex 2]],GroupVertices[Vertex],0)),1,1,"")</f>
        <v>1</v>
      </c>
      <c r="BF269" s="48"/>
      <c r="BG269" s="49"/>
      <c r="BH269" s="48"/>
      <c r="BI269" s="49"/>
      <c r="BJ269" s="48"/>
      <c r="BK269" s="49"/>
      <c r="BL269" s="48"/>
      <c r="BM269" s="49"/>
      <c r="BN269" s="48"/>
    </row>
    <row r="270" spans="1:66" ht="15">
      <c r="A270" s="66" t="s">
        <v>473</v>
      </c>
      <c r="B270" s="66" t="s">
        <v>564</v>
      </c>
      <c r="C270" s="67" t="s">
        <v>3150</v>
      </c>
      <c r="D270" s="68">
        <v>10</v>
      </c>
      <c r="E270" s="69" t="s">
        <v>136</v>
      </c>
      <c r="F270" s="70">
        <v>10</v>
      </c>
      <c r="G270" s="67"/>
      <c r="H270" s="71"/>
      <c r="I270" s="72"/>
      <c r="J270" s="72"/>
      <c r="K270" s="34" t="s">
        <v>65</v>
      </c>
      <c r="L270" s="79">
        <v>270</v>
      </c>
      <c r="M270" s="79"/>
      <c r="N270" s="74"/>
      <c r="O270" s="81" t="s">
        <v>587</v>
      </c>
      <c r="P270" s="83">
        <v>44004.82074074074</v>
      </c>
      <c r="Q270" s="81" t="s">
        <v>645</v>
      </c>
      <c r="R270" s="81"/>
      <c r="S270" s="81"/>
      <c r="T270" s="81" t="s">
        <v>707</v>
      </c>
      <c r="U270" s="81"/>
      <c r="V270" s="84" t="str">
        <f>HYPERLINK("http://pbs.twimg.com/profile_images/953436802110623744/NK6Q5dVg_normal.jpg")</f>
        <v>http://pbs.twimg.com/profile_images/953436802110623744/NK6Q5dVg_normal.jpg</v>
      </c>
      <c r="W270" s="83">
        <v>44004.82074074074</v>
      </c>
      <c r="X270" s="87">
        <v>44004</v>
      </c>
      <c r="Y270" s="89" t="s">
        <v>865</v>
      </c>
      <c r="Z270" s="84" t="str">
        <f>HYPERLINK("https://twitter.com/jornalismodados/status/1275152041283932160")</f>
        <v>https://twitter.com/jornalismodados/status/1275152041283932160</v>
      </c>
      <c r="AA270" s="81"/>
      <c r="AB270" s="81"/>
      <c r="AC270" s="89" t="s">
        <v>1074</v>
      </c>
      <c r="AD270" s="81"/>
      <c r="AE270" s="81" t="b">
        <v>0</v>
      </c>
      <c r="AF270" s="81">
        <v>0</v>
      </c>
      <c r="AG270" s="89" t="s">
        <v>1149</v>
      </c>
      <c r="AH270" s="81" t="b">
        <v>0</v>
      </c>
      <c r="AI270" s="81" t="s">
        <v>1155</v>
      </c>
      <c r="AJ270" s="81"/>
      <c r="AK270" s="89" t="s">
        <v>1149</v>
      </c>
      <c r="AL270" s="81" t="b">
        <v>0</v>
      </c>
      <c r="AM270" s="81">
        <v>0</v>
      </c>
      <c r="AN270" s="89" t="s">
        <v>1149</v>
      </c>
      <c r="AO270" s="81" t="s">
        <v>1180</v>
      </c>
      <c r="AP270" s="81" t="b">
        <v>0</v>
      </c>
      <c r="AQ270" s="89" t="s">
        <v>1074</v>
      </c>
      <c r="AR270" s="81" t="s">
        <v>325</v>
      </c>
      <c r="AS270" s="81">
        <v>0</v>
      </c>
      <c r="AT270" s="81">
        <v>0</v>
      </c>
      <c r="AU270" s="81"/>
      <c r="AV270" s="81"/>
      <c r="AW270" s="81"/>
      <c r="AX270" s="81"/>
      <c r="AY270" s="81"/>
      <c r="AZ270" s="81"/>
      <c r="BA270" s="81"/>
      <c r="BB270" s="81"/>
      <c r="BC270">
        <v>16</v>
      </c>
      <c r="BD270" s="80" t="str">
        <f>REPLACE(INDEX(GroupVertices[Group],MATCH(Edges[[#This Row],[Vertex 1]],GroupVertices[Vertex],0)),1,1,"")</f>
        <v>1</v>
      </c>
      <c r="BE270" s="80" t="str">
        <f>REPLACE(INDEX(GroupVertices[Group],MATCH(Edges[[#This Row],[Vertex 2]],GroupVertices[Vertex],0)),1,1,"")</f>
        <v>1</v>
      </c>
      <c r="BF270" s="48">
        <v>0</v>
      </c>
      <c r="BG270" s="49">
        <v>0</v>
      </c>
      <c r="BH270" s="48">
        <v>0</v>
      </c>
      <c r="BI270" s="49">
        <v>0</v>
      </c>
      <c r="BJ270" s="48">
        <v>0</v>
      </c>
      <c r="BK270" s="49">
        <v>0</v>
      </c>
      <c r="BL270" s="48">
        <v>30</v>
      </c>
      <c r="BM270" s="49">
        <v>100</v>
      </c>
      <c r="BN270" s="48">
        <v>30</v>
      </c>
    </row>
    <row r="271" spans="1:66" ht="15">
      <c r="A271" s="66" t="s">
        <v>473</v>
      </c>
      <c r="B271" s="66" t="s">
        <v>564</v>
      </c>
      <c r="C271" s="67" t="s">
        <v>3150</v>
      </c>
      <c r="D271" s="68">
        <v>10</v>
      </c>
      <c r="E271" s="69" t="s">
        <v>136</v>
      </c>
      <c r="F271" s="70">
        <v>10</v>
      </c>
      <c r="G271" s="67"/>
      <c r="H271" s="71"/>
      <c r="I271" s="72"/>
      <c r="J271" s="72"/>
      <c r="K271" s="34" t="s">
        <v>65</v>
      </c>
      <c r="L271" s="79">
        <v>271</v>
      </c>
      <c r="M271" s="79"/>
      <c r="N271" s="74"/>
      <c r="O271" s="81" t="s">
        <v>587</v>
      </c>
      <c r="P271" s="83">
        <v>44004.86240740741</v>
      </c>
      <c r="Q271" s="81" t="s">
        <v>646</v>
      </c>
      <c r="R271" s="84" t="str">
        <f>HYPERLINK("https://twitter.com/i/web/status/1275152041283932160")</f>
        <v>https://twitter.com/i/web/status/1275152041283932160</v>
      </c>
      <c r="S271" s="81" t="s">
        <v>676</v>
      </c>
      <c r="T271" s="81" t="s">
        <v>718</v>
      </c>
      <c r="U271" s="81"/>
      <c r="V271" s="84" t="str">
        <f>HYPERLINK("http://pbs.twimg.com/profile_images/953436802110623744/NK6Q5dVg_normal.jpg")</f>
        <v>http://pbs.twimg.com/profile_images/953436802110623744/NK6Q5dVg_normal.jpg</v>
      </c>
      <c r="W271" s="83">
        <v>44004.86240740741</v>
      </c>
      <c r="X271" s="87">
        <v>44004</v>
      </c>
      <c r="Y271" s="89" t="s">
        <v>866</v>
      </c>
      <c r="Z271" s="84" t="str">
        <f>HYPERLINK("https://twitter.com/jornalismodados/status/1275167141835259905")</f>
        <v>https://twitter.com/jornalismodados/status/1275167141835259905</v>
      </c>
      <c r="AA271" s="81"/>
      <c r="AB271" s="81"/>
      <c r="AC271" s="89" t="s">
        <v>1075</v>
      </c>
      <c r="AD271" s="81"/>
      <c r="AE271" s="81" t="b">
        <v>0</v>
      </c>
      <c r="AF271" s="81">
        <v>0</v>
      </c>
      <c r="AG271" s="89" t="s">
        <v>1149</v>
      </c>
      <c r="AH271" s="81" t="b">
        <v>0</v>
      </c>
      <c r="AI271" s="81" t="s">
        <v>1155</v>
      </c>
      <c r="AJ271" s="81"/>
      <c r="AK271" s="89" t="s">
        <v>1149</v>
      </c>
      <c r="AL271" s="81" t="b">
        <v>0</v>
      </c>
      <c r="AM271" s="81">
        <v>0</v>
      </c>
      <c r="AN271" s="89" t="s">
        <v>1149</v>
      </c>
      <c r="AO271" s="81" t="s">
        <v>1180</v>
      </c>
      <c r="AP271" s="81" t="b">
        <v>0</v>
      </c>
      <c r="AQ271" s="89" t="s">
        <v>1075</v>
      </c>
      <c r="AR271" s="81" t="s">
        <v>325</v>
      </c>
      <c r="AS271" s="81">
        <v>0</v>
      </c>
      <c r="AT271" s="81">
        <v>0</v>
      </c>
      <c r="AU271" s="81"/>
      <c r="AV271" s="81"/>
      <c r="AW271" s="81"/>
      <c r="AX271" s="81"/>
      <c r="AY271" s="81"/>
      <c r="AZ271" s="81"/>
      <c r="BA271" s="81"/>
      <c r="BB271" s="81"/>
      <c r="BC271">
        <v>16</v>
      </c>
      <c r="BD271" s="80" t="str">
        <f>REPLACE(INDEX(GroupVertices[Group],MATCH(Edges[[#This Row],[Vertex 1]],GroupVertices[Vertex],0)),1,1,"")</f>
        <v>1</v>
      </c>
      <c r="BE271" s="80" t="str">
        <f>REPLACE(INDEX(GroupVertices[Group],MATCH(Edges[[#This Row],[Vertex 2]],GroupVertices[Vertex],0)),1,1,"")</f>
        <v>1</v>
      </c>
      <c r="BF271" s="48">
        <v>0</v>
      </c>
      <c r="BG271" s="49">
        <v>0</v>
      </c>
      <c r="BH271" s="48">
        <v>0</v>
      </c>
      <c r="BI271" s="49">
        <v>0</v>
      </c>
      <c r="BJ271" s="48">
        <v>0</v>
      </c>
      <c r="BK271" s="49">
        <v>0</v>
      </c>
      <c r="BL271" s="48">
        <v>27</v>
      </c>
      <c r="BM271" s="49">
        <v>100</v>
      </c>
      <c r="BN271" s="48">
        <v>27</v>
      </c>
    </row>
    <row r="272" spans="1:66" ht="15">
      <c r="A272" s="66" t="s">
        <v>473</v>
      </c>
      <c r="B272" s="66" t="s">
        <v>564</v>
      </c>
      <c r="C272" s="67" t="s">
        <v>3150</v>
      </c>
      <c r="D272" s="68">
        <v>10</v>
      </c>
      <c r="E272" s="69" t="s">
        <v>136</v>
      </c>
      <c r="F272" s="70">
        <v>10</v>
      </c>
      <c r="G272" s="67"/>
      <c r="H272" s="71"/>
      <c r="I272" s="72"/>
      <c r="J272" s="72"/>
      <c r="K272" s="34" t="s">
        <v>65</v>
      </c>
      <c r="L272" s="79">
        <v>272</v>
      </c>
      <c r="M272" s="79"/>
      <c r="N272" s="74"/>
      <c r="O272" s="81" t="s">
        <v>587</v>
      </c>
      <c r="P272" s="83">
        <v>44004.86246527778</v>
      </c>
      <c r="Q272" s="81" t="s">
        <v>650</v>
      </c>
      <c r="R272" s="84" t="str">
        <f>HYPERLINK("https://twitter.com/i/web/status/1275151960887439361")</f>
        <v>https://twitter.com/i/web/status/1275151960887439361</v>
      </c>
      <c r="S272" s="81" t="s">
        <v>676</v>
      </c>
      <c r="T272" s="81" t="s">
        <v>718</v>
      </c>
      <c r="U272" s="81"/>
      <c r="V272" s="84" t="str">
        <f>HYPERLINK("http://pbs.twimg.com/profile_images/953436802110623744/NK6Q5dVg_normal.jpg")</f>
        <v>http://pbs.twimg.com/profile_images/953436802110623744/NK6Q5dVg_normal.jpg</v>
      </c>
      <c r="W272" s="83">
        <v>44004.86246527778</v>
      </c>
      <c r="X272" s="87">
        <v>44004</v>
      </c>
      <c r="Y272" s="89" t="s">
        <v>870</v>
      </c>
      <c r="Z272" s="84" t="str">
        <f>HYPERLINK("https://twitter.com/jornalismodados/status/1275167160067817472")</f>
        <v>https://twitter.com/jornalismodados/status/1275167160067817472</v>
      </c>
      <c r="AA272" s="81"/>
      <c r="AB272" s="81"/>
      <c r="AC272" s="89" t="s">
        <v>1079</v>
      </c>
      <c r="AD272" s="81"/>
      <c r="AE272" s="81" t="b">
        <v>0</v>
      </c>
      <c r="AF272" s="81">
        <v>0</v>
      </c>
      <c r="AG272" s="89" t="s">
        <v>1149</v>
      </c>
      <c r="AH272" s="81" t="b">
        <v>0</v>
      </c>
      <c r="AI272" s="81" t="s">
        <v>1155</v>
      </c>
      <c r="AJ272" s="81"/>
      <c r="AK272" s="89" t="s">
        <v>1149</v>
      </c>
      <c r="AL272" s="81" t="b">
        <v>0</v>
      </c>
      <c r="AM272" s="81">
        <v>0</v>
      </c>
      <c r="AN272" s="89" t="s">
        <v>1149</v>
      </c>
      <c r="AO272" s="81" t="s">
        <v>1180</v>
      </c>
      <c r="AP272" s="81" t="b">
        <v>0</v>
      </c>
      <c r="AQ272" s="89" t="s">
        <v>1079</v>
      </c>
      <c r="AR272" s="81" t="s">
        <v>325</v>
      </c>
      <c r="AS272" s="81">
        <v>0</v>
      </c>
      <c r="AT272" s="81">
        <v>0</v>
      </c>
      <c r="AU272" s="81"/>
      <c r="AV272" s="81"/>
      <c r="AW272" s="81"/>
      <c r="AX272" s="81"/>
      <c r="AY272" s="81"/>
      <c r="AZ272" s="81"/>
      <c r="BA272" s="81"/>
      <c r="BB272" s="81"/>
      <c r="BC272">
        <v>16</v>
      </c>
      <c r="BD272" s="80" t="str">
        <f>REPLACE(INDEX(GroupVertices[Group],MATCH(Edges[[#This Row],[Vertex 1]],GroupVertices[Vertex],0)),1,1,"")</f>
        <v>1</v>
      </c>
      <c r="BE272" s="80" t="str">
        <f>REPLACE(INDEX(GroupVertices[Group],MATCH(Edges[[#This Row],[Vertex 2]],GroupVertices[Vertex],0)),1,1,"")</f>
        <v>1</v>
      </c>
      <c r="BF272" s="48"/>
      <c r="BG272" s="49"/>
      <c r="BH272" s="48"/>
      <c r="BI272" s="49"/>
      <c r="BJ272" s="48"/>
      <c r="BK272" s="49"/>
      <c r="BL272" s="48"/>
      <c r="BM272" s="49"/>
      <c r="BN272" s="48"/>
    </row>
    <row r="273" spans="1:66" ht="15">
      <c r="A273" s="66" t="s">
        <v>473</v>
      </c>
      <c r="B273" s="66" t="s">
        <v>565</v>
      </c>
      <c r="C273" s="67" t="s">
        <v>3151</v>
      </c>
      <c r="D273" s="68">
        <v>6</v>
      </c>
      <c r="E273" s="69" t="s">
        <v>132</v>
      </c>
      <c r="F273" s="70">
        <v>23.333333333333332</v>
      </c>
      <c r="G273" s="67"/>
      <c r="H273" s="71"/>
      <c r="I273" s="72"/>
      <c r="J273" s="72"/>
      <c r="K273" s="34" t="s">
        <v>65</v>
      </c>
      <c r="L273" s="79">
        <v>273</v>
      </c>
      <c r="M273" s="79"/>
      <c r="N273" s="74"/>
      <c r="O273" s="81" t="s">
        <v>587</v>
      </c>
      <c r="P273" s="83">
        <v>44004.82052083333</v>
      </c>
      <c r="Q273" s="81" t="s">
        <v>649</v>
      </c>
      <c r="R273" s="81"/>
      <c r="S273" s="81"/>
      <c r="T273" s="81" t="s">
        <v>707</v>
      </c>
      <c r="U273" s="81"/>
      <c r="V273" s="84" t="str">
        <f>HYPERLINK("http://pbs.twimg.com/profile_images/953436802110623744/NK6Q5dVg_normal.jpg")</f>
        <v>http://pbs.twimg.com/profile_images/953436802110623744/NK6Q5dVg_normal.jpg</v>
      </c>
      <c r="W273" s="83">
        <v>44004.82052083333</v>
      </c>
      <c r="X273" s="87">
        <v>44004</v>
      </c>
      <c r="Y273" s="89" t="s">
        <v>869</v>
      </c>
      <c r="Z273" s="84" t="str">
        <f>HYPERLINK("https://twitter.com/jornalismodados/status/1275151960887439361")</f>
        <v>https://twitter.com/jornalismodados/status/1275151960887439361</v>
      </c>
      <c r="AA273" s="81"/>
      <c r="AB273" s="81"/>
      <c r="AC273" s="89" t="s">
        <v>1078</v>
      </c>
      <c r="AD273" s="81"/>
      <c r="AE273" s="81" t="b">
        <v>0</v>
      </c>
      <c r="AF273" s="81">
        <v>0</v>
      </c>
      <c r="AG273" s="89" t="s">
        <v>1149</v>
      </c>
      <c r="AH273" s="81" t="b">
        <v>0</v>
      </c>
      <c r="AI273" s="81" t="s">
        <v>1155</v>
      </c>
      <c r="AJ273" s="81"/>
      <c r="AK273" s="89" t="s">
        <v>1149</v>
      </c>
      <c r="AL273" s="81" t="b">
        <v>0</v>
      </c>
      <c r="AM273" s="81">
        <v>0</v>
      </c>
      <c r="AN273" s="89" t="s">
        <v>1149</v>
      </c>
      <c r="AO273" s="81" t="s">
        <v>1180</v>
      </c>
      <c r="AP273" s="81" t="b">
        <v>0</v>
      </c>
      <c r="AQ273" s="89" t="s">
        <v>1078</v>
      </c>
      <c r="AR273" s="81" t="s">
        <v>325</v>
      </c>
      <c r="AS273" s="81">
        <v>0</v>
      </c>
      <c r="AT273" s="81">
        <v>0</v>
      </c>
      <c r="AU273" s="81"/>
      <c r="AV273" s="81"/>
      <c r="AW273" s="81"/>
      <c r="AX273" s="81"/>
      <c r="AY273" s="81"/>
      <c r="AZ273" s="81"/>
      <c r="BA273" s="81"/>
      <c r="BB273" s="81"/>
      <c r="BC273">
        <v>2</v>
      </c>
      <c r="BD273" s="80" t="str">
        <f>REPLACE(INDEX(GroupVertices[Group],MATCH(Edges[[#This Row],[Vertex 1]],GroupVertices[Vertex],0)),1,1,"")</f>
        <v>1</v>
      </c>
      <c r="BE273" s="80" t="str">
        <f>REPLACE(INDEX(GroupVertices[Group],MATCH(Edges[[#This Row],[Vertex 2]],GroupVertices[Vertex],0)),1,1,"")</f>
        <v>1</v>
      </c>
      <c r="BF273" s="48">
        <v>0</v>
      </c>
      <c r="BG273" s="49">
        <v>0</v>
      </c>
      <c r="BH273" s="48">
        <v>0</v>
      </c>
      <c r="BI273" s="49">
        <v>0</v>
      </c>
      <c r="BJ273" s="48">
        <v>0</v>
      </c>
      <c r="BK273" s="49">
        <v>0</v>
      </c>
      <c r="BL273" s="48">
        <v>30</v>
      </c>
      <c r="BM273" s="49">
        <v>100</v>
      </c>
      <c r="BN273" s="48">
        <v>30</v>
      </c>
    </row>
    <row r="274" spans="1:66" ht="15">
      <c r="A274" s="66" t="s">
        <v>473</v>
      </c>
      <c r="B274" s="66" t="s">
        <v>565</v>
      </c>
      <c r="C274" s="67" t="s">
        <v>3151</v>
      </c>
      <c r="D274" s="68">
        <v>6</v>
      </c>
      <c r="E274" s="69" t="s">
        <v>132</v>
      </c>
      <c r="F274" s="70">
        <v>23.333333333333332</v>
      </c>
      <c r="G274" s="67"/>
      <c r="H274" s="71"/>
      <c r="I274" s="72"/>
      <c r="J274" s="72"/>
      <c r="K274" s="34" t="s">
        <v>65</v>
      </c>
      <c r="L274" s="79">
        <v>274</v>
      </c>
      <c r="M274" s="79"/>
      <c r="N274" s="74"/>
      <c r="O274" s="81" t="s">
        <v>587</v>
      </c>
      <c r="P274" s="83">
        <v>44004.86246527778</v>
      </c>
      <c r="Q274" s="81" t="s">
        <v>650</v>
      </c>
      <c r="R274" s="84" t="str">
        <f>HYPERLINK("https://twitter.com/i/web/status/1275151960887439361")</f>
        <v>https://twitter.com/i/web/status/1275151960887439361</v>
      </c>
      <c r="S274" s="81" t="s">
        <v>676</v>
      </c>
      <c r="T274" s="81" t="s">
        <v>718</v>
      </c>
      <c r="U274" s="81"/>
      <c r="V274" s="84" t="str">
        <f>HYPERLINK("http://pbs.twimg.com/profile_images/953436802110623744/NK6Q5dVg_normal.jpg")</f>
        <v>http://pbs.twimg.com/profile_images/953436802110623744/NK6Q5dVg_normal.jpg</v>
      </c>
      <c r="W274" s="83">
        <v>44004.86246527778</v>
      </c>
      <c r="X274" s="87">
        <v>44004</v>
      </c>
      <c r="Y274" s="89" t="s">
        <v>870</v>
      </c>
      <c r="Z274" s="84" t="str">
        <f>HYPERLINK("https://twitter.com/jornalismodados/status/1275167160067817472")</f>
        <v>https://twitter.com/jornalismodados/status/1275167160067817472</v>
      </c>
      <c r="AA274" s="81"/>
      <c r="AB274" s="81"/>
      <c r="AC274" s="89" t="s">
        <v>1079</v>
      </c>
      <c r="AD274" s="81"/>
      <c r="AE274" s="81" t="b">
        <v>0</v>
      </c>
      <c r="AF274" s="81">
        <v>0</v>
      </c>
      <c r="AG274" s="89" t="s">
        <v>1149</v>
      </c>
      <c r="AH274" s="81" t="b">
        <v>0</v>
      </c>
      <c r="AI274" s="81" t="s">
        <v>1155</v>
      </c>
      <c r="AJ274" s="81"/>
      <c r="AK274" s="89" t="s">
        <v>1149</v>
      </c>
      <c r="AL274" s="81" t="b">
        <v>0</v>
      </c>
      <c r="AM274" s="81">
        <v>0</v>
      </c>
      <c r="AN274" s="89" t="s">
        <v>1149</v>
      </c>
      <c r="AO274" s="81" t="s">
        <v>1180</v>
      </c>
      <c r="AP274" s="81" t="b">
        <v>0</v>
      </c>
      <c r="AQ274" s="89" t="s">
        <v>1079</v>
      </c>
      <c r="AR274" s="81" t="s">
        <v>325</v>
      </c>
      <c r="AS274" s="81">
        <v>0</v>
      </c>
      <c r="AT274" s="81">
        <v>0</v>
      </c>
      <c r="AU274" s="81"/>
      <c r="AV274" s="81"/>
      <c r="AW274" s="81"/>
      <c r="AX274" s="81"/>
      <c r="AY274" s="81"/>
      <c r="AZ274" s="81"/>
      <c r="BA274" s="81"/>
      <c r="BB274" s="81"/>
      <c r="BC274">
        <v>2</v>
      </c>
      <c r="BD274" s="80" t="str">
        <f>REPLACE(INDEX(GroupVertices[Group],MATCH(Edges[[#This Row],[Vertex 1]],GroupVertices[Vertex],0)),1,1,"")</f>
        <v>1</v>
      </c>
      <c r="BE274" s="80" t="str">
        <f>REPLACE(INDEX(GroupVertices[Group],MATCH(Edges[[#This Row],[Vertex 2]],GroupVertices[Vertex],0)),1,1,"")</f>
        <v>1</v>
      </c>
      <c r="BF274" s="48">
        <v>0</v>
      </c>
      <c r="BG274" s="49">
        <v>0</v>
      </c>
      <c r="BH274" s="48">
        <v>0</v>
      </c>
      <c r="BI274" s="49">
        <v>0</v>
      </c>
      <c r="BJ274" s="48">
        <v>0</v>
      </c>
      <c r="BK274" s="49">
        <v>0</v>
      </c>
      <c r="BL274" s="48">
        <v>27</v>
      </c>
      <c r="BM274" s="49">
        <v>100</v>
      </c>
      <c r="BN274" s="48">
        <v>27</v>
      </c>
    </row>
    <row r="275" spans="1:66" ht="15">
      <c r="A275" s="66" t="s">
        <v>473</v>
      </c>
      <c r="B275" s="66" t="s">
        <v>566</v>
      </c>
      <c r="C275" s="67" t="s">
        <v>3149</v>
      </c>
      <c r="D275" s="68">
        <v>4</v>
      </c>
      <c r="E275" s="69" t="s">
        <v>132</v>
      </c>
      <c r="F275" s="70">
        <v>30</v>
      </c>
      <c r="G275" s="67"/>
      <c r="H275" s="71"/>
      <c r="I275" s="72"/>
      <c r="J275" s="72"/>
      <c r="K275" s="34" t="s">
        <v>65</v>
      </c>
      <c r="L275" s="79">
        <v>275</v>
      </c>
      <c r="M275" s="79"/>
      <c r="N275" s="74"/>
      <c r="O275" s="81" t="s">
        <v>587</v>
      </c>
      <c r="P275" s="83">
        <v>44004.90385416667</v>
      </c>
      <c r="Q275" s="81" t="s">
        <v>651</v>
      </c>
      <c r="R275" s="81"/>
      <c r="S275" s="81"/>
      <c r="T275" s="81" t="s">
        <v>707</v>
      </c>
      <c r="U275" s="81"/>
      <c r="V275" s="84" t="str">
        <f>HYPERLINK("http://pbs.twimg.com/profile_images/953436802110623744/NK6Q5dVg_normal.jpg")</f>
        <v>http://pbs.twimg.com/profile_images/953436802110623744/NK6Q5dVg_normal.jpg</v>
      </c>
      <c r="W275" s="83">
        <v>44004.90385416667</v>
      </c>
      <c r="X275" s="87">
        <v>44004</v>
      </c>
      <c r="Y275" s="89" t="s">
        <v>871</v>
      </c>
      <c r="Z275" s="84" t="str">
        <f>HYPERLINK("https://twitter.com/jornalismodados/status/1275182160119566342")</f>
        <v>https://twitter.com/jornalismodados/status/1275182160119566342</v>
      </c>
      <c r="AA275" s="81"/>
      <c r="AB275" s="81"/>
      <c r="AC275" s="89" t="s">
        <v>1080</v>
      </c>
      <c r="AD275" s="81"/>
      <c r="AE275" s="81" t="b">
        <v>0</v>
      </c>
      <c r="AF275" s="81">
        <v>0</v>
      </c>
      <c r="AG275" s="89" t="s">
        <v>1149</v>
      </c>
      <c r="AH275" s="81" t="b">
        <v>0</v>
      </c>
      <c r="AI275" s="81" t="s">
        <v>1155</v>
      </c>
      <c r="AJ275" s="81"/>
      <c r="AK275" s="89" t="s">
        <v>1149</v>
      </c>
      <c r="AL275" s="81" t="b">
        <v>0</v>
      </c>
      <c r="AM275" s="81">
        <v>0</v>
      </c>
      <c r="AN275" s="89" t="s">
        <v>1149</v>
      </c>
      <c r="AO275" s="81" t="s">
        <v>1180</v>
      </c>
      <c r="AP275" s="81" t="b">
        <v>0</v>
      </c>
      <c r="AQ275" s="89" t="s">
        <v>1080</v>
      </c>
      <c r="AR275" s="81" t="s">
        <v>325</v>
      </c>
      <c r="AS275" s="81">
        <v>0</v>
      </c>
      <c r="AT275" s="81">
        <v>0</v>
      </c>
      <c r="AU275" s="81"/>
      <c r="AV275" s="81"/>
      <c r="AW275" s="81"/>
      <c r="AX275" s="81"/>
      <c r="AY275" s="81"/>
      <c r="AZ275" s="81"/>
      <c r="BA275" s="81"/>
      <c r="BB275" s="81"/>
      <c r="BC275">
        <v>1</v>
      </c>
      <c r="BD275" s="80" t="str">
        <f>REPLACE(INDEX(GroupVertices[Group],MATCH(Edges[[#This Row],[Vertex 1]],GroupVertices[Vertex],0)),1,1,"")</f>
        <v>1</v>
      </c>
      <c r="BE275" s="80" t="str">
        <f>REPLACE(INDEX(GroupVertices[Group],MATCH(Edges[[#This Row],[Vertex 2]],GroupVertices[Vertex],0)),1,1,"")</f>
        <v>1</v>
      </c>
      <c r="BF275" s="48"/>
      <c r="BG275" s="49"/>
      <c r="BH275" s="48"/>
      <c r="BI275" s="49"/>
      <c r="BJ275" s="48"/>
      <c r="BK275" s="49"/>
      <c r="BL275" s="48"/>
      <c r="BM275" s="49"/>
      <c r="BN275" s="48"/>
    </row>
    <row r="276" spans="1:66" ht="15">
      <c r="A276" s="66" t="s">
        <v>474</v>
      </c>
      <c r="B276" s="66" t="s">
        <v>567</v>
      </c>
      <c r="C276" s="67" t="s">
        <v>3149</v>
      </c>
      <c r="D276" s="68">
        <v>4</v>
      </c>
      <c r="E276" s="69" t="s">
        <v>132</v>
      </c>
      <c r="F276" s="70">
        <v>30</v>
      </c>
      <c r="G276" s="67"/>
      <c r="H276" s="71"/>
      <c r="I276" s="72"/>
      <c r="J276" s="72"/>
      <c r="K276" s="34" t="s">
        <v>65</v>
      </c>
      <c r="L276" s="79">
        <v>276</v>
      </c>
      <c r="M276" s="79"/>
      <c r="N276" s="74"/>
      <c r="O276" s="81" t="s">
        <v>588</v>
      </c>
      <c r="P276" s="83">
        <v>44004.904131944444</v>
      </c>
      <c r="Q276" s="81" t="s">
        <v>652</v>
      </c>
      <c r="R276" s="81"/>
      <c r="S276" s="81"/>
      <c r="T276" s="81" t="s">
        <v>707</v>
      </c>
      <c r="U276" s="81"/>
      <c r="V276" s="84" t="str">
        <f>HYPERLINK("http://pbs.twimg.com/profile_images/1238901026108968963/cIsz5rxp_normal.jpg")</f>
        <v>http://pbs.twimg.com/profile_images/1238901026108968963/cIsz5rxp_normal.jpg</v>
      </c>
      <c r="W276" s="83">
        <v>44004.904131944444</v>
      </c>
      <c r="X276" s="87">
        <v>44004</v>
      </c>
      <c r="Y276" s="89" t="s">
        <v>872</v>
      </c>
      <c r="Z276" s="84" t="str">
        <f>HYPERLINK("https://twitter.com/morenocris/status/1275182262791921664")</f>
        <v>https://twitter.com/morenocris/status/1275182262791921664</v>
      </c>
      <c r="AA276" s="81"/>
      <c r="AB276" s="81"/>
      <c r="AC276" s="89" t="s">
        <v>1081</v>
      </c>
      <c r="AD276" s="81"/>
      <c r="AE276" s="81" t="b">
        <v>0</v>
      </c>
      <c r="AF276" s="81">
        <v>0</v>
      </c>
      <c r="AG276" s="89" t="s">
        <v>1149</v>
      </c>
      <c r="AH276" s="81" t="b">
        <v>0</v>
      </c>
      <c r="AI276" s="81" t="s">
        <v>1155</v>
      </c>
      <c r="AJ276" s="81"/>
      <c r="AK276" s="89" t="s">
        <v>1149</v>
      </c>
      <c r="AL276" s="81" t="b">
        <v>0</v>
      </c>
      <c r="AM276" s="81">
        <v>1</v>
      </c>
      <c r="AN276" s="89" t="s">
        <v>1083</v>
      </c>
      <c r="AO276" s="81" t="s">
        <v>1176</v>
      </c>
      <c r="AP276" s="81" t="b">
        <v>0</v>
      </c>
      <c r="AQ276" s="89" t="s">
        <v>1083</v>
      </c>
      <c r="AR276" s="81" t="s">
        <v>325</v>
      </c>
      <c r="AS276" s="81">
        <v>0</v>
      </c>
      <c r="AT276" s="81">
        <v>0</v>
      </c>
      <c r="AU276" s="81"/>
      <c r="AV276" s="81"/>
      <c r="AW276" s="81"/>
      <c r="AX276" s="81"/>
      <c r="AY276" s="81"/>
      <c r="AZ276" s="81"/>
      <c r="BA276" s="81"/>
      <c r="BB276" s="81"/>
      <c r="BC276">
        <v>1</v>
      </c>
      <c r="BD276" s="80" t="str">
        <f>REPLACE(INDEX(GroupVertices[Group],MATCH(Edges[[#This Row],[Vertex 1]],GroupVertices[Vertex],0)),1,1,"")</f>
        <v>1</v>
      </c>
      <c r="BE276" s="80" t="str">
        <f>REPLACE(INDEX(GroupVertices[Group],MATCH(Edges[[#This Row],[Vertex 2]],GroupVertices[Vertex],0)),1,1,"")</f>
        <v>1</v>
      </c>
      <c r="BF276" s="48"/>
      <c r="BG276" s="49"/>
      <c r="BH276" s="48"/>
      <c r="BI276" s="49"/>
      <c r="BJ276" s="48"/>
      <c r="BK276" s="49"/>
      <c r="BL276" s="48"/>
      <c r="BM276" s="49"/>
      <c r="BN276" s="48"/>
    </row>
    <row r="277" spans="1:66" ht="15">
      <c r="A277" s="66" t="s">
        <v>474</v>
      </c>
      <c r="B277" s="66" t="s">
        <v>568</v>
      </c>
      <c r="C277" s="67" t="s">
        <v>3149</v>
      </c>
      <c r="D277" s="68">
        <v>4</v>
      </c>
      <c r="E277" s="69" t="s">
        <v>132</v>
      </c>
      <c r="F277" s="70">
        <v>30</v>
      </c>
      <c r="G277" s="67"/>
      <c r="H277" s="71"/>
      <c r="I277" s="72"/>
      <c r="J277" s="72"/>
      <c r="K277" s="34" t="s">
        <v>65</v>
      </c>
      <c r="L277" s="79">
        <v>277</v>
      </c>
      <c r="M277" s="79"/>
      <c r="N277" s="74"/>
      <c r="O277" s="81" t="s">
        <v>588</v>
      </c>
      <c r="P277" s="83">
        <v>44004.904131944444</v>
      </c>
      <c r="Q277" s="81" t="s">
        <v>652</v>
      </c>
      <c r="R277" s="81"/>
      <c r="S277" s="81"/>
      <c r="T277" s="81" t="s">
        <v>707</v>
      </c>
      <c r="U277" s="81"/>
      <c r="V277" s="84" t="str">
        <f>HYPERLINK("http://pbs.twimg.com/profile_images/1238901026108968963/cIsz5rxp_normal.jpg")</f>
        <v>http://pbs.twimg.com/profile_images/1238901026108968963/cIsz5rxp_normal.jpg</v>
      </c>
      <c r="W277" s="83">
        <v>44004.904131944444</v>
      </c>
      <c r="X277" s="87">
        <v>44004</v>
      </c>
      <c r="Y277" s="89" t="s">
        <v>872</v>
      </c>
      <c r="Z277" s="84" t="str">
        <f>HYPERLINK("https://twitter.com/morenocris/status/1275182262791921664")</f>
        <v>https://twitter.com/morenocris/status/1275182262791921664</v>
      </c>
      <c r="AA277" s="81"/>
      <c r="AB277" s="81"/>
      <c r="AC277" s="89" t="s">
        <v>1081</v>
      </c>
      <c r="AD277" s="81"/>
      <c r="AE277" s="81" t="b">
        <v>0</v>
      </c>
      <c r="AF277" s="81">
        <v>0</v>
      </c>
      <c r="AG277" s="89" t="s">
        <v>1149</v>
      </c>
      <c r="AH277" s="81" t="b">
        <v>0</v>
      </c>
      <c r="AI277" s="81" t="s">
        <v>1155</v>
      </c>
      <c r="AJ277" s="81"/>
      <c r="AK277" s="89" t="s">
        <v>1149</v>
      </c>
      <c r="AL277" s="81" t="b">
        <v>0</v>
      </c>
      <c r="AM277" s="81">
        <v>1</v>
      </c>
      <c r="AN277" s="89" t="s">
        <v>1083</v>
      </c>
      <c r="AO277" s="81" t="s">
        <v>1176</v>
      </c>
      <c r="AP277" s="81" t="b">
        <v>0</v>
      </c>
      <c r="AQ277" s="89" t="s">
        <v>1083</v>
      </c>
      <c r="AR277" s="81" t="s">
        <v>325</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1</v>
      </c>
      <c r="BF277" s="48"/>
      <c r="BG277" s="49"/>
      <c r="BH277" s="48"/>
      <c r="BI277" s="49"/>
      <c r="BJ277" s="48"/>
      <c r="BK277" s="49"/>
      <c r="BL277" s="48"/>
      <c r="BM277" s="49"/>
      <c r="BN277" s="48"/>
    </row>
    <row r="278" spans="1:66" ht="15">
      <c r="A278" s="66" t="s">
        <v>474</v>
      </c>
      <c r="B278" s="66" t="s">
        <v>475</v>
      </c>
      <c r="C278" s="67" t="s">
        <v>3151</v>
      </c>
      <c r="D278" s="68">
        <v>6</v>
      </c>
      <c r="E278" s="69" t="s">
        <v>132</v>
      </c>
      <c r="F278" s="70">
        <v>23.333333333333332</v>
      </c>
      <c r="G278" s="67"/>
      <c r="H278" s="71"/>
      <c r="I278" s="72"/>
      <c r="J278" s="72"/>
      <c r="K278" s="34" t="s">
        <v>65</v>
      </c>
      <c r="L278" s="79">
        <v>278</v>
      </c>
      <c r="M278" s="79"/>
      <c r="N278" s="74"/>
      <c r="O278" s="81" t="s">
        <v>588</v>
      </c>
      <c r="P278" s="83">
        <v>44004.904131944444</v>
      </c>
      <c r="Q278" s="81" t="s">
        <v>652</v>
      </c>
      <c r="R278" s="81"/>
      <c r="S278" s="81"/>
      <c r="T278" s="81" t="s">
        <v>707</v>
      </c>
      <c r="U278" s="81"/>
      <c r="V278" s="84" t="str">
        <f>HYPERLINK("http://pbs.twimg.com/profile_images/1238901026108968963/cIsz5rxp_normal.jpg")</f>
        <v>http://pbs.twimg.com/profile_images/1238901026108968963/cIsz5rxp_normal.jpg</v>
      </c>
      <c r="W278" s="83">
        <v>44004.904131944444</v>
      </c>
      <c r="X278" s="87">
        <v>44004</v>
      </c>
      <c r="Y278" s="89" t="s">
        <v>872</v>
      </c>
      <c r="Z278" s="84" t="str">
        <f>HYPERLINK("https://twitter.com/morenocris/status/1275182262791921664")</f>
        <v>https://twitter.com/morenocris/status/1275182262791921664</v>
      </c>
      <c r="AA278" s="81"/>
      <c r="AB278" s="81"/>
      <c r="AC278" s="89" t="s">
        <v>1081</v>
      </c>
      <c r="AD278" s="81"/>
      <c r="AE278" s="81" t="b">
        <v>0</v>
      </c>
      <c r="AF278" s="81">
        <v>0</v>
      </c>
      <c r="AG278" s="89" t="s">
        <v>1149</v>
      </c>
      <c r="AH278" s="81" t="b">
        <v>0</v>
      </c>
      <c r="AI278" s="81" t="s">
        <v>1155</v>
      </c>
      <c r="AJ278" s="81"/>
      <c r="AK278" s="89" t="s">
        <v>1149</v>
      </c>
      <c r="AL278" s="81" t="b">
        <v>0</v>
      </c>
      <c r="AM278" s="81">
        <v>1</v>
      </c>
      <c r="AN278" s="89" t="s">
        <v>1083</v>
      </c>
      <c r="AO278" s="81" t="s">
        <v>1176</v>
      </c>
      <c r="AP278" s="81" t="b">
        <v>0</v>
      </c>
      <c r="AQ278" s="89" t="s">
        <v>1083</v>
      </c>
      <c r="AR278" s="81" t="s">
        <v>325</v>
      </c>
      <c r="AS278" s="81">
        <v>0</v>
      </c>
      <c r="AT278" s="81">
        <v>0</v>
      </c>
      <c r="AU278" s="81"/>
      <c r="AV278" s="81"/>
      <c r="AW278" s="81"/>
      <c r="AX278" s="81"/>
      <c r="AY278" s="81"/>
      <c r="AZ278" s="81"/>
      <c r="BA278" s="81"/>
      <c r="BB278" s="81"/>
      <c r="BC278">
        <v>2</v>
      </c>
      <c r="BD278" s="80" t="str">
        <f>REPLACE(INDEX(GroupVertices[Group],MATCH(Edges[[#This Row],[Vertex 1]],GroupVertices[Vertex],0)),1,1,"")</f>
        <v>1</v>
      </c>
      <c r="BE278" s="80" t="str">
        <f>REPLACE(INDEX(GroupVertices[Group],MATCH(Edges[[#This Row],[Vertex 2]],GroupVertices[Vertex],0)),1,1,"")</f>
        <v>1</v>
      </c>
      <c r="BF278" s="48"/>
      <c r="BG278" s="49"/>
      <c r="BH278" s="48"/>
      <c r="BI278" s="49"/>
      <c r="BJ278" s="48"/>
      <c r="BK278" s="49"/>
      <c r="BL278" s="48"/>
      <c r="BM278" s="49"/>
      <c r="BN278" s="48"/>
    </row>
    <row r="279" spans="1:66" ht="15">
      <c r="A279" s="66" t="s">
        <v>474</v>
      </c>
      <c r="B279" s="66" t="s">
        <v>569</v>
      </c>
      <c r="C279" s="67" t="s">
        <v>3149</v>
      </c>
      <c r="D279" s="68">
        <v>4</v>
      </c>
      <c r="E279" s="69" t="s">
        <v>132</v>
      </c>
      <c r="F279" s="70">
        <v>30</v>
      </c>
      <c r="G279" s="67"/>
      <c r="H279" s="71"/>
      <c r="I279" s="72"/>
      <c r="J279" s="72"/>
      <c r="K279" s="34" t="s">
        <v>65</v>
      </c>
      <c r="L279" s="79">
        <v>279</v>
      </c>
      <c r="M279" s="79"/>
      <c r="N279" s="74"/>
      <c r="O279" s="81" t="s">
        <v>588</v>
      </c>
      <c r="P279" s="83">
        <v>44004.904131944444</v>
      </c>
      <c r="Q279" s="81" t="s">
        <v>652</v>
      </c>
      <c r="R279" s="81"/>
      <c r="S279" s="81"/>
      <c r="T279" s="81" t="s">
        <v>707</v>
      </c>
      <c r="U279" s="81"/>
      <c r="V279" s="84" t="str">
        <f>HYPERLINK("http://pbs.twimg.com/profile_images/1238901026108968963/cIsz5rxp_normal.jpg")</f>
        <v>http://pbs.twimg.com/profile_images/1238901026108968963/cIsz5rxp_normal.jpg</v>
      </c>
      <c r="W279" s="83">
        <v>44004.904131944444</v>
      </c>
      <c r="X279" s="87">
        <v>44004</v>
      </c>
      <c r="Y279" s="89" t="s">
        <v>872</v>
      </c>
      <c r="Z279" s="84" t="str">
        <f>HYPERLINK("https://twitter.com/morenocris/status/1275182262791921664")</f>
        <v>https://twitter.com/morenocris/status/1275182262791921664</v>
      </c>
      <c r="AA279" s="81"/>
      <c r="AB279" s="81"/>
      <c r="AC279" s="89" t="s">
        <v>1081</v>
      </c>
      <c r="AD279" s="81"/>
      <c r="AE279" s="81" t="b">
        <v>0</v>
      </c>
      <c r="AF279" s="81">
        <v>0</v>
      </c>
      <c r="AG279" s="89" t="s">
        <v>1149</v>
      </c>
      <c r="AH279" s="81" t="b">
        <v>0</v>
      </c>
      <c r="AI279" s="81" t="s">
        <v>1155</v>
      </c>
      <c r="AJ279" s="81"/>
      <c r="AK279" s="89" t="s">
        <v>1149</v>
      </c>
      <c r="AL279" s="81" t="b">
        <v>0</v>
      </c>
      <c r="AM279" s="81">
        <v>1</v>
      </c>
      <c r="AN279" s="89" t="s">
        <v>1083</v>
      </c>
      <c r="AO279" s="81" t="s">
        <v>1176</v>
      </c>
      <c r="AP279" s="81" t="b">
        <v>0</v>
      </c>
      <c r="AQ279" s="89" t="s">
        <v>1083</v>
      </c>
      <c r="AR279" s="81" t="s">
        <v>325</v>
      </c>
      <c r="AS279" s="81">
        <v>0</v>
      </c>
      <c r="AT279" s="81">
        <v>0</v>
      </c>
      <c r="AU279" s="81"/>
      <c r="AV279" s="81"/>
      <c r="AW279" s="81"/>
      <c r="AX279" s="81"/>
      <c r="AY279" s="81"/>
      <c r="AZ279" s="81"/>
      <c r="BA279" s="81"/>
      <c r="BB279" s="81"/>
      <c r="BC279">
        <v>1</v>
      </c>
      <c r="BD279" s="80" t="str">
        <f>REPLACE(INDEX(GroupVertices[Group],MATCH(Edges[[#This Row],[Vertex 1]],GroupVertices[Vertex],0)),1,1,"")</f>
        <v>1</v>
      </c>
      <c r="BE279" s="80" t="str">
        <f>REPLACE(INDEX(GroupVertices[Group],MATCH(Edges[[#This Row],[Vertex 2]],GroupVertices[Vertex],0)),1,1,"")</f>
        <v>1</v>
      </c>
      <c r="BF279" s="48">
        <v>0</v>
      </c>
      <c r="BG279" s="49">
        <v>0</v>
      </c>
      <c r="BH279" s="48">
        <v>0</v>
      </c>
      <c r="BI279" s="49">
        <v>0</v>
      </c>
      <c r="BJ279" s="48">
        <v>0</v>
      </c>
      <c r="BK279" s="49">
        <v>0</v>
      </c>
      <c r="BL279" s="48">
        <v>26</v>
      </c>
      <c r="BM279" s="49">
        <v>100</v>
      </c>
      <c r="BN279" s="48">
        <v>26</v>
      </c>
    </row>
    <row r="280" spans="1:66" ht="15">
      <c r="A280" s="66" t="s">
        <v>474</v>
      </c>
      <c r="B280" s="66" t="s">
        <v>473</v>
      </c>
      <c r="C280" s="67" t="s">
        <v>3149</v>
      </c>
      <c r="D280" s="68">
        <v>4</v>
      </c>
      <c r="E280" s="69" t="s">
        <v>132</v>
      </c>
      <c r="F280" s="70">
        <v>30</v>
      </c>
      <c r="G280" s="67"/>
      <c r="H280" s="71"/>
      <c r="I280" s="72"/>
      <c r="J280" s="72"/>
      <c r="K280" s="34" t="s">
        <v>66</v>
      </c>
      <c r="L280" s="79">
        <v>280</v>
      </c>
      <c r="M280" s="79"/>
      <c r="N280" s="74"/>
      <c r="O280" s="81" t="s">
        <v>586</v>
      </c>
      <c r="P280" s="83">
        <v>44004.904131944444</v>
      </c>
      <c r="Q280" s="81" t="s">
        <v>652</v>
      </c>
      <c r="R280" s="81"/>
      <c r="S280" s="81"/>
      <c r="T280" s="81" t="s">
        <v>707</v>
      </c>
      <c r="U280" s="81"/>
      <c r="V280" s="84" t="str">
        <f>HYPERLINK("http://pbs.twimg.com/profile_images/1238901026108968963/cIsz5rxp_normal.jpg")</f>
        <v>http://pbs.twimg.com/profile_images/1238901026108968963/cIsz5rxp_normal.jpg</v>
      </c>
      <c r="W280" s="83">
        <v>44004.904131944444</v>
      </c>
      <c r="X280" s="87">
        <v>44004</v>
      </c>
      <c r="Y280" s="89" t="s">
        <v>872</v>
      </c>
      <c r="Z280" s="84" t="str">
        <f>HYPERLINK("https://twitter.com/morenocris/status/1275182262791921664")</f>
        <v>https://twitter.com/morenocris/status/1275182262791921664</v>
      </c>
      <c r="AA280" s="81"/>
      <c r="AB280" s="81"/>
      <c r="AC280" s="89" t="s">
        <v>1081</v>
      </c>
      <c r="AD280" s="81"/>
      <c r="AE280" s="81" t="b">
        <v>0</v>
      </c>
      <c r="AF280" s="81">
        <v>0</v>
      </c>
      <c r="AG280" s="89" t="s">
        <v>1149</v>
      </c>
      <c r="AH280" s="81" t="b">
        <v>0</v>
      </c>
      <c r="AI280" s="81" t="s">
        <v>1155</v>
      </c>
      <c r="AJ280" s="81"/>
      <c r="AK280" s="89" t="s">
        <v>1149</v>
      </c>
      <c r="AL280" s="81" t="b">
        <v>0</v>
      </c>
      <c r="AM280" s="81">
        <v>1</v>
      </c>
      <c r="AN280" s="89" t="s">
        <v>1083</v>
      </c>
      <c r="AO280" s="81" t="s">
        <v>1176</v>
      </c>
      <c r="AP280" s="81" t="b">
        <v>0</v>
      </c>
      <c r="AQ280" s="89" t="s">
        <v>1083</v>
      </c>
      <c r="AR280" s="81" t="s">
        <v>325</v>
      </c>
      <c r="AS280" s="81">
        <v>0</v>
      </c>
      <c r="AT280" s="81">
        <v>0</v>
      </c>
      <c r="AU280" s="81"/>
      <c r="AV280" s="81"/>
      <c r="AW280" s="81"/>
      <c r="AX280" s="81"/>
      <c r="AY280" s="81"/>
      <c r="AZ280" s="81"/>
      <c r="BA280" s="81"/>
      <c r="BB280" s="81"/>
      <c r="BC280">
        <v>1</v>
      </c>
      <c r="BD280" s="80" t="str">
        <f>REPLACE(INDEX(GroupVertices[Group],MATCH(Edges[[#This Row],[Vertex 1]],GroupVertices[Vertex],0)),1,1,"")</f>
        <v>1</v>
      </c>
      <c r="BE280" s="80" t="str">
        <f>REPLACE(INDEX(GroupVertices[Group],MATCH(Edges[[#This Row],[Vertex 2]],GroupVertices[Vertex],0)),1,1,"")</f>
        <v>1</v>
      </c>
      <c r="BF280" s="48"/>
      <c r="BG280" s="49"/>
      <c r="BH280" s="48"/>
      <c r="BI280" s="49"/>
      <c r="BJ280" s="48"/>
      <c r="BK280" s="49"/>
      <c r="BL280" s="48"/>
      <c r="BM280" s="49"/>
      <c r="BN280" s="48"/>
    </row>
    <row r="281" spans="1:66" ht="15">
      <c r="A281" s="66" t="s">
        <v>474</v>
      </c>
      <c r="B281" s="66" t="s">
        <v>475</v>
      </c>
      <c r="C281" s="67" t="s">
        <v>3151</v>
      </c>
      <c r="D281" s="68">
        <v>6</v>
      </c>
      <c r="E281" s="69" t="s">
        <v>132</v>
      </c>
      <c r="F281" s="70">
        <v>23.333333333333332</v>
      </c>
      <c r="G281" s="67"/>
      <c r="H281" s="71"/>
      <c r="I281" s="72"/>
      <c r="J281" s="72"/>
      <c r="K281" s="34" t="s">
        <v>65</v>
      </c>
      <c r="L281" s="79">
        <v>281</v>
      </c>
      <c r="M281" s="79"/>
      <c r="N281" s="74"/>
      <c r="O281" s="81" t="s">
        <v>586</v>
      </c>
      <c r="P281" s="83">
        <v>44004.936111111114</v>
      </c>
      <c r="Q281" s="81" t="s">
        <v>614</v>
      </c>
      <c r="R281" s="81"/>
      <c r="S281" s="81"/>
      <c r="T281" s="81" t="s">
        <v>712</v>
      </c>
      <c r="U281" s="81"/>
      <c r="V281" s="84" t="str">
        <f>HYPERLINK("http://pbs.twimg.com/profile_images/1238901026108968963/cIsz5rxp_normal.jpg")</f>
        <v>http://pbs.twimg.com/profile_images/1238901026108968963/cIsz5rxp_normal.jpg</v>
      </c>
      <c r="W281" s="83">
        <v>44004.936111111114</v>
      </c>
      <c r="X281" s="87">
        <v>44004</v>
      </c>
      <c r="Y281" s="89" t="s">
        <v>873</v>
      </c>
      <c r="Z281" s="84" t="str">
        <f>HYPERLINK("https://twitter.com/morenocris/status/1275193851897135106")</f>
        <v>https://twitter.com/morenocris/status/1275193851897135106</v>
      </c>
      <c r="AA281" s="81"/>
      <c r="AB281" s="81"/>
      <c r="AC281" s="89" t="s">
        <v>1082</v>
      </c>
      <c r="AD281" s="81"/>
      <c r="AE281" s="81" t="b">
        <v>0</v>
      </c>
      <c r="AF281" s="81">
        <v>0</v>
      </c>
      <c r="AG281" s="89" t="s">
        <v>1149</v>
      </c>
      <c r="AH281" s="81" t="b">
        <v>1</v>
      </c>
      <c r="AI281" s="81" t="s">
        <v>1155</v>
      </c>
      <c r="AJ281" s="81"/>
      <c r="AK281" s="89" t="s">
        <v>1161</v>
      </c>
      <c r="AL281" s="81" t="b">
        <v>0</v>
      </c>
      <c r="AM281" s="81">
        <v>2</v>
      </c>
      <c r="AN281" s="89" t="s">
        <v>1094</v>
      </c>
      <c r="AO281" s="81" t="s">
        <v>1176</v>
      </c>
      <c r="AP281" s="81" t="b">
        <v>0</v>
      </c>
      <c r="AQ281" s="89" t="s">
        <v>1094</v>
      </c>
      <c r="AR281" s="81" t="s">
        <v>325</v>
      </c>
      <c r="AS281" s="81">
        <v>0</v>
      </c>
      <c r="AT281" s="81">
        <v>0</v>
      </c>
      <c r="AU281" s="81"/>
      <c r="AV281" s="81"/>
      <c r="AW281" s="81"/>
      <c r="AX281" s="81"/>
      <c r="AY281" s="81"/>
      <c r="AZ281" s="81"/>
      <c r="BA281" s="81"/>
      <c r="BB281" s="81"/>
      <c r="BC281">
        <v>2</v>
      </c>
      <c r="BD281" s="80" t="str">
        <f>REPLACE(INDEX(GroupVertices[Group],MATCH(Edges[[#This Row],[Vertex 1]],GroupVertices[Vertex],0)),1,1,"")</f>
        <v>1</v>
      </c>
      <c r="BE281" s="80" t="str">
        <f>REPLACE(INDEX(GroupVertices[Group],MATCH(Edges[[#This Row],[Vertex 2]],GroupVertices[Vertex],0)),1,1,"")</f>
        <v>1</v>
      </c>
      <c r="BF281" s="48">
        <v>0</v>
      </c>
      <c r="BG281" s="49">
        <v>0</v>
      </c>
      <c r="BH281" s="48">
        <v>0</v>
      </c>
      <c r="BI281" s="49">
        <v>0</v>
      </c>
      <c r="BJ281" s="48">
        <v>0</v>
      </c>
      <c r="BK281" s="49">
        <v>0</v>
      </c>
      <c r="BL281" s="48">
        <v>5</v>
      </c>
      <c r="BM281" s="49">
        <v>100</v>
      </c>
      <c r="BN281" s="48">
        <v>5</v>
      </c>
    </row>
    <row r="282" spans="1:66" ht="15">
      <c r="A282" s="66" t="s">
        <v>473</v>
      </c>
      <c r="B282" s="66" t="s">
        <v>474</v>
      </c>
      <c r="C282" s="67" t="s">
        <v>3149</v>
      </c>
      <c r="D282" s="68">
        <v>4</v>
      </c>
      <c r="E282" s="69" t="s">
        <v>132</v>
      </c>
      <c r="F282" s="70">
        <v>30</v>
      </c>
      <c r="G282" s="67"/>
      <c r="H282" s="71"/>
      <c r="I282" s="72"/>
      <c r="J282" s="72"/>
      <c r="K282" s="34" t="s">
        <v>66</v>
      </c>
      <c r="L282" s="79">
        <v>282</v>
      </c>
      <c r="M282" s="79"/>
      <c r="N282" s="74"/>
      <c r="O282" s="81" t="s">
        <v>587</v>
      </c>
      <c r="P282" s="83">
        <v>44004.90388888889</v>
      </c>
      <c r="Q282" s="81" t="s">
        <v>652</v>
      </c>
      <c r="R282" s="81"/>
      <c r="S282" s="81"/>
      <c r="T282" s="81" t="s">
        <v>707</v>
      </c>
      <c r="U282" s="81"/>
      <c r="V282" s="84" t="str">
        <f>HYPERLINK("http://pbs.twimg.com/profile_images/953436802110623744/NK6Q5dVg_normal.jpg")</f>
        <v>http://pbs.twimg.com/profile_images/953436802110623744/NK6Q5dVg_normal.jpg</v>
      </c>
      <c r="W282" s="83">
        <v>44004.90388888889</v>
      </c>
      <c r="X282" s="87">
        <v>44004</v>
      </c>
      <c r="Y282" s="89" t="s">
        <v>874</v>
      </c>
      <c r="Z282" s="84" t="str">
        <f>HYPERLINK("https://twitter.com/jornalismodados/status/1275182174011097088")</f>
        <v>https://twitter.com/jornalismodados/status/1275182174011097088</v>
      </c>
      <c r="AA282" s="81"/>
      <c r="AB282" s="81"/>
      <c r="AC282" s="89" t="s">
        <v>1083</v>
      </c>
      <c r="AD282" s="81"/>
      <c r="AE282" s="81" t="b">
        <v>0</v>
      </c>
      <c r="AF282" s="81">
        <v>0</v>
      </c>
      <c r="AG282" s="89" t="s">
        <v>1149</v>
      </c>
      <c r="AH282" s="81" t="b">
        <v>0</v>
      </c>
      <c r="AI282" s="81" t="s">
        <v>1155</v>
      </c>
      <c r="AJ282" s="81"/>
      <c r="AK282" s="89" t="s">
        <v>1149</v>
      </c>
      <c r="AL282" s="81" t="b">
        <v>0</v>
      </c>
      <c r="AM282" s="81">
        <v>1</v>
      </c>
      <c r="AN282" s="89" t="s">
        <v>1149</v>
      </c>
      <c r="AO282" s="81" t="s">
        <v>1180</v>
      </c>
      <c r="AP282" s="81" t="b">
        <v>0</v>
      </c>
      <c r="AQ282" s="89" t="s">
        <v>1083</v>
      </c>
      <c r="AR282" s="81" t="s">
        <v>325</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8"/>
      <c r="BG282" s="49"/>
      <c r="BH282" s="48"/>
      <c r="BI282" s="49"/>
      <c r="BJ282" s="48"/>
      <c r="BK282" s="49"/>
      <c r="BL282" s="48"/>
      <c r="BM282" s="49"/>
      <c r="BN282" s="48"/>
    </row>
    <row r="283" spans="1:66" ht="15">
      <c r="A283" s="66" t="s">
        <v>473</v>
      </c>
      <c r="B283" s="66" t="s">
        <v>570</v>
      </c>
      <c r="C283" s="67" t="s">
        <v>3149</v>
      </c>
      <c r="D283" s="68">
        <v>4</v>
      </c>
      <c r="E283" s="69" t="s">
        <v>132</v>
      </c>
      <c r="F283" s="70">
        <v>30</v>
      </c>
      <c r="G283" s="67"/>
      <c r="H283" s="71"/>
      <c r="I283" s="72"/>
      <c r="J283" s="72"/>
      <c r="K283" s="34" t="s">
        <v>65</v>
      </c>
      <c r="L283" s="79">
        <v>283</v>
      </c>
      <c r="M283" s="79"/>
      <c r="N283" s="74"/>
      <c r="O283" s="81" t="s">
        <v>587</v>
      </c>
      <c r="P283" s="83">
        <v>44004.90400462963</v>
      </c>
      <c r="Q283" s="81" t="s">
        <v>653</v>
      </c>
      <c r="R283" s="81"/>
      <c r="S283" s="81"/>
      <c r="T283" s="81" t="s">
        <v>707</v>
      </c>
      <c r="U283" s="81"/>
      <c r="V283" s="84" t="str">
        <f>HYPERLINK("http://pbs.twimg.com/profile_images/953436802110623744/NK6Q5dVg_normal.jpg")</f>
        <v>http://pbs.twimg.com/profile_images/953436802110623744/NK6Q5dVg_normal.jpg</v>
      </c>
      <c r="W283" s="83">
        <v>44004.90400462963</v>
      </c>
      <c r="X283" s="87">
        <v>44004</v>
      </c>
      <c r="Y283" s="89" t="s">
        <v>875</v>
      </c>
      <c r="Z283" s="84" t="str">
        <f>HYPERLINK("https://twitter.com/jornalismodados/status/1275182214003724290")</f>
        <v>https://twitter.com/jornalismodados/status/1275182214003724290</v>
      </c>
      <c r="AA283" s="81"/>
      <c r="AB283" s="81"/>
      <c r="AC283" s="89" t="s">
        <v>1084</v>
      </c>
      <c r="AD283" s="81"/>
      <c r="AE283" s="81" t="b">
        <v>0</v>
      </c>
      <c r="AF283" s="81">
        <v>0</v>
      </c>
      <c r="AG283" s="89" t="s">
        <v>1149</v>
      </c>
      <c r="AH283" s="81" t="b">
        <v>0</v>
      </c>
      <c r="AI283" s="81" t="s">
        <v>1155</v>
      </c>
      <c r="AJ283" s="81"/>
      <c r="AK283" s="89" t="s">
        <v>1149</v>
      </c>
      <c r="AL283" s="81" t="b">
        <v>0</v>
      </c>
      <c r="AM283" s="81">
        <v>0</v>
      </c>
      <c r="AN283" s="89" t="s">
        <v>1149</v>
      </c>
      <c r="AO283" s="81" t="s">
        <v>1180</v>
      </c>
      <c r="AP283" s="81" t="b">
        <v>0</v>
      </c>
      <c r="AQ283" s="89" t="s">
        <v>1084</v>
      </c>
      <c r="AR283" s="81" t="s">
        <v>325</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8">
        <v>0</v>
      </c>
      <c r="BG283" s="49">
        <v>0</v>
      </c>
      <c r="BH283" s="48">
        <v>0</v>
      </c>
      <c r="BI283" s="49">
        <v>0</v>
      </c>
      <c r="BJ283" s="48">
        <v>0</v>
      </c>
      <c r="BK283" s="49">
        <v>0</v>
      </c>
      <c r="BL283" s="48">
        <v>30</v>
      </c>
      <c r="BM283" s="49">
        <v>100</v>
      </c>
      <c r="BN283" s="48">
        <v>30</v>
      </c>
    </row>
    <row r="284" spans="1:66" ht="15">
      <c r="A284" s="66" t="s">
        <v>473</v>
      </c>
      <c r="B284" s="66" t="s">
        <v>571</v>
      </c>
      <c r="C284" s="67" t="s">
        <v>3149</v>
      </c>
      <c r="D284" s="68">
        <v>4</v>
      </c>
      <c r="E284" s="69" t="s">
        <v>132</v>
      </c>
      <c r="F284" s="70">
        <v>30</v>
      </c>
      <c r="G284" s="67"/>
      <c r="H284" s="71"/>
      <c r="I284" s="72"/>
      <c r="J284" s="72"/>
      <c r="K284" s="34" t="s">
        <v>65</v>
      </c>
      <c r="L284" s="79">
        <v>284</v>
      </c>
      <c r="M284" s="79"/>
      <c r="N284" s="74"/>
      <c r="O284" s="81" t="s">
        <v>587</v>
      </c>
      <c r="P284" s="83">
        <v>44004.94552083333</v>
      </c>
      <c r="Q284" s="81" t="s">
        <v>654</v>
      </c>
      <c r="R284" s="81"/>
      <c r="S284" s="81"/>
      <c r="T284" s="81" t="s">
        <v>707</v>
      </c>
      <c r="U284" s="81"/>
      <c r="V284" s="84" t="str">
        <f>HYPERLINK("http://pbs.twimg.com/profile_images/953436802110623744/NK6Q5dVg_normal.jpg")</f>
        <v>http://pbs.twimg.com/profile_images/953436802110623744/NK6Q5dVg_normal.jpg</v>
      </c>
      <c r="W284" s="83">
        <v>44004.94552083333</v>
      </c>
      <c r="X284" s="87">
        <v>44004</v>
      </c>
      <c r="Y284" s="89" t="s">
        <v>876</v>
      </c>
      <c r="Z284" s="84" t="str">
        <f>HYPERLINK("https://twitter.com/jornalismodados/status/1275197258993225728")</f>
        <v>https://twitter.com/jornalismodados/status/1275197258993225728</v>
      </c>
      <c r="AA284" s="81"/>
      <c r="AB284" s="81"/>
      <c r="AC284" s="89" t="s">
        <v>1085</v>
      </c>
      <c r="AD284" s="81"/>
      <c r="AE284" s="81" t="b">
        <v>0</v>
      </c>
      <c r="AF284" s="81">
        <v>0</v>
      </c>
      <c r="AG284" s="89" t="s">
        <v>1149</v>
      </c>
      <c r="AH284" s="81" t="b">
        <v>0</v>
      </c>
      <c r="AI284" s="81" t="s">
        <v>1155</v>
      </c>
      <c r="AJ284" s="81"/>
      <c r="AK284" s="89" t="s">
        <v>1149</v>
      </c>
      <c r="AL284" s="81" t="b">
        <v>0</v>
      </c>
      <c r="AM284" s="81">
        <v>0</v>
      </c>
      <c r="AN284" s="89" t="s">
        <v>1149</v>
      </c>
      <c r="AO284" s="81" t="s">
        <v>1180</v>
      </c>
      <c r="AP284" s="81" t="b">
        <v>0</v>
      </c>
      <c r="AQ284" s="89" t="s">
        <v>1085</v>
      </c>
      <c r="AR284" s="81" t="s">
        <v>325</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8">
        <v>0</v>
      </c>
      <c r="BG284" s="49">
        <v>0</v>
      </c>
      <c r="BH284" s="48">
        <v>0</v>
      </c>
      <c r="BI284" s="49">
        <v>0</v>
      </c>
      <c r="BJ284" s="48">
        <v>0</v>
      </c>
      <c r="BK284" s="49">
        <v>0</v>
      </c>
      <c r="BL284" s="48">
        <v>26</v>
      </c>
      <c r="BM284" s="49">
        <v>100</v>
      </c>
      <c r="BN284" s="48">
        <v>26</v>
      </c>
    </row>
    <row r="285" spans="1:66" ht="15">
      <c r="A285" s="66" t="s">
        <v>473</v>
      </c>
      <c r="B285" s="66" t="s">
        <v>572</v>
      </c>
      <c r="C285" s="67" t="s">
        <v>3149</v>
      </c>
      <c r="D285" s="68">
        <v>4</v>
      </c>
      <c r="E285" s="69" t="s">
        <v>132</v>
      </c>
      <c r="F285" s="70">
        <v>30</v>
      </c>
      <c r="G285" s="67"/>
      <c r="H285" s="71"/>
      <c r="I285" s="72"/>
      <c r="J285" s="72"/>
      <c r="K285" s="34" t="s">
        <v>65</v>
      </c>
      <c r="L285" s="79">
        <v>285</v>
      </c>
      <c r="M285" s="79"/>
      <c r="N285" s="74"/>
      <c r="O285" s="81" t="s">
        <v>587</v>
      </c>
      <c r="P285" s="83">
        <v>44004.94563657408</v>
      </c>
      <c r="Q285" s="81" t="s">
        <v>655</v>
      </c>
      <c r="R285" s="81"/>
      <c r="S285" s="81"/>
      <c r="T285" s="81" t="s">
        <v>707</v>
      </c>
      <c r="U285" s="81"/>
      <c r="V285" s="84" t="str">
        <f>HYPERLINK("http://pbs.twimg.com/profile_images/953436802110623744/NK6Q5dVg_normal.jpg")</f>
        <v>http://pbs.twimg.com/profile_images/953436802110623744/NK6Q5dVg_normal.jpg</v>
      </c>
      <c r="W285" s="83">
        <v>44004.94563657408</v>
      </c>
      <c r="X285" s="87">
        <v>44004</v>
      </c>
      <c r="Y285" s="89" t="s">
        <v>877</v>
      </c>
      <c r="Z285" s="84" t="str">
        <f>HYPERLINK("https://twitter.com/jornalismodados/status/1275197302324551681")</f>
        <v>https://twitter.com/jornalismodados/status/1275197302324551681</v>
      </c>
      <c r="AA285" s="81"/>
      <c r="AB285" s="81"/>
      <c r="AC285" s="89" t="s">
        <v>1086</v>
      </c>
      <c r="AD285" s="81"/>
      <c r="AE285" s="81" t="b">
        <v>0</v>
      </c>
      <c r="AF285" s="81">
        <v>0</v>
      </c>
      <c r="AG285" s="89" t="s">
        <v>1149</v>
      </c>
      <c r="AH285" s="81" t="b">
        <v>0</v>
      </c>
      <c r="AI285" s="81" t="s">
        <v>1155</v>
      </c>
      <c r="AJ285" s="81"/>
      <c r="AK285" s="89" t="s">
        <v>1149</v>
      </c>
      <c r="AL285" s="81" t="b">
        <v>0</v>
      </c>
      <c r="AM285" s="81">
        <v>0</v>
      </c>
      <c r="AN285" s="89" t="s">
        <v>1149</v>
      </c>
      <c r="AO285" s="81" t="s">
        <v>1180</v>
      </c>
      <c r="AP285" s="81" t="b">
        <v>0</v>
      </c>
      <c r="AQ285" s="89" t="s">
        <v>1086</v>
      </c>
      <c r="AR285" s="81" t="s">
        <v>325</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8"/>
      <c r="BG285" s="49"/>
      <c r="BH285" s="48"/>
      <c r="BI285" s="49"/>
      <c r="BJ285" s="48"/>
      <c r="BK285" s="49"/>
      <c r="BL285" s="48"/>
      <c r="BM285" s="49"/>
      <c r="BN285" s="48"/>
    </row>
    <row r="286" spans="1:66" ht="15">
      <c r="A286" s="66" t="s">
        <v>473</v>
      </c>
      <c r="B286" s="66" t="s">
        <v>573</v>
      </c>
      <c r="C286" s="67" t="s">
        <v>3149</v>
      </c>
      <c r="D286" s="68">
        <v>4</v>
      </c>
      <c r="E286" s="69" t="s">
        <v>132</v>
      </c>
      <c r="F286" s="70">
        <v>30</v>
      </c>
      <c r="G286" s="67"/>
      <c r="H286" s="71"/>
      <c r="I286" s="72"/>
      <c r="J286" s="72"/>
      <c r="K286" s="34" t="s">
        <v>65</v>
      </c>
      <c r="L286" s="79">
        <v>286</v>
      </c>
      <c r="M286" s="79"/>
      <c r="N286" s="74"/>
      <c r="O286" s="81" t="s">
        <v>587</v>
      </c>
      <c r="P286" s="83">
        <v>44004.94563657408</v>
      </c>
      <c r="Q286" s="81" t="s">
        <v>655</v>
      </c>
      <c r="R286" s="81"/>
      <c r="S286" s="81"/>
      <c r="T286" s="81" t="s">
        <v>707</v>
      </c>
      <c r="U286" s="81"/>
      <c r="V286" s="84" t="str">
        <f>HYPERLINK("http://pbs.twimg.com/profile_images/953436802110623744/NK6Q5dVg_normal.jpg")</f>
        <v>http://pbs.twimg.com/profile_images/953436802110623744/NK6Q5dVg_normal.jpg</v>
      </c>
      <c r="W286" s="83">
        <v>44004.94563657408</v>
      </c>
      <c r="X286" s="87">
        <v>44004</v>
      </c>
      <c r="Y286" s="89" t="s">
        <v>877</v>
      </c>
      <c r="Z286" s="84" t="str">
        <f>HYPERLINK("https://twitter.com/jornalismodados/status/1275197302324551681")</f>
        <v>https://twitter.com/jornalismodados/status/1275197302324551681</v>
      </c>
      <c r="AA286" s="81"/>
      <c r="AB286" s="81"/>
      <c r="AC286" s="89" t="s">
        <v>1086</v>
      </c>
      <c r="AD286" s="81"/>
      <c r="AE286" s="81" t="b">
        <v>0</v>
      </c>
      <c r="AF286" s="81">
        <v>0</v>
      </c>
      <c r="AG286" s="89" t="s">
        <v>1149</v>
      </c>
      <c r="AH286" s="81" t="b">
        <v>0</v>
      </c>
      <c r="AI286" s="81" t="s">
        <v>1155</v>
      </c>
      <c r="AJ286" s="81"/>
      <c r="AK286" s="89" t="s">
        <v>1149</v>
      </c>
      <c r="AL286" s="81" t="b">
        <v>0</v>
      </c>
      <c r="AM286" s="81">
        <v>0</v>
      </c>
      <c r="AN286" s="89" t="s">
        <v>1149</v>
      </c>
      <c r="AO286" s="81" t="s">
        <v>1180</v>
      </c>
      <c r="AP286" s="81" t="b">
        <v>0</v>
      </c>
      <c r="AQ286" s="89" t="s">
        <v>1086</v>
      </c>
      <c r="AR286" s="81" t="s">
        <v>325</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8">
        <v>0</v>
      </c>
      <c r="BG286" s="49">
        <v>0</v>
      </c>
      <c r="BH286" s="48">
        <v>0</v>
      </c>
      <c r="BI286" s="49">
        <v>0</v>
      </c>
      <c r="BJ286" s="48">
        <v>0</v>
      </c>
      <c r="BK286" s="49">
        <v>0</v>
      </c>
      <c r="BL286" s="48">
        <v>30</v>
      </c>
      <c r="BM286" s="49">
        <v>100</v>
      </c>
      <c r="BN286" s="48">
        <v>30</v>
      </c>
    </row>
    <row r="287" spans="1:66" ht="15">
      <c r="A287" s="66" t="s">
        <v>473</v>
      </c>
      <c r="B287" s="66" t="s">
        <v>574</v>
      </c>
      <c r="C287" s="67" t="s">
        <v>3149</v>
      </c>
      <c r="D287" s="68">
        <v>4</v>
      </c>
      <c r="E287" s="69" t="s">
        <v>132</v>
      </c>
      <c r="F287" s="70">
        <v>30</v>
      </c>
      <c r="G287" s="67"/>
      <c r="H287" s="71"/>
      <c r="I287" s="72"/>
      <c r="J287" s="72"/>
      <c r="K287" s="34" t="s">
        <v>65</v>
      </c>
      <c r="L287" s="79">
        <v>287</v>
      </c>
      <c r="M287" s="79"/>
      <c r="N287" s="74"/>
      <c r="O287" s="81" t="s">
        <v>587</v>
      </c>
      <c r="P287" s="83">
        <v>44004.9871875</v>
      </c>
      <c r="Q287" s="81" t="s">
        <v>656</v>
      </c>
      <c r="R287" s="84" t="str">
        <f>HYPERLINK("https://twitter.com/i/web/status/1275200758170992640")</f>
        <v>https://twitter.com/i/web/status/1275200758170992640</v>
      </c>
      <c r="S287" s="81" t="s">
        <v>676</v>
      </c>
      <c r="T287" s="81" t="s">
        <v>707</v>
      </c>
      <c r="U287" s="81"/>
      <c r="V287" s="84" t="str">
        <f>HYPERLINK("http://pbs.twimg.com/profile_images/953436802110623744/NK6Q5dVg_normal.jpg")</f>
        <v>http://pbs.twimg.com/profile_images/953436802110623744/NK6Q5dVg_normal.jpg</v>
      </c>
      <c r="W287" s="83">
        <v>44004.9871875</v>
      </c>
      <c r="X287" s="87">
        <v>44004</v>
      </c>
      <c r="Y287" s="89" t="s">
        <v>878</v>
      </c>
      <c r="Z287" s="84" t="str">
        <f>HYPERLINK("https://twitter.com/jornalismodados/status/1275212359267737600")</f>
        <v>https://twitter.com/jornalismodados/status/1275212359267737600</v>
      </c>
      <c r="AA287" s="81"/>
      <c r="AB287" s="81"/>
      <c r="AC287" s="89" t="s">
        <v>1087</v>
      </c>
      <c r="AD287" s="81"/>
      <c r="AE287" s="81" t="b">
        <v>0</v>
      </c>
      <c r="AF287" s="81">
        <v>0</v>
      </c>
      <c r="AG287" s="89" t="s">
        <v>1149</v>
      </c>
      <c r="AH287" s="81" t="b">
        <v>0</v>
      </c>
      <c r="AI287" s="81" t="s">
        <v>1155</v>
      </c>
      <c r="AJ287" s="81"/>
      <c r="AK287" s="89" t="s">
        <v>1149</v>
      </c>
      <c r="AL287" s="81" t="b">
        <v>0</v>
      </c>
      <c r="AM287" s="81">
        <v>0</v>
      </c>
      <c r="AN287" s="89" t="s">
        <v>1149</v>
      </c>
      <c r="AO287" s="81" t="s">
        <v>1180</v>
      </c>
      <c r="AP287" s="81" t="b">
        <v>0</v>
      </c>
      <c r="AQ287" s="89" t="s">
        <v>1087</v>
      </c>
      <c r="AR287" s="81" t="s">
        <v>325</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c r="BF287" s="48"/>
      <c r="BG287" s="49"/>
      <c r="BH287" s="48"/>
      <c r="BI287" s="49"/>
      <c r="BJ287" s="48"/>
      <c r="BK287" s="49"/>
      <c r="BL287" s="48"/>
      <c r="BM287" s="49"/>
      <c r="BN287" s="48"/>
    </row>
    <row r="288" spans="1:66" ht="15">
      <c r="A288" s="66" t="s">
        <v>473</v>
      </c>
      <c r="B288" s="66" t="s">
        <v>575</v>
      </c>
      <c r="C288" s="67" t="s">
        <v>3149</v>
      </c>
      <c r="D288" s="68">
        <v>4</v>
      </c>
      <c r="E288" s="69" t="s">
        <v>132</v>
      </c>
      <c r="F288" s="70">
        <v>30</v>
      </c>
      <c r="G288" s="67"/>
      <c r="H288" s="71"/>
      <c r="I288" s="72"/>
      <c r="J288" s="72"/>
      <c r="K288" s="34" t="s">
        <v>65</v>
      </c>
      <c r="L288" s="79">
        <v>288</v>
      </c>
      <c r="M288" s="79"/>
      <c r="N288" s="74"/>
      <c r="O288" s="81" t="s">
        <v>587</v>
      </c>
      <c r="P288" s="83">
        <v>44004.9871875</v>
      </c>
      <c r="Q288" s="81" t="s">
        <v>656</v>
      </c>
      <c r="R288" s="84" t="str">
        <f>HYPERLINK("https://twitter.com/i/web/status/1275200758170992640")</f>
        <v>https://twitter.com/i/web/status/1275200758170992640</v>
      </c>
      <c r="S288" s="81" t="s">
        <v>676</v>
      </c>
      <c r="T288" s="81" t="s">
        <v>707</v>
      </c>
      <c r="U288" s="81"/>
      <c r="V288" s="84" t="str">
        <f>HYPERLINK("http://pbs.twimg.com/profile_images/953436802110623744/NK6Q5dVg_normal.jpg")</f>
        <v>http://pbs.twimg.com/profile_images/953436802110623744/NK6Q5dVg_normal.jpg</v>
      </c>
      <c r="W288" s="83">
        <v>44004.9871875</v>
      </c>
      <c r="X288" s="87">
        <v>44004</v>
      </c>
      <c r="Y288" s="89" t="s">
        <v>878</v>
      </c>
      <c r="Z288" s="84" t="str">
        <f>HYPERLINK("https://twitter.com/jornalismodados/status/1275212359267737600")</f>
        <v>https://twitter.com/jornalismodados/status/1275212359267737600</v>
      </c>
      <c r="AA288" s="81"/>
      <c r="AB288" s="81"/>
      <c r="AC288" s="89" t="s">
        <v>1087</v>
      </c>
      <c r="AD288" s="81"/>
      <c r="AE288" s="81" t="b">
        <v>0</v>
      </c>
      <c r="AF288" s="81">
        <v>0</v>
      </c>
      <c r="AG288" s="89" t="s">
        <v>1149</v>
      </c>
      <c r="AH288" s="81" t="b">
        <v>0</v>
      </c>
      <c r="AI288" s="81" t="s">
        <v>1155</v>
      </c>
      <c r="AJ288" s="81"/>
      <c r="AK288" s="89" t="s">
        <v>1149</v>
      </c>
      <c r="AL288" s="81" t="b">
        <v>0</v>
      </c>
      <c r="AM288" s="81">
        <v>0</v>
      </c>
      <c r="AN288" s="89" t="s">
        <v>1149</v>
      </c>
      <c r="AO288" s="81" t="s">
        <v>1180</v>
      </c>
      <c r="AP288" s="81" t="b">
        <v>0</v>
      </c>
      <c r="AQ288" s="89" t="s">
        <v>1087</v>
      </c>
      <c r="AR288" s="81" t="s">
        <v>325</v>
      </c>
      <c r="AS288" s="81">
        <v>0</v>
      </c>
      <c r="AT288" s="81">
        <v>0</v>
      </c>
      <c r="AU288" s="81"/>
      <c r="AV288" s="81"/>
      <c r="AW288" s="81"/>
      <c r="AX288" s="81"/>
      <c r="AY288" s="81"/>
      <c r="AZ288" s="81"/>
      <c r="BA288" s="81"/>
      <c r="BB288" s="81"/>
      <c r="BC288">
        <v>1</v>
      </c>
      <c r="BD288" s="80" t="str">
        <f>REPLACE(INDEX(GroupVertices[Group],MATCH(Edges[[#This Row],[Vertex 1]],GroupVertices[Vertex],0)),1,1,"")</f>
        <v>1</v>
      </c>
      <c r="BE288" s="80" t="str">
        <f>REPLACE(INDEX(GroupVertices[Group],MATCH(Edges[[#This Row],[Vertex 2]],GroupVertices[Vertex],0)),1,1,"")</f>
        <v>1</v>
      </c>
      <c r="BF288" s="48">
        <v>0</v>
      </c>
      <c r="BG288" s="49">
        <v>0</v>
      </c>
      <c r="BH288" s="48">
        <v>0</v>
      </c>
      <c r="BI288" s="49">
        <v>0</v>
      </c>
      <c r="BJ288" s="48">
        <v>0</v>
      </c>
      <c r="BK288" s="49">
        <v>0</v>
      </c>
      <c r="BL288" s="48">
        <v>25</v>
      </c>
      <c r="BM288" s="49">
        <v>100</v>
      </c>
      <c r="BN288" s="48">
        <v>25</v>
      </c>
    </row>
    <row r="289" spans="1:66" ht="15">
      <c r="A289" s="66" t="s">
        <v>473</v>
      </c>
      <c r="B289" s="66" t="s">
        <v>576</v>
      </c>
      <c r="C289" s="67" t="s">
        <v>3149</v>
      </c>
      <c r="D289" s="68">
        <v>4</v>
      </c>
      <c r="E289" s="69" t="s">
        <v>132</v>
      </c>
      <c r="F289" s="70">
        <v>30</v>
      </c>
      <c r="G289" s="67"/>
      <c r="H289" s="71"/>
      <c r="I289" s="72"/>
      <c r="J289" s="72"/>
      <c r="K289" s="34" t="s">
        <v>65</v>
      </c>
      <c r="L289" s="79">
        <v>289</v>
      </c>
      <c r="M289" s="79"/>
      <c r="N289" s="74"/>
      <c r="O289" s="81" t="s">
        <v>587</v>
      </c>
      <c r="P289" s="83">
        <v>44005.02885416667</v>
      </c>
      <c r="Q289" s="81" t="s">
        <v>657</v>
      </c>
      <c r="R289" s="84" t="str">
        <f>HYPERLINK("https://twitter.com/i/web/status/1275220479629017088")</f>
        <v>https://twitter.com/i/web/status/1275220479629017088</v>
      </c>
      <c r="S289" s="81" t="s">
        <v>676</v>
      </c>
      <c r="T289" s="81" t="s">
        <v>707</v>
      </c>
      <c r="U289" s="81"/>
      <c r="V289" s="84" t="str">
        <f>HYPERLINK("http://pbs.twimg.com/profile_images/953436802110623744/NK6Q5dVg_normal.jpg")</f>
        <v>http://pbs.twimg.com/profile_images/953436802110623744/NK6Q5dVg_normal.jpg</v>
      </c>
      <c r="W289" s="83">
        <v>44005.02885416667</v>
      </c>
      <c r="X289" s="87">
        <v>44005</v>
      </c>
      <c r="Y289" s="89" t="s">
        <v>879</v>
      </c>
      <c r="Z289" s="84" t="str">
        <f>HYPERLINK("https://twitter.com/jornalismodados/status/1275227458732732416")</f>
        <v>https://twitter.com/jornalismodados/status/1275227458732732416</v>
      </c>
      <c r="AA289" s="81"/>
      <c r="AB289" s="81"/>
      <c r="AC289" s="89" t="s">
        <v>1088</v>
      </c>
      <c r="AD289" s="81"/>
      <c r="AE289" s="81" t="b">
        <v>0</v>
      </c>
      <c r="AF289" s="81">
        <v>0</v>
      </c>
      <c r="AG289" s="89" t="s">
        <v>1149</v>
      </c>
      <c r="AH289" s="81" t="b">
        <v>0</v>
      </c>
      <c r="AI289" s="81" t="s">
        <v>1155</v>
      </c>
      <c r="AJ289" s="81"/>
      <c r="AK289" s="89" t="s">
        <v>1149</v>
      </c>
      <c r="AL289" s="81" t="b">
        <v>0</v>
      </c>
      <c r="AM289" s="81">
        <v>0</v>
      </c>
      <c r="AN289" s="89" t="s">
        <v>1149</v>
      </c>
      <c r="AO289" s="81" t="s">
        <v>1180</v>
      </c>
      <c r="AP289" s="81" t="b">
        <v>0</v>
      </c>
      <c r="AQ289" s="89" t="s">
        <v>1088</v>
      </c>
      <c r="AR289" s="81" t="s">
        <v>325</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1</v>
      </c>
      <c r="BF289" s="48">
        <v>0</v>
      </c>
      <c r="BG289" s="49">
        <v>0</v>
      </c>
      <c r="BH289" s="48">
        <v>0</v>
      </c>
      <c r="BI289" s="49">
        <v>0</v>
      </c>
      <c r="BJ289" s="48">
        <v>0</v>
      </c>
      <c r="BK289" s="49">
        <v>0</v>
      </c>
      <c r="BL289" s="48">
        <v>22</v>
      </c>
      <c r="BM289" s="49">
        <v>100</v>
      </c>
      <c r="BN289" s="48">
        <v>22</v>
      </c>
    </row>
    <row r="290" spans="1:66" ht="15">
      <c r="A290" s="66" t="s">
        <v>473</v>
      </c>
      <c r="B290" s="66" t="s">
        <v>577</v>
      </c>
      <c r="C290" s="67" t="s">
        <v>3149</v>
      </c>
      <c r="D290" s="68">
        <v>4</v>
      </c>
      <c r="E290" s="69" t="s">
        <v>132</v>
      </c>
      <c r="F290" s="70">
        <v>30</v>
      </c>
      <c r="G290" s="67"/>
      <c r="H290" s="71"/>
      <c r="I290" s="72"/>
      <c r="J290" s="72"/>
      <c r="K290" s="34" t="s">
        <v>65</v>
      </c>
      <c r="L290" s="79">
        <v>290</v>
      </c>
      <c r="M290" s="79"/>
      <c r="N290" s="74"/>
      <c r="O290" s="81" t="s">
        <v>587</v>
      </c>
      <c r="P290" s="83">
        <v>44005.07052083333</v>
      </c>
      <c r="Q290" s="81" t="s">
        <v>658</v>
      </c>
      <c r="R290" s="84" t="str">
        <f>HYPERLINK("https://twitter.com/i/web/status/1275240330112221186")</f>
        <v>https://twitter.com/i/web/status/1275240330112221186</v>
      </c>
      <c r="S290" s="81" t="s">
        <v>676</v>
      </c>
      <c r="T290" s="81" t="s">
        <v>707</v>
      </c>
      <c r="U290" s="81"/>
      <c r="V290" s="84" t="str">
        <f>HYPERLINK("http://pbs.twimg.com/profile_images/953436802110623744/NK6Q5dVg_normal.jpg")</f>
        <v>http://pbs.twimg.com/profile_images/953436802110623744/NK6Q5dVg_normal.jpg</v>
      </c>
      <c r="W290" s="83">
        <v>44005.07052083333</v>
      </c>
      <c r="X290" s="87">
        <v>44005</v>
      </c>
      <c r="Y290" s="89" t="s">
        <v>880</v>
      </c>
      <c r="Z290" s="84" t="str">
        <f>HYPERLINK("https://twitter.com/jornalismodados/status/1275242558290112513")</f>
        <v>https://twitter.com/jornalismodados/status/1275242558290112513</v>
      </c>
      <c r="AA290" s="81"/>
      <c r="AB290" s="81"/>
      <c r="AC290" s="89" t="s">
        <v>1089</v>
      </c>
      <c r="AD290" s="81"/>
      <c r="AE290" s="81" t="b">
        <v>0</v>
      </c>
      <c r="AF290" s="81">
        <v>0</v>
      </c>
      <c r="AG290" s="89" t="s">
        <v>1149</v>
      </c>
      <c r="AH290" s="81" t="b">
        <v>0</v>
      </c>
      <c r="AI290" s="81" t="s">
        <v>1155</v>
      </c>
      <c r="AJ290" s="81"/>
      <c r="AK290" s="89" t="s">
        <v>1149</v>
      </c>
      <c r="AL290" s="81" t="b">
        <v>0</v>
      </c>
      <c r="AM290" s="81">
        <v>0</v>
      </c>
      <c r="AN290" s="89" t="s">
        <v>1149</v>
      </c>
      <c r="AO290" s="81" t="s">
        <v>1180</v>
      </c>
      <c r="AP290" s="81" t="b">
        <v>0</v>
      </c>
      <c r="AQ290" s="89" t="s">
        <v>1089</v>
      </c>
      <c r="AR290" s="81" t="s">
        <v>325</v>
      </c>
      <c r="AS290" s="81">
        <v>0</v>
      </c>
      <c r="AT290" s="81">
        <v>0</v>
      </c>
      <c r="AU290" s="81"/>
      <c r="AV290" s="81"/>
      <c r="AW290" s="81"/>
      <c r="AX290" s="81"/>
      <c r="AY290" s="81"/>
      <c r="AZ290" s="81"/>
      <c r="BA290" s="81"/>
      <c r="BB290" s="81"/>
      <c r="BC290">
        <v>1</v>
      </c>
      <c r="BD290" s="80" t="str">
        <f>REPLACE(INDEX(GroupVertices[Group],MATCH(Edges[[#This Row],[Vertex 1]],GroupVertices[Vertex],0)),1,1,"")</f>
        <v>1</v>
      </c>
      <c r="BE290" s="80" t="str">
        <f>REPLACE(INDEX(GroupVertices[Group],MATCH(Edges[[#This Row],[Vertex 2]],GroupVertices[Vertex],0)),1,1,"")</f>
        <v>1</v>
      </c>
      <c r="BF290" s="48">
        <v>0</v>
      </c>
      <c r="BG290" s="49">
        <v>0</v>
      </c>
      <c r="BH290" s="48">
        <v>0</v>
      </c>
      <c r="BI290" s="49">
        <v>0</v>
      </c>
      <c r="BJ290" s="48">
        <v>0</v>
      </c>
      <c r="BK290" s="49">
        <v>0</v>
      </c>
      <c r="BL290" s="48">
        <v>28</v>
      </c>
      <c r="BM290" s="49">
        <v>100</v>
      </c>
      <c r="BN290" s="48">
        <v>28</v>
      </c>
    </row>
    <row r="291" spans="1:66" ht="15">
      <c r="A291" s="66" t="s">
        <v>473</v>
      </c>
      <c r="B291" s="66" t="s">
        <v>578</v>
      </c>
      <c r="C291" s="67" t="s">
        <v>3149</v>
      </c>
      <c r="D291" s="68">
        <v>4</v>
      </c>
      <c r="E291" s="69" t="s">
        <v>132</v>
      </c>
      <c r="F291" s="70">
        <v>30</v>
      </c>
      <c r="G291" s="67"/>
      <c r="H291" s="71"/>
      <c r="I291" s="72"/>
      <c r="J291" s="72"/>
      <c r="K291" s="34" t="s">
        <v>65</v>
      </c>
      <c r="L291" s="79">
        <v>291</v>
      </c>
      <c r="M291" s="79"/>
      <c r="N291" s="74"/>
      <c r="O291" s="81" t="s">
        <v>587</v>
      </c>
      <c r="P291" s="83">
        <v>44005.07063657408</v>
      </c>
      <c r="Q291" s="81" t="s">
        <v>659</v>
      </c>
      <c r="R291" s="81"/>
      <c r="S291" s="81"/>
      <c r="T291" s="81" t="s">
        <v>707</v>
      </c>
      <c r="U291" s="81"/>
      <c r="V291" s="84" t="str">
        <f>HYPERLINK("http://pbs.twimg.com/profile_images/953436802110623744/NK6Q5dVg_normal.jpg")</f>
        <v>http://pbs.twimg.com/profile_images/953436802110623744/NK6Q5dVg_normal.jpg</v>
      </c>
      <c r="W291" s="83">
        <v>44005.07063657408</v>
      </c>
      <c r="X291" s="87">
        <v>44005</v>
      </c>
      <c r="Y291" s="89" t="s">
        <v>881</v>
      </c>
      <c r="Z291" s="84" t="str">
        <f>HYPERLINK("https://twitter.com/jornalismodados/status/1275242601734684674")</f>
        <v>https://twitter.com/jornalismodados/status/1275242601734684674</v>
      </c>
      <c r="AA291" s="81"/>
      <c r="AB291" s="81"/>
      <c r="AC291" s="89" t="s">
        <v>1090</v>
      </c>
      <c r="AD291" s="81"/>
      <c r="AE291" s="81" t="b">
        <v>0</v>
      </c>
      <c r="AF291" s="81">
        <v>0</v>
      </c>
      <c r="AG291" s="89" t="s">
        <v>1149</v>
      </c>
      <c r="AH291" s="81" t="b">
        <v>0</v>
      </c>
      <c r="AI291" s="81" t="s">
        <v>1155</v>
      </c>
      <c r="AJ291" s="81"/>
      <c r="AK291" s="89" t="s">
        <v>1149</v>
      </c>
      <c r="AL291" s="81" t="b">
        <v>0</v>
      </c>
      <c r="AM291" s="81">
        <v>0</v>
      </c>
      <c r="AN291" s="89" t="s">
        <v>1149</v>
      </c>
      <c r="AO291" s="81" t="s">
        <v>1180</v>
      </c>
      <c r="AP291" s="81" t="b">
        <v>0</v>
      </c>
      <c r="AQ291" s="89" t="s">
        <v>1090</v>
      </c>
      <c r="AR291" s="81" t="s">
        <v>325</v>
      </c>
      <c r="AS291" s="81">
        <v>0</v>
      </c>
      <c r="AT291" s="81">
        <v>0</v>
      </c>
      <c r="AU291" s="81"/>
      <c r="AV291" s="81"/>
      <c r="AW291" s="81"/>
      <c r="AX291" s="81"/>
      <c r="AY291" s="81"/>
      <c r="AZ291" s="81"/>
      <c r="BA291" s="81"/>
      <c r="BB291" s="81"/>
      <c r="BC291">
        <v>1</v>
      </c>
      <c r="BD291" s="80" t="str">
        <f>REPLACE(INDEX(GroupVertices[Group],MATCH(Edges[[#This Row],[Vertex 1]],GroupVertices[Vertex],0)),1,1,"")</f>
        <v>1</v>
      </c>
      <c r="BE291" s="80" t="str">
        <f>REPLACE(INDEX(GroupVertices[Group],MATCH(Edges[[#This Row],[Vertex 2]],GroupVertices[Vertex],0)),1,1,"")</f>
        <v>1</v>
      </c>
      <c r="BF291" s="48">
        <v>0</v>
      </c>
      <c r="BG291" s="49">
        <v>0</v>
      </c>
      <c r="BH291" s="48">
        <v>0</v>
      </c>
      <c r="BI291" s="49">
        <v>0</v>
      </c>
      <c r="BJ291" s="48">
        <v>0</v>
      </c>
      <c r="BK291" s="49">
        <v>0</v>
      </c>
      <c r="BL291" s="48">
        <v>26</v>
      </c>
      <c r="BM291" s="49">
        <v>100</v>
      </c>
      <c r="BN291" s="48">
        <v>26</v>
      </c>
    </row>
    <row r="292" spans="1:66" ht="15">
      <c r="A292" s="66" t="s">
        <v>473</v>
      </c>
      <c r="B292" s="66" t="s">
        <v>567</v>
      </c>
      <c r="C292" s="67" t="s">
        <v>3150</v>
      </c>
      <c r="D292" s="68">
        <v>10</v>
      </c>
      <c r="E292" s="69" t="s">
        <v>136</v>
      </c>
      <c r="F292" s="70">
        <v>10</v>
      </c>
      <c r="G292" s="67"/>
      <c r="H292" s="71"/>
      <c r="I292" s="72"/>
      <c r="J292" s="72"/>
      <c r="K292" s="34" t="s">
        <v>65</v>
      </c>
      <c r="L292" s="79">
        <v>292</v>
      </c>
      <c r="M292" s="79"/>
      <c r="N292" s="74"/>
      <c r="O292" s="81" t="s">
        <v>587</v>
      </c>
      <c r="P292" s="83">
        <v>44004.8621875</v>
      </c>
      <c r="Q292" s="81" t="s">
        <v>643</v>
      </c>
      <c r="R292" s="81"/>
      <c r="S292" s="81"/>
      <c r="T292" s="81" t="s">
        <v>707</v>
      </c>
      <c r="U292" s="81"/>
      <c r="V292" s="84" t="str">
        <f>HYPERLINK("http://pbs.twimg.com/profile_images/953436802110623744/NK6Q5dVg_normal.jpg")</f>
        <v>http://pbs.twimg.com/profile_images/953436802110623744/NK6Q5dVg_normal.jpg</v>
      </c>
      <c r="W292" s="83">
        <v>44004.8621875</v>
      </c>
      <c r="X292" s="87">
        <v>44004</v>
      </c>
      <c r="Y292" s="89" t="s">
        <v>863</v>
      </c>
      <c r="Z292" s="84" t="str">
        <f>HYPERLINK("https://twitter.com/jornalismodados/status/1275167060952322051")</f>
        <v>https://twitter.com/jornalismodados/status/1275167060952322051</v>
      </c>
      <c r="AA292" s="81"/>
      <c r="AB292" s="81"/>
      <c r="AC292" s="89" t="s">
        <v>1072</v>
      </c>
      <c r="AD292" s="81"/>
      <c r="AE292" s="81" t="b">
        <v>0</v>
      </c>
      <c r="AF292" s="81">
        <v>0</v>
      </c>
      <c r="AG292" s="89" t="s">
        <v>1149</v>
      </c>
      <c r="AH292" s="81" t="b">
        <v>0</v>
      </c>
      <c r="AI292" s="81" t="s">
        <v>1155</v>
      </c>
      <c r="AJ292" s="81"/>
      <c r="AK292" s="89" t="s">
        <v>1149</v>
      </c>
      <c r="AL292" s="81" t="b">
        <v>0</v>
      </c>
      <c r="AM292" s="81">
        <v>0</v>
      </c>
      <c r="AN292" s="89" t="s">
        <v>1149</v>
      </c>
      <c r="AO292" s="81" t="s">
        <v>1180</v>
      </c>
      <c r="AP292" s="81" t="b">
        <v>0</v>
      </c>
      <c r="AQ292" s="89" t="s">
        <v>1072</v>
      </c>
      <c r="AR292" s="81" t="s">
        <v>325</v>
      </c>
      <c r="AS292" s="81">
        <v>0</v>
      </c>
      <c r="AT292" s="81">
        <v>0</v>
      </c>
      <c r="AU292" s="81"/>
      <c r="AV292" s="81"/>
      <c r="AW292" s="81"/>
      <c r="AX292" s="81"/>
      <c r="AY292" s="81"/>
      <c r="AZ292" s="81"/>
      <c r="BA292" s="81"/>
      <c r="BB292" s="81"/>
      <c r="BC292">
        <v>10</v>
      </c>
      <c r="BD292" s="80" t="str">
        <f>REPLACE(INDEX(GroupVertices[Group],MATCH(Edges[[#This Row],[Vertex 1]],GroupVertices[Vertex],0)),1,1,"")</f>
        <v>1</v>
      </c>
      <c r="BE292" s="80" t="str">
        <f>REPLACE(INDEX(GroupVertices[Group],MATCH(Edges[[#This Row],[Vertex 2]],GroupVertices[Vertex],0)),1,1,"")</f>
        <v>1</v>
      </c>
      <c r="BF292" s="48"/>
      <c r="BG292" s="49"/>
      <c r="BH292" s="48"/>
      <c r="BI292" s="49"/>
      <c r="BJ292" s="48"/>
      <c r="BK292" s="49"/>
      <c r="BL292" s="48"/>
      <c r="BM292" s="49"/>
      <c r="BN292" s="48"/>
    </row>
    <row r="293" spans="1:66" ht="15">
      <c r="A293" s="66" t="s">
        <v>473</v>
      </c>
      <c r="B293" s="66" t="s">
        <v>567</v>
      </c>
      <c r="C293" s="67" t="s">
        <v>3150</v>
      </c>
      <c r="D293" s="68">
        <v>10</v>
      </c>
      <c r="E293" s="69" t="s">
        <v>136</v>
      </c>
      <c r="F293" s="70">
        <v>10</v>
      </c>
      <c r="G293" s="67"/>
      <c r="H293" s="71"/>
      <c r="I293" s="72"/>
      <c r="J293" s="72"/>
      <c r="K293" s="34" t="s">
        <v>65</v>
      </c>
      <c r="L293" s="79">
        <v>293</v>
      </c>
      <c r="M293" s="79"/>
      <c r="N293" s="74"/>
      <c r="O293" s="81" t="s">
        <v>587</v>
      </c>
      <c r="P293" s="83">
        <v>44004.862233796295</v>
      </c>
      <c r="Q293" s="81" t="s">
        <v>644</v>
      </c>
      <c r="R293" s="81"/>
      <c r="S293" s="81"/>
      <c r="T293" s="81" t="s">
        <v>707</v>
      </c>
      <c r="U293" s="81"/>
      <c r="V293" s="84" t="str">
        <f>HYPERLINK("http://pbs.twimg.com/profile_images/953436802110623744/NK6Q5dVg_normal.jpg")</f>
        <v>http://pbs.twimg.com/profile_images/953436802110623744/NK6Q5dVg_normal.jpg</v>
      </c>
      <c r="W293" s="83">
        <v>44004.862233796295</v>
      </c>
      <c r="X293" s="87">
        <v>44004</v>
      </c>
      <c r="Y293" s="89" t="s">
        <v>864</v>
      </c>
      <c r="Z293" s="84" t="str">
        <f>HYPERLINK("https://twitter.com/jornalismodados/status/1275167079294013446")</f>
        <v>https://twitter.com/jornalismodados/status/1275167079294013446</v>
      </c>
      <c r="AA293" s="81"/>
      <c r="AB293" s="81"/>
      <c r="AC293" s="89" t="s">
        <v>1073</v>
      </c>
      <c r="AD293" s="81"/>
      <c r="AE293" s="81" t="b">
        <v>0</v>
      </c>
      <c r="AF293" s="81">
        <v>0</v>
      </c>
      <c r="AG293" s="89" t="s">
        <v>1149</v>
      </c>
      <c r="AH293" s="81" t="b">
        <v>0</v>
      </c>
      <c r="AI293" s="81" t="s">
        <v>1155</v>
      </c>
      <c r="AJ293" s="81"/>
      <c r="AK293" s="89" t="s">
        <v>1149</v>
      </c>
      <c r="AL293" s="81" t="b">
        <v>0</v>
      </c>
      <c r="AM293" s="81">
        <v>0</v>
      </c>
      <c r="AN293" s="89" t="s">
        <v>1149</v>
      </c>
      <c r="AO293" s="81" t="s">
        <v>1180</v>
      </c>
      <c r="AP293" s="81" t="b">
        <v>0</v>
      </c>
      <c r="AQ293" s="89" t="s">
        <v>1073</v>
      </c>
      <c r="AR293" s="81" t="s">
        <v>325</v>
      </c>
      <c r="AS293" s="81">
        <v>0</v>
      </c>
      <c r="AT293" s="81">
        <v>0</v>
      </c>
      <c r="AU293" s="81"/>
      <c r="AV293" s="81"/>
      <c r="AW293" s="81"/>
      <c r="AX293" s="81"/>
      <c r="AY293" s="81"/>
      <c r="AZ293" s="81"/>
      <c r="BA293" s="81"/>
      <c r="BB293" s="81"/>
      <c r="BC293">
        <v>10</v>
      </c>
      <c r="BD293" s="80" t="str">
        <f>REPLACE(INDEX(GroupVertices[Group],MATCH(Edges[[#This Row],[Vertex 1]],GroupVertices[Vertex],0)),1,1,"")</f>
        <v>1</v>
      </c>
      <c r="BE293" s="80" t="str">
        <f>REPLACE(INDEX(GroupVertices[Group],MATCH(Edges[[#This Row],[Vertex 2]],GroupVertices[Vertex],0)),1,1,"")</f>
        <v>1</v>
      </c>
      <c r="BF293" s="48"/>
      <c r="BG293" s="49"/>
      <c r="BH293" s="48"/>
      <c r="BI293" s="49"/>
      <c r="BJ293" s="48"/>
      <c r="BK293" s="49"/>
      <c r="BL293" s="48"/>
      <c r="BM293" s="49"/>
      <c r="BN293" s="48"/>
    </row>
    <row r="294" spans="1:66" ht="15">
      <c r="A294" s="66" t="s">
        <v>473</v>
      </c>
      <c r="B294" s="66" t="s">
        <v>567</v>
      </c>
      <c r="C294" s="67" t="s">
        <v>3150</v>
      </c>
      <c r="D294" s="68">
        <v>10</v>
      </c>
      <c r="E294" s="69" t="s">
        <v>136</v>
      </c>
      <c r="F294" s="70">
        <v>10</v>
      </c>
      <c r="G294" s="67"/>
      <c r="H294" s="71"/>
      <c r="I294" s="72"/>
      <c r="J294" s="72"/>
      <c r="K294" s="34" t="s">
        <v>65</v>
      </c>
      <c r="L294" s="79">
        <v>294</v>
      </c>
      <c r="M294" s="79"/>
      <c r="N294" s="74"/>
      <c r="O294" s="81" t="s">
        <v>587</v>
      </c>
      <c r="P294" s="83">
        <v>44004.86231481482</v>
      </c>
      <c r="Q294" s="81" t="s">
        <v>660</v>
      </c>
      <c r="R294" s="84" t="str">
        <f>HYPERLINK("https://twitter.com/i/web/status/1275156603893878784")</f>
        <v>https://twitter.com/i/web/status/1275156603893878784</v>
      </c>
      <c r="S294" s="81" t="s">
        <v>676</v>
      </c>
      <c r="T294" s="81" t="s">
        <v>707</v>
      </c>
      <c r="U294" s="81"/>
      <c r="V294" s="84" t="str">
        <f>HYPERLINK("http://pbs.twimg.com/profile_images/953436802110623744/NK6Q5dVg_normal.jpg")</f>
        <v>http://pbs.twimg.com/profile_images/953436802110623744/NK6Q5dVg_normal.jpg</v>
      </c>
      <c r="W294" s="83">
        <v>44004.86231481482</v>
      </c>
      <c r="X294" s="87">
        <v>44004</v>
      </c>
      <c r="Y294" s="89" t="s">
        <v>882</v>
      </c>
      <c r="Z294" s="84" t="str">
        <f>HYPERLINK("https://twitter.com/jornalismodados/status/1275167106691203073")</f>
        <v>https://twitter.com/jornalismodados/status/1275167106691203073</v>
      </c>
      <c r="AA294" s="81"/>
      <c r="AB294" s="81"/>
      <c r="AC294" s="89" t="s">
        <v>1091</v>
      </c>
      <c r="AD294" s="81"/>
      <c r="AE294" s="81" t="b">
        <v>0</v>
      </c>
      <c r="AF294" s="81">
        <v>0</v>
      </c>
      <c r="AG294" s="89" t="s">
        <v>1149</v>
      </c>
      <c r="AH294" s="81" t="b">
        <v>0</v>
      </c>
      <c r="AI294" s="81" t="s">
        <v>1155</v>
      </c>
      <c r="AJ294" s="81"/>
      <c r="AK294" s="89" t="s">
        <v>1149</v>
      </c>
      <c r="AL294" s="81" t="b">
        <v>0</v>
      </c>
      <c r="AM294" s="81">
        <v>0</v>
      </c>
      <c r="AN294" s="89" t="s">
        <v>1149</v>
      </c>
      <c r="AO294" s="81" t="s">
        <v>1180</v>
      </c>
      <c r="AP294" s="81" t="b">
        <v>0</v>
      </c>
      <c r="AQ294" s="89" t="s">
        <v>1091</v>
      </c>
      <c r="AR294" s="81" t="s">
        <v>325</v>
      </c>
      <c r="AS294" s="81">
        <v>0</v>
      </c>
      <c r="AT294" s="81">
        <v>0</v>
      </c>
      <c r="AU294" s="81"/>
      <c r="AV294" s="81"/>
      <c r="AW294" s="81"/>
      <c r="AX294" s="81"/>
      <c r="AY294" s="81"/>
      <c r="AZ294" s="81"/>
      <c r="BA294" s="81"/>
      <c r="BB294" s="81"/>
      <c r="BC294">
        <v>10</v>
      </c>
      <c r="BD294" s="80" t="str">
        <f>REPLACE(INDEX(GroupVertices[Group],MATCH(Edges[[#This Row],[Vertex 1]],GroupVertices[Vertex],0)),1,1,"")</f>
        <v>1</v>
      </c>
      <c r="BE294" s="80" t="str">
        <f>REPLACE(INDEX(GroupVertices[Group],MATCH(Edges[[#This Row],[Vertex 2]],GroupVertices[Vertex],0)),1,1,"")</f>
        <v>1</v>
      </c>
      <c r="BF294" s="48"/>
      <c r="BG294" s="49"/>
      <c r="BH294" s="48"/>
      <c r="BI294" s="49"/>
      <c r="BJ294" s="48"/>
      <c r="BK294" s="49"/>
      <c r="BL294" s="48"/>
      <c r="BM294" s="49"/>
      <c r="BN294" s="48"/>
    </row>
    <row r="295" spans="1:66" ht="15">
      <c r="A295" s="66" t="s">
        <v>473</v>
      </c>
      <c r="B295" s="66" t="s">
        <v>567</v>
      </c>
      <c r="C295" s="67" t="s">
        <v>3150</v>
      </c>
      <c r="D295" s="68">
        <v>10</v>
      </c>
      <c r="E295" s="69" t="s">
        <v>136</v>
      </c>
      <c r="F295" s="70">
        <v>10</v>
      </c>
      <c r="G295" s="67"/>
      <c r="H295" s="71"/>
      <c r="I295" s="72"/>
      <c r="J295" s="72"/>
      <c r="K295" s="34" t="s">
        <v>65</v>
      </c>
      <c r="L295" s="79">
        <v>295</v>
      </c>
      <c r="M295" s="79"/>
      <c r="N295" s="74"/>
      <c r="O295" s="81" t="s">
        <v>587</v>
      </c>
      <c r="P295" s="83">
        <v>44004.90385416667</v>
      </c>
      <c r="Q295" s="81" t="s">
        <v>651</v>
      </c>
      <c r="R295" s="81"/>
      <c r="S295" s="81"/>
      <c r="T295" s="81" t="s">
        <v>707</v>
      </c>
      <c r="U295" s="81"/>
      <c r="V295" s="84" t="str">
        <f>HYPERLINK("http://pbs.twimg.com/profile_images/953436802110623744/NK6Q5dVg_normal.jpg")</f>
        <v>http://pbs.twimg.com/profile_images/953436802110623744/NK6Q5dVg_normal.jpg</v>
      </c>
      <c r="W295" s="83">
        <v>44004.90385416667</v>
      </c>
      <c r="X295" s="87">
        <v>44004</v>
      </c>
      <c r="Y295" s="89" t="s">
        <v>871</v>
      </c>
      <c r="Z295" s="84" t="str">
        <f>HYPERLINK("https://twitter.com/jornalismodados/status/1275182160119566342")</f>
        <v>https://twitter.com/jornalismodados/status/1275182160119566342</v>
      </c>
      <c r="AA295" s="81"/>
      <c r="AB295" s="81"/>
      <c r="AC295" s="89" t="s">
        <v>1080</v>
      </c>
      <c r="AD295" s="81"/>
      <c r="AE295" s="81" t="b">
        <v>0</v>
      </c>
      <c r="AF295" s="81">
        <v>0</v>
      </c>
      <c r="AG295" s="89" t="s">
        <v>1149</v>
      </c>
      <c r="AH295" s="81" t="b">
        <v>0</v>
      </c>
      <c r="AI295" s="81" t="s">
        <v>1155</v>
      </c>
      <c r="AJ295" s="81"/>
      <c r="AK295" s="89" t="s">
        <v>1149</v>
      </c>
      <c r="AL295" s="81" t="b">
        <v>0</v>
      </c>
      <c r="AM295" s="81">
        <v>0</v>
      </c>
      <c r="AN295" s="89" t="s">
        <v>1149</v>
      </c>
      <c r="AO295" s="81" t="s">
        <v>1180</v>
      </c>
      <c r="AP295" s="81" t="b">
        <v>0</v>
      </c>
      <c r="AQ295" s="89" t="s">
        <v>1080</v>
      </c>
      <c r="AR295" s="81" t="s">
        <v>325</v>
      </c>
      <c r="AS295" s="81">
        <v>0</v>
      </c>
      <c r="AT295" s="81">
        <v>0</v>
      </c>
      <c r="AU295" s="81"/>
      <c r="AV295" s="81"/>
      <c r="AW295" s="81"/>
      <c r="AX295" s="81"/>
      <c r="AY295" s="81"/>
      <c r="AZ295" s="81"/>
      <c r="BA295" s="81"/>
      <c r="BB295" s="81"/>
      <c r="BC295">
        <v>10</v>
      </c>
      <c r="BD295" s="80" t="str">
        <f>REPLACE(INDEX(GroupVertices[Group],MATCH(Edges[[#This Row],[Vertex 1]],GroupVertices[Vertex],0)),1,1,"")</f>
        <v>1</v>
      </c>
      <c r="BE295" s="80" t="str">
        <f>REPLACE(INDEX(GroupVertices[Group],MATCH(Edges[[#This Row],[Vertex 2]],GroupVertices[Vertex],0)),1,1,"")</f>
        <v>1</v>
      </c>
      <c r="BF295" s="48">
        <v>0</v>
      </c>
      <c r="BG295" s="49">
        <v>0</v>
      </c>
      <c r="BH295" s="48">
        <v>0</v>
      </c>
      <c r="BI295" s="49">
        <v>0</v>
      </c>
      <c r="BJ295" s="48">
        <v>0</v>
      </c>
      <c r="BK295" s="49">
        <v>0</v>
      </c>
      <c r="BL295" s="48">
        <v>30</v>
      </c>
      <c r="BM295" s="49">
        <v>100</v>
      </c>
      <c r="BN295" s="48">
        <v>30</v>
      </c>
    </row>
    <row r="296" spans="1:66" ht="15">
      <c r="A296" s="66" t="s">
        <v>473</v>
      </c>
      <c r="B296" s="66" t="s">
        <v>567</v>
      </c>
      <c r="C296" s="67" t="s">
        <v>3150</v>
      </c>
      <c r="D296" s="68">
        <v>10</v>
      </c>
      <c r="E296" s="69" t="s">
        <v>136</v>
      </c>
      <c r="F296" s="70">
        <v>10</v>
      </c>
      <c r="G296" s="67"/>
      <c r="H296" s="71"/>
      <c r="I296" s="72"/>
      <c r="J296" s="72"/>
      <c r="K296" s="34" t="s">
        <v>65</v>
      </c>
      <c r="L296" s="79">
        <v>296</v>
      </c>
      <c r="M296" s="79"/>
      <c r="N296" s="74"/>
      <c r="O296" s="81" t="s">
        <v>587</v>
      </c>
      <c r="P296" s="83">
        <v>44004.90388888889</v>
      </c>
      <c r="Q296" s="81" t="s">
        <v>652</v>
      </c>
      <c r="R296" s="81"/>
      <c r="S296" s="81"/>
      <c r="T296" s="81" t="s">
        <v>707</v>
      </c>
      <c r="U296" s="81"/>
      <c r="V296" s="84" t="str">
        <f>HYPERLINK("http://pbs.twimg.com/profile_images/953436802110623744/NK6Q5dVg_normal.jpg")</f>
        <v>http://pbs.twimg.com/profile_images/953436802110623744/NK6Q5dVg_normal.jpg</v>
      </c>
      <c r="W296" s="83">
        <v>44004.90388888889</v>
      </c>
      <c r="X296" s="87">
        <v>44004</v>
      </c>
      <c r="Y296" s="89" t="s">
        <v>874</v>
      </c>
      <c r="Z296" s="84" t="str">
        <f>HYPERLINK("https://twitter.com/jornalismodados/status/1275182174011097088")</f>
        <v>https://twitter.com/jornalismodados/status/1275182174011097088</v>
      </c>
      <c r="AA296" s="81"/>
      <c r="AB296" s="81"/>
      <c r="AC296" s="89" t="s">
        <v>1083</v>
      </c>
      <c r="AD296" s="81"/>
      <c r="AE296" s="81" t="b">
        <v>0</v>
      </c>
      <c r="AF296" s="81">
        <v>0</v>
      </c>
      <c r="AG296" s="89" t="s">
        <v>1149</v>
      </c>
      <c r="AH296" s="81" t="b">
        <v>0</v>
      </c>
      <c r="AI296" s="81" t="s">
        <v>1155</v>
      </c>
      <c r="AJ296" s="81"/>
      <c r="AK296" s="89" t="s">
        <v>1149</v>
      </c>
      <c r="AL296" s="81" t="b">
        <v>0</v>
      </c>
      <c r="AM296" s="81">
        <v>1</v>
      </c>
      <c r="AN296" s="89" t="s">
        <v>1149</v>
      </c>
      <c r="AO296" s="81" t="s">
        <v>1180</v>
      </c>
      <c r="AP296" s="81" t="b">
        <v>0</v>
      </c>
      <c r="AQ296" s="89" t="s">
        <v>1083</v>
      </c>
      <c r="AR296" s="81" t="s">
        <v>325</v>
      </c>
      <c r="AS296" s="81">
        <v>0</v>
      </c>
      <c r="AT296" s="81">
        <v>0</v>
      </c>
      <c r="AU296" s="81"/>
      <c r="AV296" s="81"/>
      <c r="AW296" s="81"/>
      <c r="AX296" s="81"/>
      <c r="AY296" s="81"/>
      <c r="AZ296" s="81"/>
      <c r="BA296" s="81"/>
      <c r="BB296" s="81"/>
      <c r="BC296">
        <v>10</v>
      </c>
      <c r="BD296" s="80" t="str">
        <f>REPLACE(INDEX(GroupVertices[Group],MATCH(Edges[[#This Row],[Vertex 1]],GroupVertices[Vertex],0)),1,1,"")</f>
        <v>1</v>
      </c>
      <c r="BE296" s="80" t="str">
        <f>REPLACE(INDEX(GroupVertices[Group],MATCH(Edges[[#This Row],[Vertex 2]],GroupVertices[Vertex],0)),1,1,"")</f>
        <v>1</v>
      </c>
      <c r="BF296" s="48"/>
      <c r="BG296" s="49"/>
      <c r="BH296" s="48"/>
      <c r="BI296" s="49"/>
      <c r="BJ296" s="48"/>
      <c r="BK296" s="49"/>
      <c r="BL296" s="48"/>
      <c r="BM296" s="49"/>
      <c r="BN296" s="48"/>
    </row>
    <row r="297" spans="1:66" ht="15">
      <c r="A297" s="66" t="s">
        <v>473</v>
      </c>
      <c r="B297" s="66" t="s">
        <v>567</v>
      </c>
      <c r="C297" s="67" t="s">
        <v>3150</v>
      </c>
      <c r="D297" s="68">
        <v>10</v>
      </c>
      <c r="E297" s="69" t="s">
        <v>136</v>
      </c>
      <c r="F297" s="70">
        <v>10</v>
      </c>
      <c r="G297" s="67"/>
      <c r="H297" s="71"/>
      <c r="I297" s="72"/>
      <c r="J297" s="72"/>
      <c r="K297" s="34" t="s">
        <v>65</v>
      </c>
      <c r="L297" s="79">
        <v>297</v>
      </c>
      <c r="M297" s="79"/>
      <c r="N297" s="74"/>
      <c r="O297" s="81" t="s">
        <v>587</v>
      </c>
      <c r="P297" s="83">
        <v>44004.90400462963</v>
      </c>
      <c r="Q297" s="81" t="s">
        <v>653</v>
      </c>
      <c r="R297" s="81"/>
      <c r="S297" s="81"/>
      <c r="T297" s="81" t="s">
        <v>707</v>
      </c>
      <c r="U297" s="81"/>
      <c r="V297" s="84" t="str">
        <f>HYPERLINK("http://pbs.twimg.com/profile_images/953436802110623744/NK6Q5dVg_normal.jpg")</f>
        <v>http://pbs.twimg.com/profile_images/953436802110623744/NK6Q5dVg_normal.jpg</v>
      </c>
      <c r="W297" s="83">
        <v>44004.90400462963</v>
      </c>
      <c r="X297" s="87">
        <v>44004</v>
      </c>
      <c r="Y297" s="89" t="s">
        <v>875</v>
      </c>
      <c r="Z297" s="84" t="str">
        <f>HYPERLINK("https://twitter.com/jornalismodados/status/1275182214003724290")</f>
        <v>https://twitter.com/jornalismodados/status/1275182214003724290</v>
      </c>
      <c r="AA297" s="81"/>
      <c r="AB297" s="81"/>
      <c r="AC297" s="89" t="s">
        <v>1084</v>
      </c>
      <c r="AD297" s="81"/>
      <c r="AE297" s="81" t="b">
        <v>0</v>
      </c>
      <c r="AF297" s="81">
        <v>0</v>
      </c>
      <c r="AG297" s="89" t="s">
        <v>1149</v>
      </c>
      <c r="AH297" s="81" t="b">
        <v>0</v>
      </c>
      <c r="AI297" s="81" t="s">
        <v>1155</v>
      </c>
      <c r="AJ297" s="81"/>
      <c r="AK297" s="89" t="s">
        <v>1149</v>
      </c>
      <c r="AL297" s="81" t="b">
        <v>0</v>
      </c>
      <c r="AM297" s="81">
        <v>0</v>
      </c>
      <c r="AN297" s="89" t="s">
        <v>1149</v>
      </c>
      <c r="AO297" s="81" t="s">
        <v>1180</v>
      </c>
      <c r="AP297" s="81" t="b">
        <v>0</v>
      </c>
      <c r="AQ297" s="89" t="s">
        <v>1084</v>
      </c>
      <c r="AR297" s="81" t="s">
        <v>325</v>
      </c>
      <c r="AS297" s="81">
        <v>0</v>
      </c>
      <c r="AT297" s="81">
        <v>0</v>
      </c>
      <c r="AU297" s="81"/>
      <c r="AV297" s="81"/>
      <c r="AW297" s="81"/>
      <c r="AX297" s="81"/>
      <c r="AY297" s="81"/>
      <c r="AZ297" s="81"/>
      <c r="BA297" s="81"/>
      <c r="BB297" s="81"/>
      <c r="BC297">
        <v>10</v>
      </c>
      <c r="BD297" s="80" t="str">
        <f>REPLACE(INDEX(GroupVertices[Group],MATCH(Edges[[#This Row],[Vertex 1]],GroupVertices[Vertex],0)),1,1,"")</f>
        <v>1</v>
      </c>
      <c r="BE297" s="80" t="str">
        <f>REPLACE(INDEX(GroupVertices[Group],MATCH(Edges[[#This Row],[Vertex 2]],GroupVertices[Vertex],0)),1,1,"")</f>
        <v>1</v>
      </c>
      <c r="BF297" s="48"/>
      <c r="BG297" s="49"/>
      <c r="BH297" s="48"/>
      <c r="BI297" s="49"/>
      <c r="BJ297" s="48"/>
      <c r="BK297" s="49"/>
      <c r="BL297" s="48"/>
      <c r="BM297" s="49"/>
      <c r="BN297" s="48"/>
    </row>
    <row r="298" spans="1:66" ht="15">
      <c r="A298" s="66" t="s">
        <v>473</v>
      </c>
      <c r="B298" s="66" t="s">
        <v>567</v>
      </c>
      <c r="C298" s="67" t="s">
        <v>3150</v>
      </c>
      <c r="D298" s="68">
        <v>10</v>
      </c>
      <c r="E298" s="69" t="s">
        <v>136</v>
      </c>
      <c r="F298" s="70">
        <v>10</v>
      </c>
      <c r="G298" s="67"/>
      <c r="H298" s="71"/>
      <c r="I298" s="72"/>
      <c r="J298" s="72"/>
      <c r="K298" s="34" t="s">
        <v>65</v>
      </c>
      <c r="L298" s="79">
        <v>298</v>
      </c>
      <c r="M298" s="79"/>
      <c r="N298" s="74"/>
      <c r="O298" s="81" t="s">
        <v>587</v>
      </c>
      <c r="P298" s="83">
        <v>44004.9040625</v>
      </c>
      <c r="Q298" s="81" t="s">
        <v>661</v>
      </c>
      <c r="R298" s="84" t="str">
        <f>HYPERLINK("https://twitter.com/i/web/status/1275171088985661441")</f>
        <v>https://twitter.com/i/web/status/1275171088985661441</v>
      </c>
      <c r="S298" s="81" t="s">
        <v>676</v>
      </c>
      <c r="T298" s="81" t="s">
        <v>707</v>
      </c>
      <c r="U298" s="81"/>
      <c r="V298" s="84" t="str">
        <f>HYPERLINK("http://pbs.twimg.com/profile_images/953436802110623744/NK6Q5dVg_normal.jpg")</f>
        <v>http://pbs.twimg.com/profile_images/953436802110623744/NK6Q5dVg_normal.jpg</v>
      </c>
      <c r="W298" s="83">
        <v>44004.9040625</v>
      </c>
      <c r="X298" s="87">
        <v>44004</v>
      </c>
      <c r="Y298" s="89" t="s">
        <v>883</v>
      </c>
      <c r="Z298" s="84" t="str">
        <f>HYPERLINK("https://twitter.com/jornalismodados/status/1275182236204175363")</f>
        <v>https://twitter.com/jornalismodados/status/1275182236204175363</v>
      </c>
      <c r="AA298" s="81"/>
      <c r="AB298" s="81"/>
      <c r="AC298" s="89" t="s">
        <v>1092</v>
      </c>
      <c r="AD298" s="81"/>
      <c r="AE298" s="81" t="b">
        <v>0</v>
      </c>
      <c r="AF298" s="81">
        <v>0</v>
      </c>
      <c r="AG298" s="89" t="s">
        <v>1149</v>
      </c>
      <c r="AH298" s="81" t="b">
        <v>0</v>
      </c>
      <c r="AI298" s="81" t="s">
        <v>1155</v>
      </c>
      <c r="AJ298" s="81"/>
      <c r="AK298" s="89" t="s">
        <v>1149</v>
      </c>
      <c r="AL298" s="81" t="b">
        <v>0</v>
      </c>
      <c r="AM298" s="81">
        <v>0</v>
      </c>
      <c r="AN298" s="89" t="s">
        <v>1149</v>
      </c>
      <c r="AO298" s="81" t="s">
        <v>1180</v>
      </c>
      <c r="AP298" s="81" t="b">
        <v>0</v>
      </c>
      <c r="AQ298" s="89" t="s">
        <v>1092</v>
      </c>
      <c r="AR298" s="81" t="s">
        <v>325</v>
      </c>
      <c r="AS298" s="81">
        <v>0</v>
      </c>
      <c r="AT298" s="81">
        <v>0</v>
      </c>
      <c r="AU298" s="81"/>
      <c r="AV298" s="81"/>
      <c r="AW298" s="81"/>
      <c r="AX298" s="81"/>
      <c r="AY298" s="81"/>
      <c r="AZ298" s="81"/>
      <c r="BA298" s="81"/>
      <c r="BB298" s="81"/>
      <c r="BC298">
        <v>10</v>
      </c>
      <c r="BD298" s="80" t="str">
        <f>REPLACE(INDEX(GroupVertices[Group],MATCH(Edges[[#This Row],[Vertex 1]],GroupVertices[Vertex],0)),1,1,"")</f>
        <v>1</v>
      </c>
      <c r="BE298" s="80" t="str">
        <f>REPLACE(INDEX(GroupVertices[Group],MATCH(Edges[[#This Row],[Vertex 2]],GroupVertices[Vertex],0)),1,1,"")</f>
        <v>1</v>
      </c>
      <c r="BF298" s="48">
        <v>0</v>
      </c>
      <c r="BG298" s="49">
        <v>0</v>
      </c>
      <c r="BH298" s="48">
        <v>0</v>
      </c>
      <c r="BI298" s="49">
        <v>0</v>
      </c>
      <c r="BJ298" s="48">
        <v>0</v>
      </c>
      <c r="BK298" s="49">
        <v>0</v>
      </c>
      <c r="BL298" s="48">
        <v>26</v>
      </c>
      <c r="BM298" s="49">
        <v>100</v>
      </c>
      <c r="BN298" s="48">
        <v>26</v>
      </c>
    </row>
    <row r="299" spans="1:66" ht="15">
      <c r="A299" s="66" t="s">
        <v>473</v>
      </c>
      <c r="B299" s="66" t="s">
        <v>567</v>
      </c>
      <c r="C299" s="67" t="s">
        <v>3150</v>
      </c>
      <c r="D299" s="68">
        <v>10</v>
      </c>
      <c r="E299" s="69" t="s">
        <v>136</v>
      </c>
      <c r="F299" s="70">
        <v>10</v>
      </c>
      <c r="G299" s="67"/>
      <c r="H299" s="71"/>
      <c r="I299" s="72"/>
      <c r="J299" s="72"/>
      <c r="K299" s="34" t="s">
        <v>65</v>
      </c>
      <c r="L299" s="79">
        <v>299</v>
      </c>
      <c r="M299" s="79"/>
      <c r="N299" s="74"/>
      <c r="O299" s="81" t="s">
        <v>587</v>
      </c>
      <c r="P299" s="83">
        <v>44004.94552083333</v>
      </c>
      <c r="Q299" s="81" t="s">
        <v>654</v>
      </c>
      <c r="R299" s="81"/>
      <c r="S299" s="81"/>
      <c r="T299" s="81" t="s">
        <v>707</v>
      </c>
      <c r="U299" s="81"/>
      <c r="V299" s="84" t="str">
        <f>HYPERLINK("http://pbs.twimg.com/profile_images/953436802110623744/NK6Q5dVg_normal.jpg")</f>
        <v>http://pbs.twimg.com/profile_images/953436802110623744/NK6Q5dVg_normal.jpg</v>
      </c>
      <c r="W299" s="83">
        <v>44004.94552083333</v>
      </c>
      <c r="X299" s="87">
        <v>44004</v>
      </c>
      <c r="Y299" s="89" t="s">
        <v>876</v>
      </c>
      <c r="Z299" s="84" t="str">
        <f>HYPERLINK("https://twitter.com/jornalismodados/status/1275197258993225728")</f>
        <v>https://twitter.com/jornalismodados/status/1275197258993225728</v>
      </c>
      <c r="AA299" s="81"/>
      <c r="AB299" s="81"/>
      <c r="AC299" s="89" t="s">
        <v>1085</v>
      </c>
      <c r="AD299" s="81"/>
      <c r="AE299" s="81" t="b">
        <v>0</v>
      </c>
      <c r="AF299" s="81">
        <v>0</v>
      </c>
      <c r="AG299" s="89" t="s">
        <v>1149</v>
      </c>
      <c r="AH299" s="81" t="b">
        <v>0</v>
      </c>
      <c r="AI299" s="81" t="s">
        <v>1155</v>
      </c>
      <c r="AJ299" s="81"/>
      <c r="AK299" s="89" t="s">
        <v>1149</v>
      </c>
      <c r="AL299" s="81" t="b">
        <v>0</v>
      </c>
      <c r="AM299" s="81">
        <v>0</v>
      </c>
      <c r="AN299" s="89" t="s">
        <v>1149</v>
      </c>
      <c r="AO299" s="81" t="s">
        <v>1180</v>
      </c>
      <c r="AP299" s="81" t="b">
        <v>0</v>
      </c>
      <c r="AQ299" s="89" t="s">
        <v>1085</v>
      </c>
      <c r="AR299" s="81" t="s">
        <v>325</v>
      </c>
      <c r="AS299" s="81">
        <v>0</v>
      </c>
      <c r="AT299" s="81">
        <v>0</v>
      </c>
      <c r="AU299" s="81"/>
      <c r="AV299" s="81"/>
      <c r="AW299" s="81"/>
      <c r="AX299" s="81"/>
      <c r="AY299" s="81"/>
      <c r="AZ299" s="81"/>
      <c r="BA299" s="81"/>
      <c r="BB299" s="81"/>
      <c r="BC299">
        <v>10</v>
      </c>
      <c r="BD299" s="80" t="str">
        <f>REPLACE(INDEX(GroupVertices[Group],MATCH(Edges[[#This Row],[Vertex 1]],GroupVertices[Vertex],0)),1,1,"")</f>
        <v>1</v>
      </c>
      <c r="BE299" s="80" t="str">
        <f>REPLACE(INDEX(GroupVertices[Group],MATCH(Edges[[#This Row],[Vertex 2]],GroupVertices[Vertex],0)),1,1,"")</f>
        <v>1</v>
      </c>
      <c r="BF299" s="48"/>
      <c r="BG299" s="49"/>
      <c r="BH299" s="48"/>
      <c r="BI299" s="49"/>
      <c r="BJ299" s="48"/>
      <c r="BK299" s="49"/>
      <c r="BL299" s="48"/>
      <c r="BM299" s="49"/>
      <c r="BN299" s="48"/>
    </row>
    <row r="300" spans="1:66" ht="15">
      <c r="A300" s="66" t="s">
        <v>473</v>
      </c>
      <c r="B300" s="66" t="s">
        <v>567</v>
      </c>
      <c r="C300" s="67" t="s">
        <v>3150</v>
      </c>
      <c r="D300" s="68">
        <v>10</v>
      </c>
      <c r="E300" s="69" t="s">
        <v>136</v>
      </c>
      <c r="F300" s="70">
        <v>10</v>
      </c>
      <c r="G300" s="67"/>
      <c r="H300" s="71"/>
      <c r="I300" s="72"/>
      <c r="J300" s="72"/>
      <c r="K300" s="34" t="s">
        <v>65</v>
      </c>
      <c r="L300" s="79">
        <v>300</v>
      </c>
      <c r="M300" s="79"/>
      <c r="N300" s="74"/>
      <c r="O300" s="81" t="s">
        <v>587</v>
      </c>
      <c r="P300" s="83">
        <v>44005.07063657408</v>
      </c>
      <c r="Q300" s="81" t="s">
        <v>659</v>
      </c>
      <c r="R300" s="81"/>
      <c r="S300" s="81"/>
      <c r="T300" s="81" t="s">
        <v>707</v>
      </c>
      <c r="U300" s="81"/>
      <c r="V300" s="84" t="str">
        <f>HYPERLINK("http://pbs.twimg.com/profile_images/953436802110623744/NK6Q5dVg_normal.jpg")</f>
        <v>http://pbs.twimg.com/profile_images/953436802110623744/NK6Q5dVg_normal.jpg</v>
      </c>
      <c r="W300" s="83">
        <v>44005.07063657408</v>
      </c>
      <c r="X300" s="87">
        <v>44005</v>
      </c>
      <c r="Y300" s="89" t="s">
        <v>881</v>
      </c>
      <c r="Z300" s="84" t="str">
        <f>HYPERLINK("https://twitter.com/jornalismodados/status/1275242601734684674")</f>
        <v>https://twitter.com/jornalismodados/status/1275242601734684674</v>
      </c>
      <c r="AA300" s="81"/>
      <c r="AB300" s="81"/>
      <c r="AC300" s="89" t="s">
        <v>1090</v>
      </c>
      <c r="AD300" s="81"/>
      <c r="AE300" s="81" t="b">
        <v>0</v>
      </c>
      <c r="AF300" s="81">
        <v>0</v>
      </c>
      <c r="AG300" s="89" t="s">
        <v>1149</v>
      </c>
      <c r="AH300" s="81" t="b">
        <v>0</v>
      </c>
      <c r="AI300" s="81" t="s">
        <v>1155</v>
      </c>
      <c r="AJ300" s="81"/>
      <c r="AK300" s="89" t="s">
        <v>1149</v>
      </c>
      <c r="AL300" s="81" t="b">
        <v>0</v>
      </c>
      <c r="AM300" s="81">
        <v>0</v>
      </c>
      <c r="AN300" s="89" t="s">
        <v>1149</v>
      </c>
      <c r="AO300" s="81" t="s">
        <v>1180</v>
      </c>
      <c r="AP300" s="81" t="b">
        <v>0</v>
      </c>
      <c r="AQ300" s="89" t="s">
        <v>1090</v>
      </c>
      <c r="AR300" s="81" t="s">
        <v>325</v>
      </c>
      <c r="AS300" s="81">
        <v>0</v>
      </c>
      <c r="AT300" s="81">
        <v>0</v>
      </c>
      <c r="AU300" s="81"/>
      <c r="AV300" s="81"/>
      <c r="AW300" s="81"/>
      <c r="AX300" s="81"/>
      <c r="AY300" s="81"/>
      <c r="AZ300" s="81"/>
      <c r="BA300" s="81"/>
      <c r="BB300" s="81"/>
      <c r="BC300">
        <v>10</v>
      </c>
      <c r="BD300" s="80" t="str">
        <f>REPLACE(INDEX(GroupVertices[Group],MATCH(Edges[[#This Row],[Vertex 1]],GroupVertices[Vertex],0)),1,1,"")</f>
        <v>1</v>
      </c>
      <c r="BE300" s="80" t="str">
        <f>REPLACE(INDEX(GroupVertices[Group],MATCH(Edges[[#This Row],[Vertex 2]],GroupVertices[Vertex],0)),1,1,"")</f>
        <v>1</v>
      </c>
      <c r="BF300" s="48"/>
      <c r="BG300" s="49"/>
      <c r="BH300" s="48"/>
      <c r="BI300" s="49"/>
      <c r="BJ300" s="48"/>
      <c r="BK300" s="49"/>
      <c r="BL300" s="48"/>
      <c r="BM300" s="49"/>
      <c r="BN300" s="48"/>
    </row>
    <row r="301" spans="1:66" ht="15">
      <c r="A301" s="66" t="s">
        <v>473</v>
      </c>
      <c r="B301" s="66" t="s">
        <v>567</v>
      </c>
      <c r="C301" s="67" t="s">
        <v>3150</v>
      </c>
      <c r="D301" s="68">
        <v>10</v>
      </c>
      <c r="E301" s="69" t="s">
        <v>136</v>
      </c>
      <c r="F301" s="70">
        <v>10</v>
      </c>
      <c r="G301" s="67"/>
      <c r="H301" s="71"/>
      <c r="I301" s="72"/>
      <c r="J301" s="72"/>
      <c r="K301" s="34" t="s">
        <v>65</v>
      </c>
      <c r="L301" s="79">
        <v>301</v>
      </c>
      <c r="M301" s="79"/>
      <c r="N301" s="74"/>
      <c r="O301" s="81" t="s">
        <v>587</v>
      </c>
      <c r="P301" s="83">
        <v>44005.1121875</v>
      </c>
      <c r="Q301" s="81" t="s">
        <v>662</v>
      </c>
      <c r="R301" s="81"/>
      <c r="S301" s="81"/>
      <c r="T301" s="81" t="s">
        <v>707</v>
      </c>
      <c r="U301" s="81"/>
      <c r="V301" s="84" t="str">
        <f>HYPERLINK("http://pbs.twimg.com/profile_images/953436802110623744/NK6Q5dVg_normal.jpg")</f>
        <v>http://pbs.twimg.com/profile_images/953436802110623744/NK6Q5dVg_normal.jpg</v>
      </c>
      <c r="W301" s="83">
        <v>44005.1121875</v>
      </c>
      <c r="X301" s="87">
        <v>44005</v>
      </c>
      <c r="Y301" s="89" t="s">
        <v>841</v>
      </c>
      <c r="Z301" s="84" t="str">
        <f>HYPERLINK("https://twitter.com/jornalismodados/status/1275257656954011650")</f>
        <v>https://twitter.com/jornalismodados/status/1275257656954011650</v>
      </c>
      <c r="AA301" s="81"/>
      <c r="AB301" s="81"/>
      <c r="AC301" s="89" t="s">
        <v>1093</v>
      </c>
      <c r="AD301" s="81"/>
      <c r="AE301" s="81" t="b">
        <v>0</v>
      </c>
      <c r="AF301" s="81">
        <v>0</v>
      </c>
      <c r="AG301" s="89" t="s">
        <v>1149</v>
      </c>
      <c r="AH301" s="81" t="b">
        <v>0</v>
      </c>
      <c r="AI301" s="81" t="s">
        <v>1155</v>
      </c>
      <c r="AJ301" s="81"/>
      <c r="AK301" s="89" t="s">
        <v>1149</v>
      </c>
      <c r="AL301" s="81" t="b">
        <v>0</v>
      </c>
      <c r="AM301" s="81">
        <v>0</v>
      </c>
      <c r="AN301" s="89" t="s">
        <v>1149</v>
      </c>
      <c r="AO301" s="81" t="s">
        <v>1180</v>
      </c>
      <c r="AP301" s="81" t="b">
        <v>0</v>
      </c>
      <c r="AQ301" s="89" t="s">
        <v>1093</v>
      </c>
      <c r="AR301" s="81" t="s">
        <v>325</v>
      </c>
      <c r="AS301" s="81">
        <v>0</v>
      </c>
      <c r="AT301" s="81">
        <v>0</v>
      </c>
      <c r="AU301" s="81"/>
      <c r="AV301" s="81"/>
      <c r="AW301" s="81"/>
      <c r="AX301" s="81"/>
      <c r="AY301" s="81"/>
      <c r="AZ301" s="81"/>
      <c r="BA301" s="81"/>
      <c r="BB301" s="81"/>
      <c r="BC301">
        <v>10</v>
      </c>
      <c r="BD301" s="80" t="str">
        <f>REPLACE(INDEX(GroupVertices[Group],MATCH(Edges[[#This Row],[Vertex 1]],GroupVertices[Vertex],0)),1,1,"")</f>
        <v>1</v>
      </c>
      <c r="BE301" s="80" t="str">
        <f>REPLACE(INDEX(GroupVertices[Group],MATCH(Edges[[#This Row],[Vertex 2]],GroupVertices[Vertex],0)),1,1,"")</f>
        <v>1</v>
      </c>
      <c r="BF301" s="48"/>
      <c r="BG301" s="49"/>
      <c r="BH301" s="48"/>
      <c r="BI301" s="49"/>
      <c r="BJ301" s="48"/>
      <c r="BK301" s="49"/>
      <c r="BL301" s="48"/>
      <c r="BM301" s="49"/>
      <c r="BN301" s="48"/>
    </row>
    <row r="302" spans="1:66" ht="15">
      <c r="A302" s="66" t="s">
        <v>475</v>
      </c>
      <c r="B302" s="66" t="s">
        <v>475</v>
      </c>
      <c r="C302" s="67" t="s">
        <v>3149</v>
      </c>
      <c r="D302" s="68">
        <v>4</v>
      </c>
      <c r="E302" s="69" t="s">
        <v>132</v>
      </c>
      <c r="F302" s="70">
        <v>30</v>
      </c>
      <c r="G302" s="67"/>
      <c r="H302" s="71"/>
      <c r="I302" s="72"/>
      <c r="J302" s="72"/>
      <c r="K302" s="34" t="s">
        <v>65</v>
      </c>
      <c r="L302" s="79">
        <v>302</v>
      </c>
      <c r="M302" s="79"/>
      <c r="N302" s="74"/>
      <c r="O302" s="81" t="s">
        <v>325</v>
      </c>
      <c r="P302" s="83">
        <v>44004.853159722225</v>
      </c>
      <c r="Q302" s="81" t="s">
        <v>614</v>
      </c>
      <c r="R302" s="84" t="str">
        <f>HYPERLINK("https://twitter.com/_fiquemsabendo/status/1275156603893878784")</f>
        <v>https://twitter.com/_fiquemsabendo/status/1275156603893878784</v>
      </c>
      <c r="S302" s="81" t="s">
        <v>676</v>
      </c>
      <c r="T302" s="81" t="s">
        <v>712</v>
      </c>
      <c r="U302" s="81"/>
      <c r="V302" s="84" t="str">
        <f>HYPERLINK("http://pbs.twimg.com/profile_images/1097946134570512389/5lPBEHxc_normal.jpg")</f>
        <v>http://pbs.twimg.com/profile_images/1097946134570512389/5lPBEHxc_normal.jpg</v>
      </c>
      <c r="W302" s="83">
        <v>44004.853159722225</v>
      </c>
      <c r="X302" s="87">
        <v>44004</v>
      </c>
      <c r="Y302" s="89" t="s">
        <v>884</v>
      </c>
      <c r="Z302" s="84" t="str">
        <f>HYPERLINK("https://twitter.com/marilia_gehrke/status/1275163788178796544")</f>
        <v>https://twitter.com/marilia_gehrke/status/1275163788178796544</v>
      </c>
      <c r="AA302" s="81"/>
      <c r="AB302" s="81"/>
      <c r="AC302" s="89" t="s">
        <v>1094</v>
      </c>
      <c r="AD302" s="81"/>
      <c r="AE302" s="81" t="b">
        <v>0</v>
      </c>
      <c r="AF302" s="81">
        <v>17</v>
      </c>
      <c r="AG302" s="89" t="s">
        <v>1149</v>
      </c>
      <c r="AH302" s="81" t="b">
        <v>1</v>
      </c>
      <c r="AI302" s="81" t="s">
        <v>1155</v>
      </c>
      <c r="AJ302" s="81"/>
      <c r="AK302" s="89" t="s">
        <v>1161</v>
      </c>
      <c r="AL302" s="81" t="b">
        <v>0</v>
      </c>
      <c r="AM302" s="81">
        <v>2</v>
      </c>
      <c r="AN302" s="89" t="s">
        <v>1149</v>
      </c>
      <c r="AO302" s="81" t="s">
        <v>1165</v>
      </c>
      <c r="AP302" s="81" t="b">
        <v>0</v>
      </c>
      <c r="AQ302" s="89" t="s">
        <v>1094</v>
      </c>
      <c r="AR302" s="81" t="s">
        <v>325</v>
      </c>
      <c r="AS302" s="81">
        <v>0</v>
      </c>
      <c r="AT302" s="81">
        <v>0</v>
      </c>
      <c r="AU302" s="81"/>
      <c r="AV302" s="81"/>
      <c r="AW302" s="81"/>
      <c r="AX302" s="81"/>
      <c r="AY302" s="81"/>
      <c r="AZ302" s="81"/>
      <c r="BA302" s="81"/>
      <c r="BB302" s="81"/>
      <c r="BC302">
        <v>1</v>
      </c>
      <c r="BD302" s="80" t="str">
        <f>REPLACE(INDEX(GroupVertices[Group],MATCH(Edges[[#This Row],[Vertex 1]],GroupVertices[Vertex],0)),1,1,"")</f>
        <v>1</v>
      </c>
      <c r="BE302" s="80" t="str">
        <f>REPLACE(INDEX(GroupVertices[Group],MATCH(Edges[[#This Row],[Vertex 2]],GroupVertices[Vertex],0)),1,1,"")</f>
        <v>1</v>
      </c>
      <c r="BF302" s="48">
        <v>0</v>
      </c>
      <c r="BG302" s="49">
        <v>0</v>
      </c>
      <c r="BH302" s="48">
        <v>0</v>
      </c>
      <c r="BI302" s="49">
        <v>0</v>
      </c>
      <c r="BJ302" s="48">
        <v>0</v>
      </c>
      <c r="BK302" s="49">
        <v>0</v>
      </c>
      <c r="BL302" s="48">
        <v>5</v>
      </c>
      <c r="BM302" s="49">
        <v>100</v>
      </c>
      <c r="BN302" s="48">
        <v>5</v>
      </c>
    </row>
    <row r="303" spans="1:66" ht="15">
      <c r="A303" s="66" t="s">
        <v>473</v>
      </c>
      <c r="B303" s="66" t="s">
        <v>475</v>
      </c>
      <c r="C303" s="67" t="s">
        <v>3150</v>
      </c>
      <c r="D303" s="68">
        <v>10</v>
      </c>
      <c r="E303" s="69" t="s">
        <v>136</v>
      </c>
      <c r="F303" s="70">
        <v>10</v>
      </c>
      <c r="G303" s="67"/>
      <c r="H303" s="71"/>
      <c r="I303" s="72"/>
      <c r="J303" s="72"/>
      <c r="K303" s="34" t="s">
        <v>65</v>
      </c>
      <c r="L303" s="79">
        <v>303</v>
      </c>
      <c r="M303" s="79"/>
      <c r="N303" s="74"/>
      <c r="O303" s="81" t="s">
        <v>587</v>
      </c>
      <c r="P303" s="83">
        <v>44004.8621875</v>
      </c>
      <c r="Q303" s="81" t="s">
        <v>643</v>
      </c>
      <c r="R303" s="81"/>
      <c r="S303" s="81"/>
      <c r="T303" s="81" t="s">
        <v>707</v>
      </c>
      <c r="U303" s="81"/>
      <c r="V303" s="84" t="str">
        <f>HYPERLINK("http://pbs.twimg.com/profile_images/953436802110623744/NK6Q5dVg_normal.jpg")</f>
        <v>http://pbs.twimg.com/profile_images/953436802110623744/NK6Q5dVg_normal.jpg</v>
      </c>
      <c r="W303" s="83">
        <v>44004.8621875</v>
      </c>
      <c r="X303" s="87">
        <v>44004</v>
      </c>
      <c r="Y303" s="89" t="s">
        <v>863</v>
      </c>
      <c r="Z303" s="84" t="str">
        <f>HYPERLINK("https://twitter.com/jornalismodados/status/1275167060952322051")</f>
        <v>https://twitter.com/jornalismodados/status/1275167060952322051</v>
      </c>
      <c r="AA303" s="81"/>
      <c r="AB303" s="81"/>
      <c r="AC303" s="89" t="s">
        <v>1072</v>
      </c>
      <c r="AD303" s="81"/>
      <c r="AE303" s="81" t="b">
        <v>0</v>
      </c>
      <c r="AF303" s="81">
        <v>0</v>
      </c>
      <c r="AG303" s="89" t="s">
        <v>1149</v>
      </c>
      <c r="AH303" s="81" t="b">
        <v>0</v>
      </c>
      <c r="AI303" s="81" t="s">
        <v>1155</v>
      </c>
      <c r="AJ303" s="81"/>
      <c r="AK303" s="89" t="s">
        <v>1149</v>
      </c>
      <c r="AL303" s="81" t="b">
        <v>0</v>
      </c>
      <c r="AM303" s="81">
        <v>0</v>
      </c>
      <c r="AN303" s="89" t="s">
        <v>1149</v>
      </c>
      <c r="AO303" s="81" t="s">
        <v>1180</v>
      </c>
      <c r="AP303" s="81" t="b">
        <v>0</v>
      </c>
      <c r="AQ303" s="89" t="s">
        <v>1072</v>
      </c>
      <c r="AR303" s="81" t="s">
        <v>325</v>
      </c>
      <c r="AS303" s="81">
        <v>0</v>
      </c>
      <c r="AT303" s="81">
        <v>0</v>
      </c>
      <c r="AU303" s="81"/>
      <c r="AV303" s="81"/>
      <c r="AW303" s="81"/>
      <c r="AX303" s="81"/>
      <c r="AY303" s="81"/>
      <c r="AZ303" s="81"/>
      <c r="BA303" s="81"/>
      <c r="BB303" s="81"/>
      <c r="BC303">
        <v>7</v>
      </c>
      <c r="BD303" s="80" t="str">
        <f>REPLACE(INDEX(GroupVertices[Group],MATCH(Edges[[#This Row],[Vertex 1]],GroupVertices[Vertex],0)),1,1,"")</f>
        <v>1</v>
      </c>
      <c r="BE303" s="80" t="str">
        <f>REPLACE(INDEX(GroupVertices[Group],MATCH(Edges[[#This Row],[Vertex 2]],GroupVertices[Vertex],0)),1,1,"")</f>
        <v>1</v>
      </c>
      <c r="BF303" s="48"/>
      <c r="BG303" s="49"/>
      <c r="BH303" s="48"/>
      <c r="BI303" s="49"/>
      <c r="BJ303" s="48"/>
      <c r="BK303" s="49"/>
      <c r="BL303" s="48"/>
      <c r="BM303" s="49"/>
      <c r="BN303" s="48"/>
    </row>
    <row r="304" spans="1:66" ht="15">
      <c r="A304" s="66" t="s">
        <v>473</v>
      </c>
      <c r="B304" s="66" t="s">
        <v>475</v>
      </c>
      <c r="C304" s="67" t="s">
        <v>3150</v>
      </c>
      <c r="D304" s="68">
        <v>10</v>
      </c>
      <c r="E304" s="69" t="s">
        <v>136</v>
      </c>
      <c r="F304" s="70">
        <v>10</v>
      </c>
      <c r="G304" s="67"/>
      <c r="H304" s="71"/>
      <c r="I304" s="72"/>
      <c r="J304" s="72"/>
      <c r="K304" s="34" t="s">
        <v>65</v>
      </c>
      <c r="L304" s="79">
        <v>304</v>
      </c>
      <c r="M304" s="79"/>
      <c r="N304" s="74"/>
      <c r="O304" s="81" t="s">
        <v>587</v>
      </c>
      <c r="P304" s="83">
        <v>44004.862233796295</v>
      </c>
      <c r="Q304" s="81" t="s">
        <v>644</v>
      </c>
      <c r="R304" s="81"/>
      <c r="S304" s="81"/>
      <c r="T304" s="81" t="s">
        <v>707</v>
      </c>
      <c r="U304" s="81"/>
      <c r="V304" s="84" t="str">
        <f>HYPERLINK("http://pbs.twimg.com/profile_images/953436802110623744/NK6Q5dVg_normal.jpg")</f>
        <v>http://pbs.twimg.com/profile_images/953436802110623744/NK6Q5dVg_normal.jpg</v>
      </c>
      <c r="W304" s="83">
        <v>44004.862233796295</v>
      </c>
      <c r="X304" s="87">
        <v>44004</v>
      </c>
      <c r="Y304" s="89" t="s">
        <v>864</v>
      </c>
      <c r="Z304" s="84" t="str">
        <f>HYPERLINK("https://twitter.com/jornalismodados/status/1275167079294013446")</f>
        <v>https://twitter.com/jornalismodados/status/1275167079294013446</v>
      </c>
      <c r="AA304" s="81"/>
      <c r="AB304" s="81"/>
      <c r="AC304" s="89" t="s">
        <v>1073</v>
      </c>
      <c r="AD304" s="81"/>
      <c r="AE304" s="81" t="b">
        <v>0</v>
      </c>
      <c r="AF304" s="81">
        <v>0</v>
      </c>
      <c r="AG304" s="89" t="s">
        <v>1149</v>
      </c>
      <c r="AH304" s="81" t="b">
        <v>0</v>
      </c>
      <c r="AI304" s="81" t="s">
        <v>1155</v>
      </c>
      <c r="AJ304" s="81"/>
      <c r="AK304" s="89" t="s">
        <v>1149</v>
      </c>
      <c r="AL304" s="81" t="b">
        <v>0</v>
      </c>
      <c r="AM304" s="81">
        <v>0</v>
      </c>
      <c r="AN304" s="89" t="s">
        <v>1149</v>
      </c>
      <c r="AO304" s="81" t="s">
        <v>1180</v>
      </c>
      <c r="AP304" s="81" t="b">
        <v>0</v>
      </c>
      <c r="AQ304" s="89" t="s">
        <v>1073</v>
      </c>
      <c r="AR304" s="81" t="s">
        <v>325</v>
      </c>
      <c r="AS304" s="81">
        <v>0</v>
      </c>
      <c r="AT304" s="81">
        <v>0</v>
      </c>
      <c r="AU304" s="81"/>
      <c r="AV304" s="81"/>
      <c r="AW304" s="81"/>
      <c r="AX304" s="81"/>
      <c r="AY304" s="81"/>
      <c r="AZ304" s="81"/>
      <c r="BA304" s="81"/>
      <c r="BB304" s="81"/>
      <c r="BC304">
        <v>7</v>
      </c>
      <c r="BD304" s="80" t="str">
        <f>REPLACE(INDEX(GroupVertices[Group],MATCH(Edges[[#This Row],[Vertex 1]],GroupVertices[Vertex],0)),1,1,"")</f>
        <v>1</v>
      </c>
      <c r="BE304" s="80" t="str">
        <f>REPLACE(INDEX(GroupVertices[Group],MATCH(Edges[[#This Row],[Vertex 2]],GroupVertices[Vertex],0)),1,1,"")</f>
        <v>1</v>
      </c>
      <c r="BF304" s="48"/>
      <c r="BG304" s="49"/>
      <c r="BH304" s="48"/>
      <c r="BI304" s="49"/>
      <c r="BJ304" s="48"/>
      <c r="BK304" s="49"/>
      <c r="BL304" s="48"/>
      <c r="BM304" s="49"/>
      <c r="BN304" s="48"/>
    </row>
    <row r="305" spans="1:66" ht="15">
      <c r="A305" s="66" t="s">
        <v>473</v>
      </c>
      <c r="B305" s="66" t="s">
        <v>475</v>
      </c>
      <c r="C305" s="67" t="s">
        <v>3150</v>
      </c>
      <c r="D305" s="68">
        <v>10</v>
      </c>
      <c r="E305" s="69" t="s">
        <v>136</v>
      </c>
      <c r="F305" s="70">
        <v>10</v>
      </c>
      <c r="G305" s="67"/>
      <c r="H305" s="71"/>
      <c r="I305" s="72"/>
      <c r="J305" s="72"/>
      <c r="K305" s="34" t="s">
        <v>65</v>
      </c>
      <c r="L305" s="79">
        <v>305</v>
      </c>
      <c r="M305" s="79"/>
      <c r="N305" s="74"/>
      <c r="O305" s="81" t="s">
        <v>587</v>
      </c>
      <c r="P305" s="83">
        <v>44004.86231481482</v>
      </c>
      <c r="Q305" s="81" t="s">
        <v>660</v>
      </c>
      <c r="R305" s="84" t="str">
        <f>HYPERLINK("https://twitter.com/i/web/status/1275156603893878784")</f>
        <v>https://twitter.com/i/web/status/1275156603893878784</v>
      </c>
      <c r="S305" s="81" t="s">
        <v>676</v>
      </c>
      <c r="T305" s="81" t="s">
        <v>707</v>
      </c>
      <c r="U305" s="81"/>
      <c r="V305" s="84" t="str">
        <f>HYPERLINK("http://pbs.twimg.com/profile_images/953436802110623744/NK6Q5dVg_normal.jpg")</f>
        <v>http://pbs.twimg.com/profile_images/953436802110623744/NK6Q5dVg_normal.jpg</v>
      </c>
      <c r="W305" s="83">
        <v>44004.86231481482</v>
      </c>
      <c r="X305" s="87">
        <v>44004</v>
      </c>
      <c r="Y305" s="89" t="s">
        <v>882</v>
      </c>
      <c r="Z305" s="84" t="str">
        <f>HYPERLINK("https://twitter.com/jornalismodados/status/1275167106691203073")</f>
        <v>https://twitter.com/jornalismodados/status/1275167106691203073</v>
      </c>
      <c r="AA305" s="81"/>
      <c r="AB305" s="81"/>
      <c r="AC305" s="89" t="s">
        <v>1091</v>
      </c>
      <c r="AD305" s="81"/>
      <c r="AE305" s="81" t="b">
        <v>0</v>
      </c>
      <c r="AF305" s="81">
        <v>0</v>
      </c>
      <c r="AG305" s="89" t="s">
        <v>1149</v>
      </c>
      <c r="AH305" s="81" t="b">
        <v>0</v>
      </c>
      <c r="AI305" s="81" t="s">
        <v>1155</v>
      </c>
      <c r="AJ305" s="81"/>
      <c r="AK305" s="89" t="s">
        <v>1149</v>
      </c>
      <c r="AL305" s="81" t="b">
        <v>0</v>
      </c>
      <c r="AM305" s="81">
        <v>0</v>
      </c>
      <c r="AN305" s="89" t="s">
        <v>1149</v>
      </c>
      <c r="AO305" s="81" t="s">
        <v>1180</v>
      </c>
      <c r="AP305" s="81" t="b">
        <v>0</v>
      </c>
      <c r="AQ305" s="89" t="s">
        <v>1091</v>
      </c>
      <c r="AR305" s="81" t="s">
        <v>325</v>
      </c>
      <c r="AS305" s="81">
        <v>0</v>
      </c>
      <c r="AT305" s="81">
        <v>0</v>
      </c>
      <c r="AU305" s="81"/>
      <c r="AV305" s="81"/>
      <c r="AW305" s="81"/>
      <c r="AX305" s="81"/>
      <c r="AY305" s="81"/>
      <c r="AZ305" s="81"/>
      <c r="BA305" s="81"/>
      <c r="BB305" s="81"/>
      <c r="BC305">
        <v>7</v>
      </c>
      <c r="BD305" s="80" t="str">
        <f>REPLACE(INDEX(GroupVertices[Group],MATCH(Edges[[#This Row],[Vertex 1]],GroupVertices[Vertex],0)),1,1,"")</f>
        <v>1</v>
      </c>
      <c r="BE305" s="80" t="str">
        <f>REPLACE(INDEX(GroupVertices[Group],MATCH(Edges[[#This Row],[Vertex 2]],GroupVertices[Vertex],0)),1,1,"")</f>
        <v>1</v>
      </c>
      <c r="BF305" s="48"/>
      <c r="BG305" s="49"/>
      <c r="BH305" s="48"/>
      <c r="BI305" s="49"/>
      <c r="BJ305" s="48"/>
      <c r="BK305" s="49"/>
      <c r="BL305" s="48"/>
      <c r="BM305" s="49"/>
      <c r="BN305" s="48"/>
    </row>
    <row r="306" spans="1:66" ht="15">
      <c r="A306" s="66" t="s">
        <v>473</v>
      </c>
      <c r="B306" s="66" t="s">
        <v>475</v>
      </c>
      <c r="C306" s="67" t="s">
        <v>3150</v>
      </c>
      <c r="D306" s="68">
        <v>10</v>
      </c>
      <c r="E306" s="69" t="s">
        <v>136</v>
      </c>
      <c r="F306" s="70">
        <v>10</v>
      </c>
      <c r="G306" s="67"/>
      <c r="H306" s="71"/>
      <c r="I306" s="72"/>
      <c r="J306" s="72"/>
      <c r="K306" s="34" t="s">
        <v>65</v>
      </c>
      <c r="L306" s="79">
        <v>306</v>
      </c>
      <c r="M306" s="79"/>
      <c r="N306" s="74"/>
      <c r="O306" s="81" t="s">
        <v>587</v>
      </c>
      <c r="P306" s="83">
        <v>44004.90388888889</v>
      </c>
      <c r="Q306" s="81" t="s">
        <v>652</v>
      </c>
      <c r="R306" s="81"/>
      <c r="S306" s="81"/>
      <c r="T306" s="81" t="s">
        <v>707</v>
      </c>
      <c r="U306" s="81"/>
      <c r="V306" s="84" t="str">
        <f>HYPERLINK("http://pbs.twimg.com/profile_images/953436802110623744/NK6Q5dVg_normal.jpg")</f>
        <v>http://pbs.twimg.com/profile_images/953436802110623744/NK6Q5dVg_normal.jpg</v>
      </c>
      <c r="W306" s="83">
        <v>44004.90388888889</v>
      </c>
      <c r="X306" s="87">
        <v>44004</v>
      </c>
      <c r="Y306" s="89" t="s">
        <v>874</v>
      </c>
      <c r="Z306" s="84" t="str">
        <f>HYPERLINK("https://twitter.com/jornalismodados/status/1275182174011097088")</f>
        <v>https://twitter.com/jornalismodados/status/1275182174011097088</v>
      </c>
      <c r="AA306" s="81"/>
      <c r="AB306" s="81"/>
      <c r="AC306" s="89" t="s">
        <v>1083</v>
      </c>
      <c r="AD306" s="81"/>
      <c r="AE306" s="81" t="b">
        <v>0</v>
      </c>
      <c r="AF306" s="81">
        <v>0</v>
      </c>
      <c r="AG306" s="89" t="s">
        <v>1149</v>
      </c>
      <c r="AH306" s="81" t="b">
        <v>0</v>
      </c>
      <c r="AI306" s="81" t="s">
        <v>1155</v>
      </c>
      <c r="AJ306" s="81"/>
      <c r="AK306" s="89" t="s">
        <v>1149</v>
      </c>
      <c r="AL306" s="81" t="b">
        <v>0</v>
      </c>
      <c r="AM306" s="81">
        <v>1</v>
      </c>
      <c r="AN306" s="89" t="s">
        <v>1149</v>
      </c>
      <c r="AO306" s="81" t="s">
        <v>1180</v>
      </c>
      <c r="AP306" s="81" t="b">
        <v>0</v>
      </c>
      <c r="AQ306" s="89" t="s">
        <v>1083</v>
      </c>
      <c r="AR306" s="81" t="s">
        <v>325</v>
      </c>
      <c r="AS306" s="81">
        <v>0</v>
      </c>
      <c r="AT306" s="81">
        <v>0</v>
      </c>
      <c r="AU306" s="81"/>
      <c r="AV306" s="81"/>
      <c r="AW306" s="81"/>
      <c r="AX306" s="81"/>
      <c r="AY306" s="81"/>
      <c r="AZ306" s="81"/>
      <c r="BA306" s="81"/>
      <c r="BB306" s="81"/>
      <c r="BC306">
        <v>7</v>
      </c>
      <c r="BD306" s="80" t="str">
        <f>REPLACE(INDEX(GroupVertices[Group],MATCH(Edges[[#This Row],[Vertex 1]],GroupVertices[Vertex],0)),1,1,"")</f>
        <v>1</v>
      </c>
      <c r="BE306" s="80" t="str">
        <f>REPLACE(INDEX(GroupVertices[Group],MATCH(Edges[[#This Row],[Vertex 2]],GroupVertices[Vertex],0)),1,1,"")</f>
        <v>1</v>
      </c>
      <c r="BF306" s="48"/>
      <c r="BG306" s="49"/>
      <c r="BH306" s="48"/>
      <c r="BI306" s="49"/>
      <c r="BJ306" s="48"/>
      <c r="BK306" s="49"/>
      <c r="BL306" s="48"/>
      <c r="BM306" s="49"/>
      <c r="BN306" s="48"/>
    </row>
    <row r="307" spans="1:66" ht="15">
      <c r="A307" s="66" t="s">
        <v>473</v>
      </c>
      <c r="B307" s="66" t="s">
        <v>475</v>
      </c>
      <c r="C307" s="67" t="s">
        <v>3150</v>
      </c>
      <c r="D307" s="68">
        <v>10</v>
      </c>
      <c r="E307" s="69" t="s">
        <v>136</v>
      </c>
      <c r="F307" s="70">
        <v>10</v>
      </c>
      <c r="G307" s="67"/>
      <c r="H307" s="71"/>
      <c r="I307" s="72"/>
      <c r="J307" s="72"/>
      <c r="K307" s="34" t="s">
        <v>65</v>
      </c>
      <c r="L307" s="79">
        <v>307</v>
      </c>
      <c r="M307" s="79"/>
      <c r="N307" s="74"/>
      <c r="O307" s="81" t="s">
        <v>587</v>
      </c>
      <c r="P307" s="83">
        <v>44004.94552083333</v>
      </c>
      <c r="Q307" s="81" t="s">
        <v>654</v>
      </c>
      <c r="R307" s="81"/>
      <c r="S307" s="81"/>
      <c r="T307" s="81" t="s">
        <v>707</v>
      </c>
      <c r="U307" s="81"/>
      <c r="V307" s="84" t="str">
        <f>HYPERLINK("http://pbs.twimg.com/profile_images/953436802110623744/NK6Q5dVg_normal.jpg")</f>
        <v>http://pbs.twimg.com/profile_images/953436802110623744/NK6Q5dVg_normal.jpg</v>
      </c>
      <c r="W307" s="83">
        <v>44004.94552083333</v>
      </c>
      <c r="X307" s="87">
        <v>44004</v>
      </c>
      <c r="Y307" s="89" t="s">
        <v>876</v>
      </c>
      <c r="Z307" s="84" t="str">
        <f>HYPERLINK("https://twitter.com/jornalismodados/status/1275197258993225728")</f>
        <v>https://twitter.com/jornalismodados/status/1275197258993225728</v>
      </c>
      <c r="AA307" s="81"/>
      <c r="AB307" s="81"/>
      <c r="AC307" s="89" t="s">
        <v>1085</v>
      </c>
      <c r="AD307" s="81"/>
      <c r="AE307" s="81" t="b">
        <v>0</v>
      </c>
      <c r="AF307" s="81">
        <v>0</v>
      </c>
      <c r="AG307" s="89" t="s">
        <v>1149</v>
      </c>
      <c r="AH307" s="81" t="b">
        <v>0</v>
      </c>
      <c r="AI307" s="81" t="s">
        <v>1155</v>
      </c>
      <c r="AJ307" s="81"/>
      <c r="AK307" s="89" t="s">
        <v>1149</v>
      </c>
      <c r="AL307" s="81" t="b">
        <v>0</v>
      </c>
      <c r="AM307" s="81">
        <v>0</v>
      </c>
      <c r="AN307" s="89" t="s">
        <v>1149</v>
      </c>
      <c r="AO307" s="81" t="s">
        <v>1180</v>
      </c>
      <c r="AP307" s="81" t="b">
        <v>0</v>
      </c>
      <c r="AQ307" s="89" t="s">
        <v>1085</v>
      </c>
      <c r="AR307" s="81" t="s">
        <v>325</v>
      </c>
      <c r="AS307" s="81">
        <v>0</v>
      </c>
      <c r="AT307" s="81">
        <v>0</v>
      </c>
      <c r="AU307" s="81"/>
      <c r="AV307" s="81"/>
      <c r="AW307" s="81"/>
      <c r="AX307" s="81"/>
      <c r="AY307" s="81"/>
      <c r="AZ307" s="81"/>
      <c r="BA307" s="81"/>
      <c r="BB307" s="81"/>
      <c r="BC307">
        <v>7</v>
      </c>
      <c r="BD307" s="80" t="str">
        <f>REPLACE(INDEX(GroupVertices[Group],MATCH(Edges[[#This Row],[Vertex 1]],GroupVertices[Vertex],0)),1,1,"")</f>
        <v>1</v>
      </c>
      <c r="BE307" s="80" t="str">
        <f>REPLACE(INDEX(GroupVertices[Group],MATCH(Edges[[#This Row],[Vertex 2]],GroupVertices[Vertex],0)),1,1,"")</f>
        <v>1</v>
      </c>
      <c r="BF307" s="48"/>
      <c r="BG307" s="49"/>
      <c r="BH307" s="48"/>
      <c r="BI307" s="49"/>
      <c r="BJ307" s="48"/>
      <c r="BK307" s="49"/>
      <c r="BL307" s="48"/>
      <c r="BM307" s="49"/>
      <c r="BN307" s="48"/>
    </row>
    <row r="308" spans="1:66" ht="15">
      <c r="A308" s="66" t="s">
        <v>473</v>
      </c>
      <c r="B308" s="66" t="s">
        <v>475</v>
      </c>
      <c r="C308" s="67" t="s">
        <v>3150</v>
      </c>
      <c r="D308" s="68">
        <v>10</v>
      </c>
      <c r="E308" s="69" t="s">
        <v>136</v>
      </c>
      <c r="F308" s="70">
        <v>10</v>
      </c>
      <c r="G308" s="67"/>
      <c r="H308" s="71"/>
      <c r="I308" s="72"/>
      <c r="J308" s="72"/>
      <c r="K308" s="34" t="s">
        <v>65</v>
      </c>
      <c r="L308" s="79">
        <v>308</v>
      </c>
      <c r="M308" s="79"/>
      <c r="N308" s="74"/>
      <c r="O308" s="81" t="s">
        <v>587</v>
      </c>
      <c r="P308" s="83">
        <v>44005.07063657408</v>
      </c>
      <c r="Q308" s="81" t="s">
        <v>659</v>
      </c>
      <c r="R308" s="81"/>
      <c r="S308" s="81"/>
      <c r="T308" s="81" t="s">
        <v>707</v>
      </c>
      <c r="U308" s="81"/>
      <c r="V308" s="84" t="str">
        <f>HYPERLINK("http://pbs.twimg.com/profile_images/953436802110623744/NK6Q5dVg_normal.jpg")</f>
        <v>http://pbs.twimg.com/profile_images/953436802110623744/NK6Q5dVg_normal.jpg</v>
      </c>
      <c r="W308" s="83">
        <v>44005.07063657408</v>
      </c>
      <c r="X308" s="87">
        <v>44005</v>
      </c>
      <c r="Y308" s="89" t="s">
        <v>881</v>
      </c>
      <c r="Z308" s="84" t="str">
        <f>HYPERLINK("https://twitter.com/jornalismodados/status/1275242601734684674")</f>
        <v>https://twitter.com/jornalismodados/status/1275242601734684674</v>
      </c>
      <c r="AA308" s="81"/>
      <c r="AB308" s="81"/>
      <c r="AC308" s="89" t="s">
        <v>1090</v>
      </c>
      <c r="AD308" s="81"/>
      <c r="AE308" s="81" t="b">
        <v>0</v>
      </c>
      <c r="AF308" s="81">
        <v>0</v>
      </c>
      <c r="AG308" s="89" t="s">
        <v>1149</v>
      </c>
      <c r="AH308" s="81" t="b">
        <v>0</v>
      </c>
      <c r="AI308" s="81" t="s">
        <v>1155</v>
      </c>
      <c r="AJ308" s="81"/>
      <c r="AK308" s="89" t="s">
        <v>1149</v>
      </c>
      <c r="AL308" s="81" t="b">
        <v>0</v>
      </c>
      <c r="AM308" s="81">
        <v>0</v>
      </c>
      <c r="AN308" s="89" t="s">
        <v>1149</v>
      </c>
      <c r="AO308" s="81" t="s">
        <v>1180</v>
      </c>
      <c r="AP308" s="81" t="b">
        <v>0</v>
      </c>
      <c r="AQ308" s="89" t="s">
        <v>1090</v>
      </c>
      <c r="AR308" s="81" t="s">
        <v>325</v>
      </c>
      <c r="AS308" s="81">
        <v>0</v>
      </c>
      <c r="AT308" s="81">
        <v>0</v>
      </c>
      <c r="AU308" s="81"/>
      <c r="AV308" s="81"/>
      <c r="AW308" s="81"/>
      <c r="AX308" s="81"/>
      <c r="AY308" s="81"/>
      <c r="AZ308" s="81"/>
      <c r="BA308" s="81"/>
      <c r="BB308" s="81"/>
      <c r="BC308">
        <v>7</v>
      </c>
      <c r="BD308" s="80" t="str">
        <f>REPLACE(INDEX(GroupVertices[Group],MATCH(Edges[[#This Row],[Vertex 1]],GroupVertices[Vertex],0)),1,1,"")</f>
        <v>1</v>
      </c>
      <c r="BE308" s="80" t="str">
        <f>REPLACE(INDEX(GroupVertices[Group],MATCH(Edges[[#This Row],[Vertex 2]],GroupVertices[Vertex],0)),1,1,"")</f>
        <v>1</v>
      </c>
      <c r="BF308" s="48"/>
      <c r="BG308" s="49"/>
      <c r="BH308" s="48"/>
      <c r="BI308" s="49"/>
      <c r="BJ308" s="48"/>
      <c r="BK308" s="49"/>
      <c r="BL308" s="48"/>
      <c r="BM308" s="49"/>
      <c r="BN308" s="48"/>
    </row>
    <row r="309" spans="1:66" ht="15">
      <c r="A309" s="66" t="s">
        <v>473</v>
      </c>
      <c r="B309" s="66" t="s">
        <v>475</v>
      </c>
      <c r="C309" s="67" t="s">
        <v>3150</v>
      </c>
      <c r="D309" s="68">
        <v>10</v>
      </c>
      <c r="E309" s="69" t="s">
        <v>136</v>
      </c>
      <c r="F309" s="70">
        <v>10</v>
      </c>
      <c r="G309" s="67"/>
      <c r="H309" s="71"/>
      <c r="I309" s="72"/>
      <c r="J309" s="72"/>
      <c r="K309" s="34" t="s">
        <v>65</v>
      </c>
      <c r="L309" s="79">
        <v>309</v>
      </c>
      <c r="M309" s="79"/>
      <c r="N309" s="74"/>
      <c r="O309" s="81" t="s">
        <v>587</v>
      </c>
      <c r="P309" s="83">
        <v>44005.1121875</v>
      </c>
      <c r="Q309" s="81" t="s">
        <v>662</v>
      </c>
      <c r="R309" s="81"/>
      <c r="S309" s="81"/>
      <c r="T309" s="81" t="s">
        <v>707</v>
      </c>
      <c r="U309" s="81"/>
      <c r="V309" s="84" t="str">
        <f>HYPERLINK("http://pbs.twimg.com/profile_images/953436802110623744/NK6Q5dVg_normal.jpg")</f>
        <v>http://pbs.twimg.com/profile_images/953436802110623744/NK6Q5dVg_normal.jpg</v>
      </c>
      <c r="W309" s="83">
        <v>44005.1121875</v>
      </c>
      <c r="X309" s="87">
        <v>44005</v>
      </c>
      <c r="Y309" s="89" t="s">
        <v>841</v>
      </c>
      <c r="Z309" s="84" t="str">
        <f>HYPERLINK("https://twitter.com/jornalismodados/status/1275257656954011650")</f>
        <v>https://twitter.com/jornalismodados/status/1275257656954011650</v>
      </c>
      <c r="AA309" s="81"/>
      <c r="AB309" s="81"/>
      <c r="AC309" s="89" t="s">
        <v>1093</v>
      </c>
      <c r="AD309" s="81"/>
      <c r="AE309" s="81" t="b">
        <v>0</v>
      </c>
      <c r="AF309" s="81">
        <v>0</v>
      </c>
      <c r="AG309" s="89" t="s">
        <v>1149</v>
      </c>
      <c r="AH309" s="81" t="b">
        <v>0</v>
      </c>
      <c r="AI309" s="81" t="s">
        <v>1155</v>
      </c>
      <c r="AJ309" s="81"/>
      <c r="AK309" s="89" t="s">
        <v>1149</v>
      </c>
      <c r="AL309" s="81" t="b">
        <v>0</v>
      </c>
      <c r="AM309" s="81">
        <v>0</v>
      </c>
      <c r="AN309" s="89" t="s">
        <v>1149</v>
      </c>
      <c r="AO309" s="81" t="s">
        <v>1180</v>
      </c>
      <c r="AP309" s="81" t="b">
        <v>0</v>
      </c>
      <c r="AQ309" s="89" t="s">
        <v>1093</v>
      </c>
      <c r="AR309" s="81" t="s">
        <v>325</v>
      </c>
      <c r="AS309" s="81">
        <v>0</v>
      </c>
      <c r="AT309" s="81">
        <v>0</v>
      </c>
      <c r="AU309" s="81"/>
      <c r="AV309" s="81"/>
      <c r="AW309" s="81"/>
      <c r="AX309" s="81"/>
      <c r="AY309" s="81"/>
      <c r="AZ309" s="81"/>
      <c r="BA309" s="81"/>
      <c r="BB309" s="81"/>
      <c r="BC309">
        <v>7</v>
      </c>
      <c r="BD309" s="80" t="str">
        <f>REPLACE(INDEX(GroupVertices[Group],MATCH(Edges[[#This Row],[Vertex 1]],GroupVertices[Vertex],0)),1,1,"")</f>
        <v>1</v>
      </c>
      <c r="BE309" s="80" t="str">
        <f>REPLACE(INDEX(GroupVertices[Group],MATCH(Edges[[#This Row],[Vertex 2]],GroupVertices[Vertex],0)),1,1,"")</f>
        <v>1</v>
      </c>
      <c r="BF309" s="48"/>
      <c r="BG309" s="49"/>
      <c r="BH309" s="48"/>
      <c r="BI309" s="49"/>
      <c r="BJ309" s="48"/>
      <c r="BK309" s="49"/>
      <c r="BL309" s="48"/>
      <c r="BM309" s="49"/>
      <c r="BN309" s="48"/>
    </row>
    <row r="310" spans="1:66" ht="15">
      <c r="A310" s="66" t="s">
        <v>473</v>
      </c>
      <c r="B310" s="66" t="s">
        <v>568</v>
      </c>
      <c r="C310" s="67" t="s">
        <v>3150</v>
      </c>
      <c r="D310" s="68">
        <v>10</v>
      </c>
      <c r="E310" s="69" t="s">
        <v>136</v>
      </c>
      <c r="F310" s="70">
        <v>10</v>
      </c>
      <c r="G310" s="67"/>
      <c r="H310" s="71"/>
      <c r="I310" s="72"/>
      <c r="J310" s="72"/>
      <c r="K310" s="34" t="s">
        <v>65</v>
      </c>
      <c r="L310" s="79">
        <v>310</v>
      </c>
      <c r="M310" s="79"/>
      <c r="N310" s="74"/>
      <c r="O310" s="81" t="s">
        <v>587</v>
      </c>
      <c r="P310" s="83">
        <v>44004.8621875</v>
      </c>
      <c r="Q310" s="81" t="s">
        <v>643</v>
      </c>
      <c r="R310" s="81"/>
      <c r="S310" s="81"/>
      <c r="T310" s="81" t="s">
        <v>707</v>
      </c>
      <c r="U310" s="81"/>
      <c r="V310" s="84" t="str">
        <f>HYPERLINK("http://pbs.twimg.com/profile_images/953436802110623744/NK6Q5dVg_normal.jpg")</f>
        <v>http://pbs.twimg.com/profile_images/953436802110623744/NK6Q5dVg_normal.jpg</v>
      </c>
      <c r="W310" s="83">
        <v>44004.8621875</v>
      </c>
      <c r="X310" s="87">
        <v>44004</v>
      </c>
      <c r="Y310" s="89" t="s">
        <v>863</v>
      </c>
      <c r="Z310" s="84" t="str">
        <f>HYPERLINK("https://twitter.com/jornalismodados/status/1275167060952322051")</f>
        <v>https://twitter.com/jornalismodados/status/1275167060952322051</v>
      </c>
      <c r="AA310" s="81"/>
      <c r="AB310" s="81"/>
      <c r="AC310" s="89" t="s">
        <v>1072</v>
      </c>
      <c r="AD310" s="81"/>
      <c r="AE310" s="81" t="b">
        <v>0</v>
      </c>
      <c r="AF310" s="81">
        <v>0</v>
      </c>
      <c r="AG310" s="89" t="s">
        <v>1149</v>
      </c>
      <c r="AH310" s="81" t="b">
        <v>0</v>
      </c>
      <c r="AI310" s="81" t="s">
        <v>1155</v>
      </c>
      <c r="AJ310" s="81"/>
      <c r="AK310" s="89" t="s">
        <v>1149</v>
      </c>
      <c r="AL310" s="81" t="b">
        <v>0</v>
      </c>
      <c r="AM310" s="81">
        <v>0</v>
      </c>
      <c r="AN310" s="89" t="s">
        <v>1149</v>
      </c>
      <c r="AO310" s="81" t="s">
        <v>1180</v>
      </c>
      <c r="AP310" s="81" t="b">
        <v>0</v>
      </c>
      <c r="AQ310" s="89" t="s">
        <v>1072</v>
      </c>
      <c r="AR310" s="81" t="s">
        <v>325</v>
      </c>
      <c r="AS310" s="81">
        <v>0</v>
      </c>
      <c r="AT310" s="81">
        <v>0</v>
      </c>
      <c r="AU310" s="81"/>
      <c r="AV310" s="81"/>
      <c r="AW310" s="81"/>
      <c r="AX310" s="81"/>
      <c r="AY310" s="81"/>
      <c r="AZ310" s="81"/>
      <c r="BA310" s="81"/>
      <c r="BB310" s="81"/>
      <c r="BC310">
        <v>7</v>
      </c>
      <c r="BD310" s="80" t="str">
        <f>REPLACE(INDEX(GroupVertices[Group],MATCH(Edges[[#This Row],[Vertex 1]],GroupVertices[Vertex],0)),1,1,"")</f>
        <v>1</v>
      </c>
      <c r="BE310" s="80" t="str">
        <f>REPLACE(INDEX(GroupVertices[Group],MATCH(Edges[[#This Row],[Vertex 2]],GroupVertices[Vertex],0)),1,1,"")</f>
        <v>1</v>
      </c>
      <c r="BF310" s="48"/>
      <c r="BG310" s="49"/>
      <c r="BH310" s="48"/>
      <c r="BI310" s="49"/>
      <c r="BJ310" s="48"/>
      <c r="BK310" s="49"/>
      <c r="BL310" s="48"/>
      <c r="BM310" s="49"/>
      <c r="BN310" s="48"/>
    </row>
    <row r="311" spans="1:66" ht="15">
      <c r="A311" s="66" t="s">
        <v>473</v>
      </c>
      <c r="B311" s="66" t="s">
        <v>568</v>
      </c>
      <c r="C311" s="67" t="s">
        <v>3150</v>
      </c>
      <c r="D311" s="68">
        <v>10</v>
      </c>
      <c r="E311" s="69" t="s">
        <v>136</v>
      </c>
      <c r="F311" s="70">
        <v>10</v>
      </c>
      <c r="G311" s="67"/>
      <c r="H311" s="71"/>
      <c r="I311" s="72"/>
      <c r="J311" s="72"/>
      <c r="K311" s="34" t="s">
        <v>65</v>
      </c>
      <c r="L311" s="79">
        <v>311</v>
      </c>
      <c r="M311" s="79"/>
      <c r="N311" s="74"/>
      <c r="O311" s="81" t="s">
        <v>587</v>
      </c>
      <c r="P311" s="83">
        <v>44004.862233796295</v>
      </c>
      <c r="Q311" s="81" t="s">
        <v>644</v>
      </c>
      <c r="R311" s="81"/>
      <c r="S311" s="81"/>
      <c r="T311" s="81" t="s">
        <v>707</v>
      </c>
      <c r="U311" s="81"/>
      <c r="V311" s="84" t="str">
        <f>HYPERLINK("http://pbs.twimg.com/profile_images/953436802110623744/NK6Q5dVg_normal.jpg")</f>
        <v>http://pbs.twimg.com/profile_images/953436802110623744/NK6Q5dVg_normal.jpg</v>
      </c>
      <c r="W311" s="83">
        <v>44004.862233796295</v>
      </c>
      <c r="X311" s="87">
        <v>44004</v>
      </c>
      <c r="Y311" s="89" t="s">
        <v>864</v>
      </c>
      <c r="Z311" s="84" t="str">
        <f>HYPERLINK("https://twitter.com/jornalismodados/status/1275167079294013446")</f>
        <v>https://twitter.com/jornalismodados/status/1275167079294013446</v>
      </c>
      <c r="AA311" s="81"/>
      <c r="AB311" s="81"/>
      <c r="AC311" s="89" t="s">
        <v>1073</v>
      </c>
      <c r="AD311" s="81"/>
      <c r="AE311" s="81" t="b">
        <v>0</v>
      </c>
      <c r="AF311" s="81">
        <v>0</v>
      </c>
      <c r="AG311" s="89" t="s">
        <v>1149</v>
      </c>
      <c r="AH311" s="81" t="b">
        <v>0</v>
      </c>
      <c r="AI311" s="81" t="s">
        <v>1155</v>
      </c>
      <c r="AJ311" s="81"/>
      <c r="AK311" s="89" t="s">
        <v>1149</v>
      </c>
      <c r="AL311" s="81" t="b">
        <v>0</v>
      </c>
      <c r="AM311" s="81">
        <v>0</v>
      </c>
      <c r="AN311" s="89" t="s">
        <v>1149</v>
      </c>
      <c r="AO311" s="81" t="s">
        <v>1180</v>
      </c>
      <c r="AP311" s="81" t="b">
        <v>0</v>
      </c>
      <c r="AQ311" s="89" t="s">
        <v>1073</v>
      </c>
      <c r="AR311" s="81" t="s">
        <v>325</v>
      </c>
      <c r="AS311" s="81">
        <v>0</v>
      </c>
      <c r="AT311" s="81">
        <v>0</v>
      </c>
      <c r="AU311" s="81"/>
      <c r="AV311" s="81"/>
      <c r="AW311" s="81"/>
      <c r="AX311" s="81"/>
      <c r="AY311" s="81"/>
      <c r="AZ311" s="81"/>
      <c r="BA311" s="81"/>
      <c r="BB311" s="81"/>
      <c r="BC311">
        <v>7</v>
      </c>
      <c r="BD311" s="80" t="str">
        <f>REPLACE(INDEX(GroupVertices[Group],MATCH(Edges[[#This Row],[Vertex 1]],GroupVertices[Vertex],0)),1,1,"")</f>
        <v>1</v>
      </c>
      <c r="BE311" s="80" t="str">
        <f>REPLACE(INDEX(GroupVertices[Group],MATCH(Edges[[#This Row],[Vertex 2]],GroupVertices[Vertex],0)),1,1,"")</f>
        <v>1</v>
      </c>
      <c r="BF311" s="48"/>
      <c r="BG311" s="49"/>
      <c r="BH311" s="48"/>
      <c r="BI311" s="49"/>
      <c r="BJ311" s="48"/>
      <c r="BK311" s="49"/>
      <c r="BL311" s="48"/>
      <c r="BM311" s="49"/>
      <c r="BN311" s="48"/>
    </row>
    <row r="312" spans="1:66" ht="15">
      <c r="A312" s="66" t="s">
        <v>473</v>
      </c>
      <c r="B312" s="66" t="s">
        <v>568</v>
      </c>
      <c r="C312" s="67" t="s">
        <v>3150</v>
      </c>
      <c r="D312" s="68">
        <v>10</v>
      </c>
      <c r="E312" s="69" t="s">
        <v>136</v>
      </c>
      <c r="F312" s="70">
        <v>10</v>
      </c>
      <c r="G312" s="67"/>
      <c r="H312" s="71"/>
      <c r="I312" s="72"/>
      <c r="J312" s="72"/>
      <c r="K312" s="34" t="s">
        <v>65</v>
      </c>
      <c r="L312" s="79">
        <v>312</v>
      </c>
      <c r="M312" s="79"/>
      <c r="N312" s="74"/>
      <c r="O312" s="81" t="s">
        <v>587</v>
      </c>
      <c r="P312" s="83">
        <v>44004.86231481482</v>
      </c>
      <c r="Q312" s="81" t="s">
        <v>660</v>
      </c>
      <c r="R312" s="84" t="str">
        <f>HYPERLINK("https://twitter.com/i/web/status/1275156603893878784")</f>
        <v>https://twitter.com/i/web/status/1275156603893878784</v>
      </c>
      <c r="S312" s="81" t="s">
        <v>676</v>
      </c>
      <c r="T312" s="81" t="s">
        <v>707</v>
      </c>
      <c r="U312" s="81"/>
      <c r="V312" s="84" t="str">
        <f>HYPERLINK("http://pbs.twimg.com/profile_images/953436802110623744/NK6Q5dVg_normal.jpg")</f>
        <v>http://pbs.twimg.com/profile_images/953436802110623744/NK6Q5dVg_normal.jpg</v>
      </c>
      <c r="W312" s="83">
        <v>44004.86231481482</v>
      </c>
      <c r="X312" s="87">
        <v>44004</v>
      </c>
      <c r="Y312" s="89" t="s">
        <v>882</v>
      </c>
      <c r="Z312" s="84" t="str">
        <f>HYPERLINK("https://twitter.com/jornalismodados/status/1275167106691203073")</f>
        <v>https://twitter.com/jornalismodados/status/1275167106691203073</v>
      </c>
      <c r="AA312" s="81"/>
      <c r="AB312" s="81"/>
      <c r="AC312" s="89" t="s">
        <v>1091</v>
      </c>
      <c r="AD312" s="81"/>
      <c r="AE312" s="81" t="b">
        <v>0</v>
      </c>
      <c r="AF312" s="81">
        <v>0</v>
      </c>
      <c r="AG312" s="89" t="s">
        <v>1149</v>
      </c>
      <c r="AH312" s="81" t="b">
        <v>0</v>
      </c>
      <c r="AI312" s="81" t="s">
        <v>1155</v>
      </c>
      <c r="AJ312" s="81"/>
      <c r="AK312" s="89" t="s">
        <v>1149</v>
      </c>
      <c r="AL312" s="81" t="b">
        <v>0</v>
      </c>
      <c r="AM312" s="81">
        <v>0</v>
      </c>
      <c r="AN312" s="89" t="s">
        <v>1149</v>
      </c>
      <c r="AO312" s="81" t="s">
        <v>1180</v>
      </c>
      <c r="AP312" s="81" t="b">
        <v>0</v>
      </c>
      <c r="AQ312" s="89" t="s">
        <v>1091</v>
      </c>
      <c r="AR312" s="81" t="s">
        <v>325</v>
      </c>
      <c r="AS312" s="81">
        <v>0</v>
      </c>
      <c r="AT312" s="81">
        <v>0</v>
      </c>
      <c r="AU312" s="81"/>
      <c r="AV312" s="81"/>
      <c r="AW312" s="81"/>
      <c r="AX312" s="81"/>
      <c r="AY312" s="81"/>
      <c r="AZ312" s="81"/>
      <c r="BA312" s="81"/>
      <c r="BB312" s="81"/>
      <c r="BC312">
        <v>7</v>
      </c>
      <c r="BD312" s="80" t="str">
        <f>REPLACE(INDEX(GroupVertices[Group],MATCH(Edges[[#This Row],[Vertex 1]],GroupVertices[Vertex],0)),1,1,"")</f>
        <v>1</v>
      </c>
      <c r="BE312" s="80" t="str">
        <f>REPLACE(INDEX(GroupVertices[Group],MATCH(Edges[[#This Row],[Vertex 2]],GroupVertices[Vertex],0)),1,1,"")</f>
        <v>1</v>
      </c>
      <c r="BF312" s="48"/>
      <c r="BG312" s="49"/>
      <c r="BH312" s="48"/>
      <c r="BI312" s="49"/>
      <c r="BJ312" s="48"/>
      <c r="BK312" s="49"/>
      <c r="BL312" s="48"/>
      <c r="BM312" s="49"/>
      <c r="BN312" s="48"/>
    </row>
    <row r="313" spans="1:66" ht="15">
      <c r="A313" s="66" t="s">
        <v>473</v>
      </c>
      <c r="B313" s="66" t="s">
        <v>568</v>
      </c>
      <c r="C313" s="67" t="s">
        <v>3150</v>
      </c>
      <c r="D313" s="68">
        <v>10</v>
      </c>
      <c r="E313" s="69" t="s">
        <v>136</v>
      </c>
      <c r="F313" s="70">
        <v>10</v>
      </c>
      <c r="G313" s="67"/>
      <c r="H313" s="71"/>
      <c r="I313" s="72"/>
      <c r="J313" s="72"/>
      <c r="K313" s="34" t="s">
        <v>65</v>
      </c>
      <c r="L313" s="79">
        <v>313</v>
      </c>
      <c r="M313" s="79"/>
      <c r="N313" s="74"/>
      <c r="O313" s="81" t="s">
        <v>587</v>
      </c>
      <c r="P313" s="83">
        <v>44004.90388888889</v>
      </c>
      <c r="Q313" s="81" t="s">
        <v>652</v>
      </c>
      <c r="R313" s="81"/>
      <c r="S313" s="81"/>
      <c r="T313" s="81" t="s">
        <v>707</v>
      </c>
      <c r="U313" s="81"/>
      <c r="V313" s="84" t="str">
        <f>HYPERLINK("http://pbs.twimg.com/profile_images/953436802110623744/NK6Q5dVg_normal.jpg")</f>
        <v>http://pbs.twimg.com/profile_images/953436802110623744/NK6Q5dVg_normal.jpg</v>
      </c>
      <c r="W313" s="83">
        <v>44004.90388888889</v>
      </c>
      <c r="X313" s="87">
        <v>44004</v>
      </c>
      <c r="Y313" s="89" t="s">
        <v>874</v>
      </c>
      <c r="Z313" s="84" t="str">
        <f>HYPERLINK("https://twitter.com/jornalismodados/status/1275182174011097088")</f>
        <v>https://twitter.com/jornalismodados/status/1275182174011097088</v>
      </c>
      <c r="AA313" s="81"/>
      <c r="AB313" s="81"/>
      <c r="AC313" s="89" t="s">
        <v>1083</v>
      </c>
      <c r="AD313" s="81"/>
      <c r="AE313" s="81" t="b">
        <v>0</v>
      </c>
      <c r="AF313" s="81">
        <v>0</v>
      </c>
      <c r="AG313" s="89" t="s">
        <v>1149</v>
      </c>
      <c r="AH313" s="81" t="b">
        <v>0</v>
      </c>
      <c r="AI313" s="81" t="s">
        <v>1155</v>
      </c>
      <c r="AJ313" s="81"/>
      <c r="AK313" s="89" t="s">
        <v>1149</v>
      </c>
      <c r="AL313" s="81" t="b">
        <v>0</v>
      </c>
      <c r="AM313" s="81">
        <v>1</v>
      </c>
      <c r="AN313" s="89" t="s">
        <v>1149</v>
      </c>
      <c r="AO313" s="81" t="s">
        <v>1180</v>
      </c>
      <c r="AP313" s="81" t="b">
        <v>0</v>
      </c>
      <c r="AQ313" s="89" t="s">
        <v>1083</v>
      </c>
      <c r="AR313" s="81" t="s">
        <v>325</v>
      </c>
      <c r="AS313" s="81">
        <v>0</v>
      </c>
      <c r="AT313" s="81">
        <v>0</v>
      </c>
      <c r="AU313" s="81"/>
      <c r="AV313" s="81"/>
      <c r="AW313" s="81"/>
      <c r="AX313" s="81"/>
      <c r="AY313" s="81"/>
      <c r="AZ313" s="81"/>
      <c r="BA313" s="81"/>
      <c r="BB313" s="81"/>
      <c r="BC313">
        <v>7</v>
      </c>
      <c r="BD313" s="80" t="str">
        <f>REPLACE(INDEX(GroupVertices[Group],MATCH(Edges[[#This Row],[Vertex 1]],GroupVertices[Vertex],0)),1,1,"")</f>
        <v>1</v>
      </c>
      <c r="BE313" s="80" t="str">
        <f>REPLACE(INDEX(GroupVertices[Group],MATCH(Edges[[#This Row],[Vertex 2]],GroupVertices[Vertex],0)),1,1,"")</f>
        <v>1</v>
      </c>
      <c r="BF313" s="48"/>
      <c r="BG313" s="49"/>
      <c r="BH313" s="48"/>
      <c r="BI313" s="49"/>
      <c r="BJ313" s="48"/>
      <c r="BK313" s="49"/>
      <c r="BL313" s="48"/>
      <c r="BM313" s="49"/>
      <c r="BN313" s="48"/>
    </row>
    <row r="314" spans="1:66" ht="15">
      <c r="A314" s="66" t="s">
        <v>473</v>
      </c>
      <c r="B314" s="66" t="s">
        <v>568</v>
      </c>
      <c r="C314" s="67" t="s">
        <v>3150</v>
      </c>
      <c r="D314" s="68">
        <v>10</v>
      </c>
      <c r="E314" s="69" t="s">
        <v>136</v>
      </c>
      <c r="F314" s="70">
        <v>10</v>
      </c>
      <c r="G314" s="67"/>
      <c r="H314" s="71"/>
      <c r="I314" s="72"/>
      <c r="J314" s="72"/>
      <c r="K314" s="34" t="s">
        <v>65</v>
      </c>
      <c r="L314" s="79">
        <v>314</v>
      </c>
      <c r="M314" s="79"/>
      <c r="N314" s="74"/>
      <c r="O314" s="81" t="s">
        <v>587</v>
      </c>
      <c r="P314" s="83">
        <v>44004.94552083333</v>
      </c>
      <c r="Q314" s="81" t="s">
        <v>654</v>
      </c>
      <c r="R314" s="81"/>
      <c r="S314" s="81"/>
      <c r="T314" s="81" t="s">
        <v>707</v>
      </c>
      <c r="U314" s="81"/>
      <c r="V314" s="84" t="str">
        <f>HYPERLINK("http://pbs.twimg.com/profile_images/953436802110623744/NK6Q5dVg_normal.jpg")</f>
        <v>http://pbs.twimg.com/profile_images/953436802110623744/NK6Q5dVg_normal.jpg</v>
      </c>
      <c r="W314" s="83">
        <v>44004.94552083333</v>
      </c>
      <c r="X314" s="87">
        <v>44004</v>
      </c>
      <c r="Y314" s="89" t="s">
        <v>876</v>
      </c>
      <c r="Z314" s="84" t="str">
        <f>HYPERLINK("https://twitter.com/jornalismodados/status/1275197258993225728")</f>
        <v>https://twitter.com/jornalismodados/status/1275197258993225728</v>
      </c>
      <c r="AA314" s="81"/>
      <c r="AB314" s="81"/>
      <c r="AC314" s="89" t="s">
        <v>1085</v>
      </c>
      <c r="AD314" s="81"/>
      <c r="AE314" s="81" t="b">
        <v>0</v>
      </c>
      <c r="AF314" s="81">
        <v>0</v>
      </c>
      <c r="AG314" s="89" t="s">
        <v>1149</v>
      </c>
      <c r="AH314" s="81" t="b">
        <v>0</v>
      </c>
      <c r="AI314" s="81" t="s">
        <v>1155</v>
      </c>
      <c r="AJ314" s="81"/>
      <c r="AK314" s="89" t="s">
        <v>1149</v>
      </c>
      <c r="AL314" s="81" t="b">
        <v>0</v>
      </c>
      <c r="AM314" s="81">
        <v>0</v>
      </c>
      <c r="AN314" s="89" t="s">
        <v>1149</v>
      </c>
      <c r="AO314" s="81" t="s">
        <v>1180</v>
      </c>
      <c r="AP314" s="81" t="b">
        <v>0</v>
      </c>
      <c r="AQ314" s="89" t="s">
        <v>1085</v>
      </c>
      <c r="AR314" s="81" t="s">
        <v>325</v>
      </c>
      <c r="AS314" s="81">
        <v>0</v>
      </c>
      <c r="AT314" s="81">
        <v>0</v>
      </c>
      <c r="AU314" s="81"/>
      <c r="AV314" s="81"/>
      <c r="AW314" s="81"/>
      <c r="AX314" s="81"/>
      <c r="AY314" s="81"/>
      <c r="AZ314" s="81"/>
      <c r="BA314" s="81"/>
      <c r="BB314" s="81"/>
      <c r="BC314">
        <v>7</v>
      </c>
      <c r="BD314" s="80" t="str">
        <f>REPLACE(INDEX(GroupVertices[Group],MATCH(Edges[[#This Row],[Vertex 1]],GroupVertices[Vertex],0)),1,1,"")</f>
        <v>1</v>
      </c>
      <c r="BE314" s="80" t="str">
        <f>REPLACE(INDEX(GroupVertices[Group],MATCH(Edges[[#This Row],[Vertex 2]],GroupVertices[Vertex],0)),1,1,"")</f>
        <v>1</v>
      </c>
      <c r="BF314" s="48"/>
      <c r="BG314" s="49"/>
      <c r="BH314" s="48"/>
      <c r="BI314" s="49"/>
      <c r="BJ314" s="48"/>
      <c r="BK314" s="49"/>
      <c r="BL314" s="48"/>
      <c r="BM314" s="49"/>
      <c r="BN314" s="48"/>
    </row>
    <row r="315" spans="1:66" ht="15">
      <c r="A315" s="66" t="s">
        <v>473</v>
      </c>
      <c r="B315" s="66" t="s">
        <v>568</v>
      </c>
      <c r="C315" s="67" t="s">
        <v>3150</v>
      </c>
      <c r="D315" s="68">
        <v>10</v>
      </c>
      <c r="E315" s="69" t="s">
        <v>136</v>
      </c>
      <c r="F315" s="70">
        <v>10</v>
      </c>
      <c r="G315" s="67"/>
      <c r="H315" s="71"/>
      <c r="I315" s="72"/>
      <c r="J315" s="72"/>
      <c r="K315" s="34" t="s">
        <v>65</v>
      </c>
      <c r="L315" s="79">
        <v>315</v>
      </c>
      <c r="M315" s="79"/>
      <c r="N315" s="74"/>
      <c r="O315" s="81" t="s">
        <v>587</v>
      </c>
      <c r="P315" s="83">
        <v>44005.07063657408</v>
      </c>
      <c r="Q315" s="81" t="s">
        <v>659</v>
      </c>
      <c r="R315" s="81"/>
      <c r="S315" s="81"/>
      <c r="T315" s="81" t="s">
        <v>707</v>
      </c>
      <c r="U315" s="81"/>
      <c r="V315" s="84" t="str">
        <f>HYPERLINK("http://pbs.twimg.com/profile_images/953436802110623744/NK6Q5dVg_normal.jpg")</f>
        <v>http://pbs.twimg.com/profile_images/953436802110623744/NK6Q5dVg_normal.jpg</v>
      </c>
      <c r="W315" s="83">
        <v>44005.07063657408</v>
      </c>
      <c r="X315" s="87">
        <v>44005</v>
      </c>
      <c r="Y315" s="89" t="s">
        <v>881</v>
      </c>
      <c r="Z315" s="84" t="str">
        <f>HYPERLINK("https://twitter.com/jornalismodados/status/1275242601734684674")</f>
        <v>https://twitter.com/jornalismodados/status/1275242601734684674</v>
      </c>
      <c r="AA315" s="81"/>
      <c r="AB315" s="81"/>
      <c r="AC315" s="89" t="s">
        <v>1090</v>
      </c>
      <c r="AD315" s="81"/>
      <c r="AE315" s="81" t="b">
        <v>0</v>
      </c>
      <c r="AF315" s="81">
        <v>0</v>
      </c>
      <c r="AG315" s="89" t="s">
        <v>1149</v>
      </c>
      <c r="AH315" s="81" t="b">
        <v>0</v>
      </c>
      <c r="AI315" s="81" t="s">
        <v>1155</v>
      </c>
      <c r="AJ315" s="81"/>
      <c r="AK315" s="89" t="s">
        <v>1149</v>
      </c>
      <c r="AL315" s="81" t="b">
        <v>0</v>
      </c>
      <c r="AM315" s="81">
        <v>0</v>
      </c>
      <c r="AN315" s="89" t="s">
        <v>1149</v>
      </c>
      <c r="AO315" s="81" t="s">
        <v>1180</v>
      </c>
      <c r="AP315" s="81" t="b">
        <v>0</v>
      </c>
      <c r="AQ315" s="89" t="s">
        <v>1090</v>
      </c>
      <c r="AR315" s="81" t="s">
        <v>325</v>
      </c>
      <c r="AS315" s="81">
        <v>0</v>
      </c>
      <c r="AT315" s="81">
        <v>0</v>
      </c>
      <c r="AU315" s="81"/>
      <c r="AV315" s="81"/>
      <c r="AW315" s="81"/>
      <c r="AX315" s="81"/>
      <c r="AY315" s="81"/>
      <c r="AZ315" s="81"/>
      <c r="BA315" s="81"/>
      <c r="BB315" s="81"/>
      <c r="BC315">
        <v>7</v>
      </c>
      <c r="BD315" s="80" t="str">
        <f>REPLACE(INDEX(GroupVertices[Group],MATCH(Edges[[#This Row],[Vertex 1]],GroupVertices[Vertex],0)),1,1,"")</f>
        <v>1</v>
      </c>
      <c r="BE315" s="80" t="str">
        <f>REPLACE(INDEX(GroupVertices[Group],MATCH(Edges[[#This Row],[Vertex 2]],GroupVertices[Vertex],0)),1,1,"")</f>
        <v>1</v>
      </c>
      <c r="BF315" s="48"/>
      <c r="BG315" s="49"/>
      <c r="BH315" s="48"/>
      <c r="BI315" s="49"/>
      <c r="BJ315" s="48"/>
      <c r="BK315" s="49"/>
      <c r="BL315" s="48"/>
      <c r="BM315" s="49"/>
      <c r="BN315" s="48"/>
    </row>
    <row r="316" spans="1:66" ht="15">
      <c r="A316" s="66" t="s">
        <v>473</v>
      </c>
      <c r="B316" s="66" t="s">
        <v>568</v>
      </c>
      <c r="C316" s="67" t="s">
        <v>3150</v>
      </c>
      <c r="D316" s="68">
        <v>10</v>
      </c>
      <c r="E316" s="69" t="s">
        <v>136</v>
      </c>
      <c r="F316" s="70">
        <v>10</v>
      </c>
      <c r="G316" s="67"/>
      <c r="H316" s="71"/>
      <c r="I316" s="72"/>
      <c r="J316" s="72"/>
      <c r="K316" s="34" t="s">
        <v>65</v>
      </c>
      <c r="L316" s="79">
        <v>316</v>
      </c>
      <c r="M316" s="79"/>
      <c r="N316" s="74"/>
      <c r="O316" s="81" t="s">
        <v>587</v>
      </c>
      <c r="P316" s="83">
        <v>44005.1121875</v>
      </c>
      <c r="Q316" s="81" t="s">
        <v>662</v>
      </c>
      <c r="R316" s="81"/>
      <c r="S316" s="81"/>
      <c r="T316" s="81" t="s">
        <v>707</v>
      </c>
      <c r="U316" s="81"/>
      <c r="V316" s="84" t="str">
        <f>HYPERLINK("http://pbs.twimg.com/profile_images/953436802110623744/NK6Q5dVg_normal.jpg")</f>
        <v>http://pbs.twimg.com/profile_images/953436802110623744/NK6Q5dVg_normal.jpg</v>
      </c>
      <c r="W316" s="83">
        <v>44005.1121875</v>
      </c>
      <c r="X316" s="87">
        <v>44005</v>
      </c>
      <c r="Y316" s="89" t="s">
        <v>841</v>
      </c>
      <c r="Z316" s="84" t="str">
        <f>HYPERLINK("https://twitter.com/jornalismodados/status/1275257656954011650")</f>
        <v>https://twitter.com/jornalismodados/status/1275257656954011650</v>
      </c>
      <c r="AA316" s="81"/>
      <c r="AB316" s="81"/>
      <c r="AC316" s="89" t="s">
        <v>1093</v>
      </c>
      <c r="AD316" s="81"/>
      <c r="AE316" s="81" t="b">
        <v>0</v>
      </c>
      <c r="AF316" s="81">
        <v>0</v>
      </c>
      <c r="AG316" s="89" t="s">
        <v>1149</v>
      </c>
      <c r="AH316" s="81" t="b">
        <v>0</v>
      </c>
      <c r="AI316" s="81" t="s">
        <v>1155</v>
      </c>
      <c r="AJ316" s="81"/>
      <c r="AK316" s="89" t="s">
        <v>1149</v>
      </c>
      <c r="AL316" s="81" t="b">
        <v>0</v>
      </c>
      <c r="AM316" s="81">
        <v>0</v>
      </c>
      <c r="AN316" s="89" t="s">
        <v>1149</v>
      </c>
      <c r="AO316" s="81" t="s">
        <v>1180</v>
      </c>
      <c r="AP316" s="81" t="b">
        <v>0</v>
      </c>
      <c r="AQ316" s="89" t="s">
        <v>1093</v>
      </c>
      <c r="AR316" s="81" t="s">
        <v>325</v>
      </c>
      <c r="AS316" s="81">
        <v>0</v>
      </c>
      <c r="AT316" s="81">
        <v>0</v>
      </c>
      <c r="AU316" s="81"/>
      <c r="AV316" s="81"/>
      <c r="AW316" s="81"/>
      <c r="AX316" s="81"/>
      <c r="AY316" s="81"/>
      <c r="AZ316" s="81"/>
      <c r="BA316" s="81"/>
      <c r="BB316" s="81"/>
      <c r="BC316">
        <v>7</v>
      </c>
      <c r="BD316" s="80" t="str">
        <f>REPLACE(INDEX(GroupVertices[Group],MATCH(Edges[[#This Row],[Vertex 1]],GroupVertices[Vertex],0)),1,1,"")</f>
        <v>1</v>
      </c>
      <c r="BE316" s="80" t="str">
        <f>REPLACE(INDEX(GroupVertices[Group],MATCH(Edges[[#This Row],[Vertex 2]],GroupVertices[Vertex],0)),1,1,"")</f>
        <v>1</v>
      </c>
      <c r="BF316" s="48"/>
      <c r="BG316" s="49"/>
      <c r="BH316" s="48"/>
      <c r="BI316" s="49"/>
      <c r="BJ316" s="48"/>
      <c r="BK316" s="49"/>
      <c r="BL316" s="48"/>
      <c r="BM316" s="49"/>
      <c r="BN316" s="48"/>
    </row>
    <row r="317" spans="1:66" ht="15">
      <c r="A317" s="66" t="s">
        <v>473</v>
      </c>
      <c r="B317" s="66" t="s">
        <v>569</v>
      </c>
      <c r="C317" s="67" t="s">
        <v>3150</v>
      </c>
      <c r="D317" s="68">
        <v>10</v>
      </c>
      <c r="E317" s="69" t="s">
        <v>136</v>
      </c>
      <c r="F317" s="70">
        <v>10</v>
      </c>
      <c r="G317" s="67"/>
      <c r="H317" s="71"/>
      <c r="I317" s="72"/>
      <c r="J317" s="72"/>
      <c r="K317" s="34" t="s">
        <v>65</v>
      </c>
      <c r="L317" s="79">
        <v>317</v>
      </c>
      <c r="M317" s="79"/>
      <c r="N317" s="74"/>
      <c r="O317" s="81" t="s">
        <v>587</v>
      </c>
      <c r="P317" s="83">
        <v>44004.8621875</v>
      </c>
      <c r="Q317" s="81" t="s">
        <v>643</v>
      </c>
      <c r="R317" s="81"/>
      <c r="S317" s="81"/>
      <c r="T317" s="81" t="s">
        <v>707</v>
      </c>
      <c r="U317" s="81"/>
      <c r="V317" s="84" t="str">
        <f>HYPERLINK("http://pbs.twimg.com/profile_images/953436802110623744/NK6Q5dVg_normal.jpg")</f>
        <v>http://pbs.twimg.com/profile_images/953436802110623744/NK6Q5dVg_normal.jpg</v>
      </c>
      <c r="W317" s="83">
        <v>44004.8621875</v>
      </c>
      <c r="X317" s="87">
        <v>44004</v>
      </c>
      <c r="Y317" s="89" t="s">
        <v>863</v>
      </c>
      <c r="Z317" s="84" t="str">
        <f>HYPERLINK("https://twitter.com/jornalismodados/status/1275167060952322051")</f>
        <v>https://twitter.com/jornalismodados/status/1275167060952322051</v>
      </c>
      <c r="AA317" s="81"/>
      <c r="AB317" s="81"/>
      <c r="AC317" s="89" t="s">
        <v>1072</v>
      </c>
      <c r="AD317" s="81"/>
      <c r="AE317" s="81" t="b">
        <v>0</v>
      </c>
      <c r="AF317" s="81">
        <v>0</v>
      </c>
      <c r="AG317" s="89" t="s">
        <v>1149</v>
      </c>
      <c r="AH317" s="81" t="b">
        <v>0</v>
      </c>
      <c r="AI317" s="81" t="s">
        <v>1155</v>
      </c>
      <c r="AJ317" s="81"/>
      <c r="AK317" s="89" t="s">
        <v>1149</v>
      </c>
      <c r="AL317" s="81" t="b">
        <v>0</v>
      </c>
      <c r="AM317" s="81">
        <v>0</v>
      </c>
      <c r="AN317" s="89" t="s">
        <v>1149</v>
      </c>
      <c r="AO317" s="81" t="s">
        <v>1180</v>
      </c>
      <c r="AP317" s="81" t="b">
        <v>0</v>
      </c>
      <c r="AQ317" s="89" t="s">
        <v>1072</v>
      </c>
      <c r="AR317" s="81" t="s">
        <v>325</v>
      </c>
      <c r="AS317" s="81">
        <v>0</v>
      </c>
      <c r="AT317" s="81">
        <v>0</v>
      </c>
      <c r="AU317" s="81"/>
      <c r="AV317" s="81"/>
      <c r="AW317" s="81"/>
      <c r="AX317" s="81"/>
      <c r="AY317" s="81"/>
      <c r="AZ317" s="81"/>
      <c r="BA317" s="81"/>
      <c r="BB317" s="81"/>
      <c r="BC317">
        <v>8</v>
      </c>
      <c r="BD317" s="80" t="str">
        <f>REPLACE(INDEX(GroupVertices[Group],MATCH(Edges[[#This Row],[Vertex 1]],GroupVertices[Vertex],0)),1,1,"")</f>
        <v>1</v>
      </c>
      <c r="BE317" s="80" t="str">
        <f>REPLACE(INDEX(GroupVertices[Group],MATCH(Edges[[#This Row],[Vertex 2]],GroupVertices[Vertex],0)),1,1,"")</f>
        <v>1</v>
      </c>
      <c r="BF317" s="48">
        <v>0</v>
      </c>
      <c r="BG317" s="49">
        <v>0</v>
      </c>
      <c r="BH317" s="48">
        <v>0</v>
      </c>
      <c r="BI317" s="49">
        <v>0</v>
      </c>
      <c r="BJ317" s="48">
        <v>0</v>
      </c>
      <c r="BK317" s="49">
        <v>0</v>
      </c>
      <c r="BL317" s="48">
        <v>26</v>
      </c>
      <c r="BM317" s="49">
        <v>100</v>
      </c>
      <c r="BN317" s="48">
        <v>26</v>
      </c>
    </row>
    <row r="318" spans="1:66" ht="15">
      <c r="A318" s="66" t="s">
        <v>473</v>
      </c>
      <c r="B318" s="66" t="s">
        <v>569</v>
      </c>
      <c r="C318" s="67" t="s">
        <v>3150</v>
      </c>
      <c r="D318" s="68">
        <v>10</v>
      </c>
      <c r="E318" s="69" t="s">
        <v>136</v>
      </c>
      <c r="F318" s="70">
        <v>10</v>
      </c>
      <c r="G318" s="67"/>
      <c r="H318" s="71"/>
      <c r="I318" s="72"/>
      <c r="J318" s="72"/>
      <c r="K318" s="34" t="s">
        <v>65</v>
      </c>
      <c r="L318" s="79">
        <v>318</v>
      </c>
      <c r="M318" s="79"/>
      <c r="N318" s="74"/>
      <c r="O318" s="81" t="s">
        <v>587</v>
      </c>
      <c r="P318" s="83">
        <v>44004.862233796295</v>
      </c>
      <c r="Q318" s="81" t="s">
        <v>644</v>
      </c>
      <c r="R318" s="81"/>
      <c r="S318" s="81"/>
      <c r="T318" s="81" t="s">
        <v>707</v>
      </c>
      <c r="U318" s="81"/>
      <c r="V318" s="84" t="str">
        <f>HYPERLINK("http://pbs.twimg.com/profile_images/953436802110623744/NK6Q5dVg_normal.jpg")</f>
        <v>http://pbs.twimg.com/profile_images/953436802110623744/NK6Q5dVg_normal.jpg</v>
      </c>
      <c r="W318" s="83">
        <v>44004.862233796295</v>
      </c>
      <c r="X318" s="87">
        <v>44004</v>
      </c>
      <c r="Y318" s="89" t="s">
        <v>864</v>
      </c>
      <c r="Z318" s="84" t="str">
        <f>HYPERLINK("https://twitter.com/jornalismodados/status/1275167079294013446")</f>
        <v>https://twitter.com/jornalismodados/status/1275167079294013446</v>
      </c>
      <c r="AA318" s="81"/>
      <c r="AB318" s="81"/>
      <c r="AC318" s="89" t="s">
        <v>1073</v>
      </c>
      <c r="AD318" s="81"/>
      <c r="AE318" s="81" t="b">
        <v>0</v>
      </c>
      <c r="AF318" s="81">
        <v>0</v>
      </c>
      <c r="AG318" s="89" t="s">
        <v>1149</v>
      </c>
      <c r="AH318" s="81" t="b">
        <v>0</v>
      </c>
      <c r="AI318" s="81" t="s">
        <v>1155</v>
      </c>
      <c r="AJ318" s="81"/>
      <c r="AK318" s="89" t="s">
        <v>1149</v>
      </c>
      <c r="AL318" s="81" t="b">
        <v>0</v>
      </c>
      <c r="AM318" s="81">
        <v>0</v>
      </c>
      <c r="AN318" s="89" t="s">
        <v>1149</v>
      </c>
      <c r="AO318" s="81" t="s">
        <v>1180</v>
      </c>
      <c r="AP318" s="81" t="b">
        <v>0</v>
      </c>
      <c r="AQ318" s="89" t="s">
        <v>1073</v>
      </c>
      <c r="AR318" s="81" t="s">
        <v>325</v>
      </c>
      <c r="AS318" s="81">
        <v>0</v>
      </c>
      <c r="AT318" s="81">
        <v>0</v>
      </c>
      <c r="AU318" s="81"/>
      <c r="AV318" s="81"/>
      <c r="AW318" s="81"/>
      <c r="AX318" s="81"/>
      <c r="AY318" s="81"/>
      <c r="AZ318" s="81"/>
      <c r="BA318" s="81"/>
      <c r="BB318" s="81"/>
      <c r="BC318">
        <v>8</v>
      </c>
      <c r="BD318" s="80" t="str">
        <f>REPLACE(INDEX(GroupVertices[Group],MATCH(Edges[[#This Row],[Vertex 1]],GroupVertices[Vertex],0)),1,1,"")</f>
        <v>1</v>
      </c>
      <c r="BE318" s="80" t="str">
        <f>REPLACE(INDEX(GroupVertices[Group],MATCH(Edges[[#This Row],[Vertex 2]],GroupVertices[Vertex],0)),1,1,"")</f>
        <v>1</v>
      </c>
      <c r="BF318" s="48">
        <v>0</v>
      </c>
      <c r="BG318" s="49">
        <v>0</v>
      </c>
      <c r="BH318" s="48">
        <v>0</v>
      </c>
      <c r="BI318" s="49">
        <v>0</v>
      </c>
      <c r="BJ318" s="48">
        <v>0</v>
      </c>
      <c r="BK318" s="49">
        <v>0</v>
      </c>
      <c r="BL318" s="48">
        <v>26</v>
      </c>
      <c r="BM318" s="49">
        <v>100</v>
      </c>
      <c r="BN318" s="48">
        <v>26</v>
      </c>
    </row>
    <row r="319" spans="1:66" ht="15">
      <c r="A319" s="66" t="s">
        <v>473</v>
      </c>
      <c r="B319" s="66" t="s">
        <v>569</v>
      </c>
      <c r="C319" s="67" t="s">
        <v>3150</v>
      </c>
      <c r="D319" s="68">
        <v>10</v>
      </c>
      <c r="E319" s="69" t="s">
        <v>136</v>
      </c>
      <c r="F319" s="70">
        <v>10</v>
      </c>
      <c r="G319" s="67"/>
      <c r="H319" s="71"/>
      <c r="I319" s="72"/>
      <c r="J319" s="72"/>
      <c r="K319" s="34" t="s">
        <v>65</v>
      </c>
      <c r="L319" s="79">
        <v>319</v>
      </c>
      <c r="M319" s="79"/>
      <c r="N319" s="74"/>
      <c r="O319" s="81" t="s">
        <v>587</v>
      </c>
      <c r="P319" s="83">
        <v>44004.86231481482</v>
      </c>
      <c r="Q319" s="81" t="s">
        <v>660</v>
      </c>
      <c r="R319" s="84" t="str">
        <f>HYPERLINK("https://twitter.com/i/web/status/1275156603893878784")</f>
        <v>https://twitter.com/i/web/status/1275156603893878784</v>
      </c>
      <c r="S319" s="81" t="s">
        <v>676</v>
      </c>
      <c r="T319" s="81" t="s">
        <v>707</v>
      </c>
      <c r="U319" s="81"/>
      <c r="V319" s="84" t="str">
        <f>HYPERLINK("http://pbs.twimg.com/profile_images/953436802110623744/NK6Q5dVg_normal.jpg")</f>
        <v>http://pbs.twimg.com/profile_images/953436802110623744/NK6Q5dVg_normal.jpg</v>
      </c>
      <c r="W319" s="83">
        <v>44004.86231481482</v>
      </c>
      <c r="X319" s="87">
        <v>44004</v>
      </c>
      <c r="Y319" s="89" t="s">
        <v>882</v>
      </c>
      <c r="Z319" s="84" t="str">
        <f>HYPERLINK("https://twitter.com/jornalismodados/status/1275167106691203073")</f>
        <v>https://twitter.com/jornalismodados/status/1275167106691203073</v>
      </c>
      <c r="AA319" s="81"/>
      <c r="AB319" s="81"/>
      <c r="AC319" s="89" t="s">
        <v>1091</v>
      </c>
      <c r="AD319" s="81"/>
      <c r="AE319" s="81" t="b">
        <v>0</v>
      </c>
      <c r="AF319" s="81">
        <v>0</v>
      </c>
      <c r="AG319" s="89" t="s">
        <v>1149</v>
      </c>
      <c r="AH319" s="81" t="b">
        <v>0</v>
      </c>
      <c r="AI319" s="81" t="s">
        <v>1155</v>
      </c>
      <c r="AJ319" s="81"/>
      <c r="AK319" s="89" t="s">
        <v>1149</v>
      </c>
      <c r="AL319" s="81" t="b">
        <v>0</v>
      </c>
      <c r="AM319" s="81">
        <v>0</v>
      </c>
      <c r="AN319" s="89" t="s">
        <v>1149</v>
      </c>
      <c r="AO319" s="81" t="s">
        <v>1180</v>
      </c>
      <c r="AP319" s="81" t="b">
        <v>0</v>
      </c>
      <c r="AQ319" s="89" t="s">
        <v>1091</v>
      </c>
      <c r="AR319" s="81" t="s">
        <v>325</v>
      </c>
      <c r="AS319" s="81">
        <v>0</v>
      </c>
      <c r="AT319" s="81">
        <v>0</v>
      </c>
      <c r="AU319" s="81"/>
      <c r="AV319" s="81"/>
      <c r="AW319" s="81"/>
      <c r="AX319" s="81"/>
      <c r="AY319" s="81"/>
      <c r="AZ319" s="81"/>
      <c r="BA319" s="81"/>
      <c r="BB319" s="81"/>
      <c r="BC319">
        <v>8</v>
      </c>
      <c r="BD319" s="80" t="str">
        <f>REPLACE(INDEX(GroupVertices[Group],MATCH(Edges[[#This Row],[Vertex 1]],GroupVertices[Vertex],0)),1,1,"")</f>
        <v>1</v>
      </c>
      <c r="BE319" s="80" t="str">
        <f>REPLACE(INDEX(GroupVertices[Group],MATCH(Edges[[#This Row],[Vertex 2]],GroupVertices[Vertex],0)),1,1,"")</f>
        <v>1</v>
      </c>
      <c r="BF319" s="48">
        <v>0</v>
      </c>
      <c r="BG319" s="49">
        <v>0</v>
      </c>
      <c r="BH319" s="48">
        <v>0</v>
      </c>
      <c r="BI319" s="49">
        <v>0</v>
      </c>
      <c r="BJ319" s="48">
        <v>0</v>
      </c>
      <c r="BK319" s="49">
        <v>0</v>
      </c>
      <c r="BL319" s="48">
        <v>23</v>
      </c>
      <c r="BM319" s="49">
        <v>100</v>
      </c>
      <c r="BN319" s="48">
        <v>23</v>
      </c>
    </row>
    <row r="320" spans="1:66" ht="15">
      <c r="A320" s="66" t="s">
        <v>473</v>
      </c>
      <c r="B320" s="66" t="s">
        <v>569</v>
      </c>
      <c r="C320" s="67" t="s">
        <v>3150</v>
      </c>
      <c r="D320" s="68">
        <v>10</v>
      </c>
      <c r="E320" s="69" t="s">
        <v>136</v>
      </c>
      <c r="F320" s="70">
        <v>10</v>
      </c>
      <c r="G320" s="67"/>
      <c r="H320" s="71"/>
      <c r="I320" s="72"/>
      <c r="J320" s="72"/>
      <c r="K320" s="34" t="s">
        <v>65</v>
      </c>
      <c r="L320" s="79">
        <v>320</v>
      </c>
      <c r="M320" s="79"/>
      <c r="N320" s="74"/>
      <c r="O320" s="81" t="s">
        <v>587</v>
      </c>
      <c r="P320" s="83">
        <v>44004.90388888889</v>
      </c>
      <c r="Q320" s="81" t="s">
        <v>652</v>
      </c>
      <c r="R320" s="81"/>
      <c r="S320" s="81"/>
      <c r="T320" s="81" t="s">
        <v>707</v>
      </c>
      <c r="U320" s="81"/>
      <c r="V320" s="84" t="str">
        <f>HYPERLINK("http://pbs.twimg.com/profile_images/953436802110623744/NK6Q5dVg_normal.jpg")</f>
        <v>http://pbs.twimg.com/profile_images/953436802110623744/NK6Q5dVg_normal.jpg</v>
      </c>
      <c r="W320" s="83">
        <v>44004.90388888889</v>
      </c>
      <c r="X320" s="87">
        <v>44004</v>
      </c>
      <c r="Y320" s="89" t="s">
        <v>874</v>
      </c>
      <c r="Z320" s="84" t="str">
        <f>HYPERLINK("https://twitter.com/jornalismodados/status/1275182174011097088")</f>
        <v>https://twitter.com/jornalismodados/status/1275182174011097088</v>
      </c>
      <c r="AA320" s="81"/>
      <c r="AB320" s="81"/>
      <c r="AC320" s="89" t="s">
        <v>1083</v>
      </c>
      <c r="AD320" s="81"/>
      <c r="AE320" s="81" t="b">
        <v>0</v>
      </c>
      <c r="AF320" s="81">
        <v>0</v>
      </c>
      <c r="AG320" s="89" t="s">
        <v>1149</v>
      </c>
      <c r="AH320" s="81" t="b">
        <v>0</v>
      </c>
      <c r="AI320" s="81" t="s">
        <v>1155</v>
      </c>
      <c r="AJ320" s="81"/>
      <c r="AK320" s="89" t="s">
        <v>1149</v>
      </c>
      <c r="AL320" s="81" t="b">
        <v>0</v>
      </c>
      <c r="AM320" s="81">
        <v>1</v>
      </c>
      <c r="AN320" s="89" t="s">
        <v>1149</v>
      </c>
      <c r="AO320" s="81" t="s">
        <v>1180</v>
      </c>
      <c r="AP320" s="81" t="b">
        <v>0</v>
      </c>
      <c r="AQ320" s="89" t="s">
        <v>1083</v>
      </c>
      <c r="AR320" s="81" t="s">
        <v>325</v>
      </c>
      <c r="AS320" s="81">
        <v>0</v>
      </c>
      <c r="AT320" s="81">
        <v>0</v>
      </c>
      <c r="AU320" s="81"/>
      <c r="AV320" s="81"/>
      <c r="AW320" s="81"/>
      <c r="AX320" s="81"/>
      <c r="AY320" s="81"/>
      <c r="AZ320" s="81"/>
      <c r="BA320" s="81"/>
      <c r="BB320" s="81"/>
      <c r="BC320">
        <v>8</v>
      </c>
      <c r="BD320" s="80" t="str">
        <f>REPLACE(INDEX(GroupVertices[Group],MATCH(Edges[[#This Row],[Vertex 1]],GroupVertices[Vertex],0)),1,1,"")</f>
        <v>1</v>
      </c>
      <c r="BE320" s="80" t="str">
        <f>REPLACE(INDEX(GroupVertices[Group],MATCH(Edges[[#This Row],[Vertex 2]],GroupVertices[Vertex],0)),1,1,"")</f>
        <v>1</v>
      </c>
      <c r="BF320" s="48">
        <v>0</v>
      </c>
      <c r="BG320" s="49">
        <v>0</v>
      </c>
      <c r="BH320" s="48">
        <v>0</v>
      </c>
      <c r="BI320" s="49">
        <v>0</v>
      </c>
      <c r="BJ320" s="48">
        <v>0</v>
      </c>
      <c r="BK320" s="49">
        <v>0</v>
      </c>
      <c r="BL320" s="48">
        <v>26</v>
      </c>
      <c r="BM320" s="49">
        <v>100</v>
      </c>
      <c r="BN320" s="48">
        <v>26</v>
      </c>
    </row>
    <row r="321" spans="1:66" ht="15">
      <c r="A321" s="66" t="s">
        <v>473</v>
      </c>
      <c r="B321" s="66" t="s">
        <v>569</v>
      </c>
      <c r="C321" s="67" t="s">
        <v>3150</v>
      </c>
      <c r="D321" s="68">
        <v>10</v>
      </c>
      <c r="E321" s="69" t="s">
        <v>136</v>
      </c>
      <c r="F321" s="70">
        <v>10</v>
      </c>
      <c r="G321" s="67"/>
      <c r="H321" s="71"/>
      <c r="I321" s="72"/>
      <c r="J321" s="72"/>
      <c r="K321" s="34" t="s">
        <v>65</v>
      </c>
      <c r="L321" s="79">
        <v>321</v>
      </c>
      <c r="M321" s="79"/>
      <c r="N321" s="74"/>
      <c r="O321" s="81" t="s">
        <v>587</v>
      </c>
      <c r="P321" s="83">
        <v>44004.94552083333</v>
      </c>
      <c r="Q321" s="81" t="s">
        <v>654</v>
      </c>
      <c r="R321" s="81"/>
      <c r="S321" s="81"/>
      <c r="T321" s="81" t="s">
        <v>707</v>
      </c>
      <c r="U321" s="81"/>
      <c r="V321" s="84" t="str">
        <f>HYPERLINK("http://pbs.twimg.com/profile_images/953436802110623744/NK6Q5dVg_normal.jpg")</f>
        <v>http://pbs.twimg.com/profile_images/953436802110623744/NK6Q5dVg_normal.jpg</v>
      </c>
      <c r="W321" s="83">
        <v>44004.94552083333</v>
      </c>
      <c r="X321" s="87">
        <v>44004</v>
      </c>
      <c r="Y321" s="89" t="s">
        <v>876</v>
      </c>
      <c r="Z321" s="84" t="str">
        <f>HYPERLINK("https://twitter.com/jornalismodados/status/1275197258993225728")</f>
        <v>https://twitter.com/jornalismodados/status/1275197258993225728</v>
      </c>
      <c r="AA321" s="81"/>
      <c r="AB321" s="81"/>
      <c r="AC321" s="89" t="s">
        <v>1085</v>
      </c>
      <c r="AD321" s="81"/>
      <c r="AE321" s="81" t="b">
        <v>0</v>
      </c>
      <c r="AF321" s="81">
        <v>0</v>
      </c>
      <c r="AG321" s="89" t="s">
        <v>1149</v>
      </c>
      <c r="AH321" s="81" t="b">
        <v>0</v>
      </c>
      <c r="AI321" s="81" t="s">
        <v>1155</v>
      </c>
      <c r="AJ321" s="81"/>
      <c r="AK321" s="89" t="s">
        <v>1149</v>
      </c>
      <c r="AL321" s="81" t="b">
        <v>0</v>
      </c>
      <c r="AM321" s="81">
        <v>0</v>
      </c>
      <c r="AN321" s="89" t="s">
        <v>1149</v>
      </c>
      <c r="AO321" s="81" t="s">
        <v>1180</v>
      </c>
      <c r="AP321" s="81" t="b">
        <v>0</v>
      </c>
      <c r="AQ321" s="89" t="s">
        <v>1085</v>
      </c>
      <c r="AR321" s="81" t="s">
        <v>325</v>
      </c>
      <c r="AS321" s="81">
        <v>0</v>
      </c>
      <c r="AT321" s="81">
        <v>0</v>
      </c>
      <c r="AU321" s="81"/>
      <c r="AV321" s="81"/>
      <c r="AW321" s="81"/>
      <c r="AX321" s="81"/>
      <c r="AY321" s="81"/>
      <c r="AZ321" s="81"/>
      <c r="BA321" s="81"/>
      <c r="BB321" s="81"/>
      <c r="BC321">
        <v>8</v>
      </c>
      <c r="BD321" s="80" t="str">
        <f>REPLACE(INDEX(GroupVertices[Group],MATCH(Edges[[#This Row],[Vertex 1]],GroupVertices[Vertex],0)),1,1,"")</f>
        <v>1</v>
      </c>
      <c r="BE321" s="80" t="str">
        <f>REPLACE(INDEX(GroupVertices[Group],MATCH(Edges[[#This Row],[Vertex 2]],GroupVertices[Vertex],0)),1,1,"")</f>
        <v>1</v>
      </c>
      <c r="BF321" s="48"/>
      <c r="BG321" s="49"/>
      <c r="BH321" s="48"/>
      <c r="BI321" s="49"/>
      <c r="BJ321" s="48"/>
      <c r="BK321" s="49"/>
      <c r="BL321" s="48"/>
      <c r="BM321" s="49"/>
      <c r="BN321" s="48"/>
    </row>
    <row r="322" spans="1:66" ht="15">
      <c r="A322" s="66" t="s">
        <v>473</v>
      </c>
      <c r="B322" s="66" t="s">
        <v>569</v>
      </c>
      <c r="C322" s="67" t="s">
        <v>3150</v>
      </c>
      <c r="D322" s="68">
        <v>10</v>
      </c>
      <c r="E322" s="69" t="s">
        <v>136</v>
      </c>
      <c r="F322" s="70">
        <v>10</v>
      </c>
      <c r="G322" s="67"/>
      <c r="H322" s="71"/>
      <c r="I322" s="72"/>
      <c r="J322" s="72"/>
      <c r="K322" s="34" t="s">
        <v>65</v>
      </c>
      <c r="L322" s="79">
        <v>322</v>
      </c>
      <c r="M322" s="79"/>
      <c r="N322" s="74"/>
      <c r="O322" s="81" t="s">
        <v>587</v>
      </c>
      <c r="P322" s="83">
        <v>44005.07063657408</v>
      </c>
      <c r="Q322" s="81" t="s">
        <v>659</v>
      </c>
      <c r="R322" s="81"/>
      <c r="S322" s="81"/>
      <c r="T322" s="81" t="s">
        <v>707</v>
      </c>
      <c r="U322" s="81"/>
      <c r="V322" s="84" t="str">
        <f>HYPERLINK("http://pbs.twimg.com/profile_images/953436802110623744/NK6Q5dVg_normal.jpg")</f>
        <v>http://pbs.twimg.com/profile_images/953436802110623744/NK6Q5dVg_normal.jpg</v>
      </c>
      <c r="W322" s="83">
        <v>44005.07063657408</v>
      </c>
      <c r="X322" s="87">
        <v>44005</v>
      </c>
      <c r="Y322" s="89" t="s">
        <v>881</v>
      </c>
      <c r="Z322" s="84" t="str">
        <f>HYPERLINK("https://twitter.com/jornalismodados/status/1275242601734684674")</f>
        <v>https://twitter.com/jornalismodados/status/1275242601734684674</v>
      </c>
      <c r="AA322" s="81"/>
      <c r="AB322" s="81"/>
      <c r="AC322" s="89" t="s">
        <v>1090</v>
      </c>
      <c r="AD322" s="81"/>
      <c r="AE322" s="81" t="b">
        <v>0</v>
      </c>
      <c r="AF322" s="81">
        <v>0</v>
      </c>
      <c r="AG322" s="89" t="s">
        <v>1149</v>
      </c>
      <c r="AH322" s="81" t="b">
        <v>0</v>
      </c>
      <c r="AI322" s="81" t="s">
        <v>1155</v>
      </c>
      <c r="AJ322" s="81"/>
      <c r="AK322" s="89" t="s">
        <v>1149</v>
      </c>
      <c r="AL322" s="81" t="b">
        <v>0</v>
      </c>
      <c r="AM322" s="81">
        <v>0</v>
      </c>
      <c r="AN322" s="89" t="s">
        <v>1149</v>
      </c>
      <c r="AO322" s="81" t="s">
        <v>1180</v>
      </c>
      <c r="AP322" s="81" t="b">
        <v>0</v>
      </c>
      <c r="AQ322" s="89" t="s">
        <v>1090</v>
      </c>
      <c r="AR322" s="81" t="s">
        <v>325</v>
      </c>
      <c r="AS322" s="81">
        <v>0</v>
      </c>
      <c r="AT322" s="81">
        <v>0</v>
      </c>
      <c r="AU322" s="81"/>
      <c r="AV322" s="81"/>
      <c r="AW322" s="81"/>
      <c r="AX322" s="81"/>
      <c r="AY322" s="81"/>
      <c r="AZ322" s="81"/>
      <c r="BA322" s="81"/>
      <c r="BB322" s="81"/>
      <c r="BC322">
        <v>8</v>
      </c>
      <c r="BD322" s="80" t="str">
        <f>REPLACE(INDEX(GroupVertices[Group],MATCH(Edges[[#This Row],[Vertex 1]],GroupVertices[Vertex],0)),1,1,"")</f>
        <v>1</v>
      </c>
      <c r="BE322" s="80" t="str">
        <f>REPLACE(INDEX(GroupVertices[Group],MATCH(Edges[[#This Row],[Vertex 2]],GroupVertices[Vertex],0)),1,1,"")</f>
        <v>1</v>
      </c>
      <c r="BF322" s="48"/>
      <c r="BG322" s="49"/>
      <c r="BH322" s="48"/>
      <c r="BI322" s="49"/>
      <c r="BJ322" s="48"/>
      <c r="BK322" s="49"/>
      <c r="BL322" s="48"/>
      <c r="BM322" s="49"/>
      <c r="BN322" s="48"/>
    </row>
    <row r="323" spans="1:66" ht="15">
      <c r="A323" s="66" t="s">
        <v>473</v>
      </c>
      <c r="B323" s="66" t="s">
        <v>569</v>
      </c>
      <c r="C323" s="67" t="s">
        <v>3150</v>
      </c>
      <c r="D323" s="68">
        <v>10</v>
      </c>
      <c r="E323" s="69" t="s">
        <v>136</v>
      </c>
      <c r="F323" s="70">
        <v>10</v>
      </c>
      <c r="G323" s="67"/>
      <c r="H323" s="71"/>
      <c r="I323" s="72"/>
      <c r="J323" s="72"/>
      <c r="K323" s="34" t="s">
        <v>65</v>
      </c>
      <c r="L323" s="79">
        <v>323</v>
      </c>
      <c r="M323" s="79"/>
      <c r="N323" s="74"/>
      <c r="O323" s="81" t="s">
        <v>587</v>
      </c>
      <c r="P323" s="83">
        <v>44005.1121875</v>
      </c>
      <c r="Q323" s="81" t="s">
        <v>662</v>
      </c>
      <c r="R323" s="81"/>
      <c r="S323" s="81"/>
      <c r="T323" s="81" t="s">
        <v>707</v>
      </c>
      <c r="U323" s="81"/>
      <c r="V323" s="84" t="str">
        <f>HYPERLINK("http://pbs.twimg.com/profile_images/953436802110623744/NK6Q5dVg_normal.jpg")</f>
        <v>http://pbs.twimg.com/profile_images/953436802110623744/NK6Q5dVg_normal.jpg</v>
      </c>
      <c r="W323" s="83">
        <v>44005.1121875</v>
      </c>
      <c r="X323" s="87">
        <v>44005</v>
      </c>
      <c r="Y323" s="89" t="s">
        <v>841</v>
      </c>
      <c r="Z323" s="84" t="str">
        <f>HYPERLINK("https://twitter.com/jornalismodados/status/1275257656954011650")</f>
        <v>https://twitter.com/jornalismodados/status/1275257656954011650</v>
      </c>
      <c r="AA323" s="81"/>
      <c r="AB323" s="81"/>
      <c r="AC323" s="89" t="s">
        <v>1093</v>
      </c>
      <c r="AD323" s="81"/>
      <c r="AE323" s="81" t="b">
        <v>0</v>
      </c>
      <c r="AF323" s="81">
        <v>0</v>
      </c>
      <c r="AG323" s="89" t="s">
        <v>1149</v>
      </c>
      <c r="AH323" s="81" t="b">
        <v>0</v>
      </c>
      <c r="AI323" s="81" t="s">
        <v>1155</v>
      </c>
      <c r="AJ323" s="81"/>
      <c r="AK323" s="89" t="s">
        <v>1149</v>
      </c>
      <c r="AL323" s="81" t="b">
        <v>0</v>
      </c>
      <c r="AM323" s="81">
        <v>0</v>
      </c>
      <c r="AN323" s="89" t="s">
        <v>1149</v>
      </c>
      <c r="AO323" s="81" t="s">
        <v>1180</v>
      </c>
      <c r="AP323" s="81" t="b">
        <v>0</v>
      </c>
      <c r="AQ323" s="89" t="s">
        <v>1093</v>
      </c>
      <c r="AR323" s="81" t="s">
        <v>325</v>
      </c>
      <c r="AS323" s="81">
        <v>0</v>
      </c>
      <c r="AT323" s="81">
        <v>0</v>
      </c>
      <c r="AU323" s="81"/>
      <c r="AV323" s="81"/>
      <c r="AW323" s="81"/>
      <c r="AX323" s="81"/>
      <c r="AY323" s="81"/>
      <c r="AZ323" s="81"/>
      <c r="BA323" s="81"/>
      <c r="BB323" s="81"/>
      <c r="BC323">
        <v>8</v>
      </c>
      <c r="BD323" s="80" t="str">
        <f>REPLACE(INDEX(GroupVertices[Group],MATCH(Edges[[#This Row],[Vertex 1]],GroupVertices[Vertex],0)),1,1,"")</f>
        <v>1</v>
      </c>
      <c r="BE323" s="80" t="str">
        <f>REPLACE(INDEX(GroupVertices[Group],MATCH(Edges[[#This Row],[Vertex 2]],GroupVertices[Vertex],0)),1,1,"")</f>
        <v>1</v>
      </c>
      <c r="BF323" s="48">
        <v>0</v>
      </c>
      <c r="BG323" s="49">
        <v>0</v>
      </c>
      <c r="BH323" s="48">
        <v>0</v>
      </c>
      <c r="BI323" s="49">
        <v>0</v>
      </c>
      <c r="BJ323" s="48">
        <v>0</v>
      </c>
      <c r="BK323" s="49">
        <v>0</v>
      </c>
      <c r="BL323" s="48">
        <v>26</v>
      </c>
      <c r="BM323" s="49">
        <v>100</v>
      </c>
      <c r="BN323" s="48">
        <v>26</v>
      </c>
    </row>
    <row r="324" spans="1:66" ht="15">
      <c r="A324" s="66" t="s">
        <v>473</v>
      </c>
      <c r="B324" s="66" t="s">
        <v>569</v>
      </c>
      <c r="C324" s="67" t="s">
        <v>3150</v>
      </c>
      <c r="D324" s="68">
        <v>10</v>
      </c>
      <c r="E324" s="69" t="s">
        <v>136</v>
      </c>
      <c r="F324" s="70">
        <v>10</v>
      </c>
      <c r="G324" s="67"/>
      <c r="H324" s="71"/>
      <c r="I324" s="72"/>
      <c r="J324" s="72"/>
      <c r="K324" s="34" t="s">
        <v>65</v>
      </c>
      <c r="L324" s="79">
        <v>324</v>
      </c>
      <c r="M324" s="79"/>
      <c r="N324" s="74"/>
      <c r="O324" s="81" t="s">
        <v>587</v>
      </c>
      <c r="P324" s="83">
        <v>44005.15384259259</v>
      </c>
      <c r="Q324" s="81" t="s">
        <v>663</v>
      </c>
      <c r="R324" s="84" t="str">
        <f>HYPERLINK("https://twitter.com/i/web/status/1275260122881802240")</f>
        <v>https://twitter.com/i/web/status/1275260122881802240</v>
      </c>
      <c r="S324" s="81" t="s">
        <v>676</v>
      </c>
      <c r="T324" s="81" t="s">
        <v>720</v>
      </c>
      <c r="U324" s="81"/>
      <c r="V324" s="84" t="str">
        <f>HYPERLINK("http://pbs.twimg.com/profile_images/953436802110623744/NK6Q5dVg_normal.jpg")</f>
        <v>http://pbs.twimg.com/profile_images/953436802110623744/NK6Q5dVg_normal.jpg</v>
      </c>
      <c r="W324" s="83">
        <v>44005.15384259259</v>
      </c>
      <c r="X324" s="87">
        <v>44005</v>
      </c>
      <c r="Y324" s="89" t="s">
        <v>885</v>
      </c>
      <c r="Z324" s="84" t="str">
        <f>HYPERLINK("https://twitter.com/jornalismodados/status/1275272755219443713")</f>
        <v>https://twitter.com/jornalismodados/status/1275272755219443713</v>
      </c>
      <c r="AA324" s="81"/>
      <c r="AB324" s="81"/>
      <c r="AC324" s="89" t="s">
        <v>1095</v>
      </c>
      <c r="AD324" s="81"/>
      <c r="AE324" s="81" t="b">
        <v>0</v>
      </c>
      <c r="AF324" s="81">
        <v>0</v>
      </c>
      <c r="AG324" s="89" t="s">
        <v>1149</v>
      </c>
      <c r="AH324" s="81" t="b">
        <v>0</v>
      </c>
      <c r="AI324" s="81" t="s">
        <v>1155</v>
      </c>
      <c r="AJ324" s="81"/>
      <c r="AK324" s="89" t="s">
        <v>1149</v>
      </c>
      <c r="AL324" s="81" t="b">
        <v>0</v>
      </c>
      <c r="AM324" s="81">
        <v>0</v>
      </c>
      <c r="AN324" s="89" t="s">
        <v>1149</v>
      </c>
      <c r="AO324" s="81" t="s">
        <v>1180</v>
      </c>
      <c r="AP324" s="81" t="b">
        <v>0</v>
      </c>
      <c r="AQ324" s="89" t="s">
        <v>1095</v>
      </c>
      <c r="AR324" s="81" t="s">
        <v>325</v>
      </c>
      <c r="AS324" s="81">
        <v>0</v>
      </c>
      <c r="AT324" s="81">
        <v>0</v>
      </c>
      <c r="AU324" s="81"/>
      <c r="AV324" s="81"/>
      <c r="AW324" s="81"/>
      <c r="AX324" s="81"/>
      <c r="AY324" s="81"/>
      <c r="AZ324" s="81"/>
      <c r="BA324" s="81"/>
      <c r="BB324" s="81"/>
      <c r="BC324">
        <v>8</v>
      </c>
      <c r="BD324" s="80" t="str">
        <f>REPLACE(INDEX(GroupVertices[Group],MATCH(Edges[[#This Row],[Vertex 1]],GroupVertices[Vertex],0)),1,1,"")</f>
        <v>1</v>
      </c>
      <c r="BE324" s="80" t="str">
        <f>REPLACE(INDEX(GroupVertices[Group],MATCH(Edges[[#This Row],[Vertex 2]],GroupVertices[Vertex],0)),1,1,"")</f>
        <v>1</v>
      </c>
      <c r="BF324" s="48"/>
      <c r="BG324" s="49"/>
      <c r="BH324" s="48"/>
      <c r="BI324" s="49"/>
      <c r="BJ324" s="48"/>
      <c r="BK324" s="49"/>
      <c r="BL324" s="48"/>
      <c r="BM324" s="49"/>
      <c r="BN324" s="48"/>
    </row>
    <row r="325" spans="1:66" ht="15">
      <c r="A325" s="66" t="s">
        <v>473</v>
      </c>
      <c r="B325" s="66" t="s">
        <v>579</v>
      </c>
      <c r="C325" s="67" t="s">
        <v>3149</v>
      </c>
      <c r="D325" s="68">
        <v>4</v>
      </c>
      <c r="E325" s="69" t="s">
        <v>132</v>
      </c>
      <c r="F325" s="70">
        <v>30</v>
      </c>
      <c r="G325" s="67"/>
      <c r="H325" s="71"/>
      <c r="I325" s="72"/>
      <c r="J325" s="72"/>
      <c r="K325" s="34" t="s">
        <v>65</v>
      </c>
      <c r="L325" s="79">
        <v>325</v>
      </c>
      <c r="M325" s="79"/>
      <c r="N325" s="74"/>
      <c r="O325" s="81" t="s">
        <v>587</v>
      </c>
      <c r="P325" s="83">
        <v>44005.15384259259</v>
      </c>
      <c r="Q325" s="81" t="s">
        <v>663</v>
      </c>
      <c r="R325" s="84" t="str">
        <f>HYPERLINK("https://twitter.com/i/web/status/1275260122881802240")</f>
        <v>https://twitter.com/i/web/status/1275260122881802240</v>
      </c>
      <c r="S325" s="81" t="s">
        <v>676</v>
      </c>
      <c r="T325" s="81" t="s">
        <v>720</v>
      </c>
      <c r="U325" s="81"/>
      <c r="V325" s="84" t="str">
        <f>HYPERLINK("http://pbs.twimg.com/profile_images/953436802110623744/NK6Q5dVg_normal.jpg")</f>
        <v>http://pbs.twimg.com/profile_images/953436802110623744/NK6Q5dVg_normal.jpg</v>
      </c>
      <c r="W325" s="83">
        <v>44005.15384259259</v>
      </c>
      <c r="X325" s="87">
        <v>44005</v>
      </c>
      <c r="Y325" s="89" t="s">
        <v>885</v>
      </c>
      <c r="Z325" s="84" t="str">
        <f>HYPERLINK("https://twitter.com/jornalismodados/status/1275272755219443713")</f>
        <v>https://twitter.com/jornalismodados/status/1275272755219443713</v>
      </c>
      <c r="AA325" s="81"/>
      <c r="AB325" s="81"/>
      <c r="AC325" s="89" t="s">
        <v>1095</v>
      </c>
      <c r="AD325" s="81"/>
      <c r="AE325" s="81" t="b">
        <v>0</v>
      </c>
      <c r="AF325" s="81">
        <v>0</v>
      </c>
      <c r="AG325" s="89" t="s">
        <v>1149</v>
      </c>
      <c r="AH325" s="81" t="b">
        <v>0</v>
      </c>
      <c r="AI325" s="81" t="s">
        <v>1155</v>
      </c>
      <c r="AJ325" s="81"/>
      <c r="AK325" s="89" t="s">
        <v>1149</v>
      </c>
      <c r="AL325" s="81" t="b">
        <v>0</v>
      </c>
      <c r="AM325" s="81">
        <v>0</v>
      </c>
      <c r="AN325" s="89" t="s">
        <v>1149</v>
      </c>
      <c r="AO325" s="81" t="s">
        <v>1180</v>
      </c>
      <c r="AP325" s="81" t="b">
        <v>0</v>
      </c>
      <c r="AQ325" s="89" t="s">
        <v>1095</v>
      </c>
      <c r="AR325" s="81" t="s">
        <v>325</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1</v>
      </c>
      <c r="BF325" s="48">
        <v>0</v>
      </c>
      <c r="BG325" s="49">
        <v>0</v>
      </c>
      <c r="BH325" s="48">
        <v>0</v>
      </c>
      <c r="BI325" s="49">
        <v>0</v>
      </c>
      <c r="BJ325" s="48">
        <v>0</v>
      </c>
      <c r="BK325" s="49">
        <v>0</v>
      </c>
      <c r="BL325" s="48">
        <v>20</v>
      </c>
      <c r="BM325" s="49">
        <v>100</v>
      </c>
      <c r="BN325" s="48">
        <v>20</v>
      </c>
    </row>
    <row r="326" spans="1:66" ht="15">
      <c r="A326" s="66" t="s">
        <v>476</v>
      </c>
      <c r="B326" s="66" t="s">
        <v>534</v>
      </c>
      <c r="C326" s="67" t="s">
        <v>3149</v>
      </c>
      <c r="D326" s="68">
        <v>4</v>
      </c>
      <c r="E326" s="69" t="s">
        <v>132</v>
      </c>
      <c r="F326" s="70">
        <v>30</v>
      </c>
      <c r="G326" s="67"/>
      <c r="H326" s="71"/>
      <c r="I326" s="72"/>
      <c r="J326" s="72"/>
      <c r="K326" s="34" t="s">
        <v>65</v>
      </c>
      <c r="L326" s="79">
        <v>326</v>
      </c>
      <c r="M326" s="79"/>
      <c r="N326" s="74"/>
      <c r="O326" s="81" t="s">
        <v>588</v>
      </c>
      <c r="P326" s="83">
        <v>44005.15825231482</v>
      </c>
      <c r="Q326" s="81" t="s">
        <v>611</v>
      </c>
      <c r="R326" s="81"/>
      <c r="S326" s="81"/>
      <c r="T326" s="81" t="s">
        <v>711</v>
      </c>
      <c r="U326" s="81"/>
      <c r="V326" s="84" t="str">
        <f>HYPERLINK("http://pbs.twimg.com/profile_images/870835366672171009/tQ1b0Q8Q_normal.jpg")</f>
        <v>http://pbs.twimg.com/profile_images/870835366672171009/tQ1b0Q8Q_normal.jpg</v>
      </c>
      <c r="W326" s="83">
        <v>44005.15825231482</v>
      </c>
      <c r="X326" s="87">
        <v>44005</v>
      </c>
      <c r="Y326" s="89" t="s">
        <v>886</v>
      </c>
      <c r="Z326" s="84" t="str">
        <f>HYPERLINK("https://twitter.com/paulmenam/status/1275274350422351872")</f>
        <v>https://twitter.com/paulmenam/status/1275274350422351872</v>
      </c>
      <c r="AA326" s="81"/>
      <c r="AB326" s="81"/>
      <c r="AC326" s="89" t="s">
        <v>1096</v>
      </c>
      <c r="AD326" s="81"/>
      <c r="AE326" s="81" t="b">
        <v>0</v>
      </c>
      <c r="AF326" s="81">
        <v>0</v>
      </c>
      <c r="AG326" s="89" t="s">
        <v>1149</v>
      </c>
      <c r="AH326" s="81" t="b">
        <v>0</v>
      </c>
      <c r="AI326" s="81" t="s">
        <v>1150</v>
      </c>
      <c r="AJ326" s="81"/>
      <c r="AK326" s="89" t="s">
        <v>1149</v>
      </c>
      <c r="AL326" s="81" t="b">
        <v>0</v>
      </c>
      <c r="AM326" s="81">
        <v>23</v>
      </c>
      <c r="AN326" s="89" t="s">
        <v>1139</v>
      </c>
      <c r="AO326" s="81" t="s">
        <v>1172</v>
      </c>
      <c r="AP326" s="81" t="b">
        <v>0</v>
      </c>
      <c r="AQ326" s="89" t="s">
        <v>1139</v>
      </c>
      <c r="AR326" s="81" t="s">
        <v>325</v>
      </c>
      <c r="AS326" s="81">
        <v>0</v>
      </c>
      <c r="AT326" s="81">
        <v>0</v>
      </c>
      <c r="AU326" s="81"/>
      <c r="AV326" s="81"/>
      <c r="AW326" s="81"/>
      <c r="AX326" s="81"/>
      <c r="AY326" s="81"/>
      <c r="AZ326" s="81"/>
      <c r="BA326" s="81"/>
      <c r="BB326" s="81"/>
      <c r="BC326">
        <v>1</v>
      </c>
      <c r="BD326" s="80" t="str">
        <f>REPLACE(INDEX(GroupVertices[Group],MATCH(Edges[[#This Row],[Vertex 1]],GroupVertices[Vertex],0)),1,1,"")</f>
        <v>4</v>
      </c>
      <c r="BE326" s="80" t="str">
        <f>REPLACE(INDEX(GroupVertices[Group],MATCH(Edges[[#This Row],[Vertex 2]],GroupVertices[Vertex],0)),1,1,"")</f>
        <v>4</v>
      </c>
      <c r="BF326" s="48"/>
      <c r="BG326" s="49"/>
      <c r="BH326" s="48"/>
      <c r="BI326" s="49"/>
      <c r="BJ326" s="48"/>
      <c r="BK326" s="49"/>
      <c r="BL326" s="48"/>
      <c r="BM326" s="49"/>
      <c r="BN326" s="48"/>
    </row>
    <row r="327" spans="1:66" ht="15">
      <c r="A327" s="66" t="s">
        <v>476</v>
      </c>
      <c r="B327" s="66" t="s">
        <v>511</v>
      </c>
      <c r="C327" s="67" t="s">
        <v>3149</v>
      </c>
      <c r="D327" s="68">
        <v>4</v>
      </c>
      <c r="E327" s="69" t="s">
        <v>132</v>
      </c>
      <c r="F327" s="70">
        <v>30</v>
      </c>
      <c r="G327" s="67"/>
      <c r="H327" s="71"/>
      <c r="I327" s="72"/>
      <c r="J327" s="72"/>
      <c r="K327" s="34" t="s">
        <v>65</v>
      </c>
      <c r="L327" s="79">
        <v>327</v>
      </c>
      <c r="M327" s="79"/>
      <c r="N327" s="74"/>
      <c r="O327" s="81" t="s">
        <v>586</v>
      </c>
      <c r="P327" s="83">
        <v>44005.15825231482</v>
      </c>
      <c r="Q327" s="81" t="s">
        <v>611</v>
      </c>
      <c r="R327" s="81"/>
      <c r="S327" s="81"/>
      <c r="T327" s="81" t="s">
        <v>711</v>
      </c>
      <c r="U327" s="81"/>
      <c r="V327" s="84" t="str">
        <f>HYPERLINK("http://pbs.twimg.com/profile_images/870835366672171009/tQ1b0Q8Q_normal.jpg")</f>
        <v>http://pbs.twimg.com/profile_images/870835366672171009/tQ1b0Q8Q_normal.jpg</v>
      </c>
      <c r="W327" s="83">
        <v>44005.15825231482</v>
      </c>
      <c r="X327" s="87">
        <v>44005</v>
      </c>
      <c r="Y327" s="89" t="s">
        <v>886</v>
      </c>
      <c r="Z327" s="84" t="str">
        <f>HYPERLINK("https://twitter.com/paulmenam/status/1275274350422351872")</f>
        <v>https://twitter.com/paulmenam/status/1275274350422351872</v>
      </c>
      <c r="AA327" s="81"/>
      <c r="AB327" s="81"/>
      <c r="AC327" s="89" t="s">
        <v>1096</v>
      </c>
      <c r="AD327" s="81"/>
      <c r="AE327" s="81" t="b">
        <v>0</v>
      </c>
      <c r="AF327" s="81">
        <v>0</v>
      </c>
      <c r="AG327" s="89" t="s">
        <v>1149</v>
      </c>
      <c r="AH327" s="81" t="b">
        <v>0</v>
      </c>
      <c r="AI327" s="81" t="s">
        <v>1150</v>
      </c>
      <c r="AJ327" s="81"/>
      <c r="AK327" s="89" t="s">
        <v>1149</v>
      </c>
      <c r="AL327" s="81" t="b">
        <v>0</v>
      </c>
      <c r="AM327" s="81">
        <v>23</v>
      </c>
      <c r="AN327" s="89" t="s">
        <v>1139</v>
      </c>
      <c r="AO327" s="81" t="s">
        <v>1172</v>
      </c>
      <c r="AP327" s="81" t="b">
        <v>0</v>
      </c>
      <c r="AQ327" s="89" t="s">
        <v>1139</v>
      </c>
      <c r="AR327" s="81" t="s">
        <v>325</v>
      </c>
      <c r="AS327" s="81">
        <v>0</v>
      </c>
      <c r="AT327" s="81">
        <v>0</v>
      </c>
      <c r="AU327" s="81"/>
      <c r="AV327" s="81"/>
      <c r="AW327" s="81"/>
      <c r="AX327" s="81"/>
      <c r="AY327" s="81"/>
      <c r="AZ327" s="81"/>
      <c r="BA327" s="81"/>
      <c r="BB327" s="81"/>
      <c r="BC327">
        <v>1</v>
      </c>
      <c r="BD327" s="80" t="str">
        <f>REPLACE(INDEX(GroupVertices[Group],MATCH(Edges[[#This Row],[Vertex 1]],GroupVertices[Vertex],0)),1,1,"")</f>
        <v>4</v>
      </c>
      <c r="BE327" s="80" t="str">
        <f>REPLACE(INDEX(GroupVertices[Group],MATCH(Edges[[#This Row],[Vertex 2]],GroupVertices[Vertex],0)),1,1,"")</f>
        <v>4</v>
      </c>
      <c r="BF327" s="48">
        <v>1</v>
      </c>
      <c r="BG327" s="49">
        <v>3.125</v>
      </c>
      <c r="BH327" s="48">
        <v>1</v>
      </c>
      <c r="BI327" s="49">
        <v>3.125</v>
      </c>
      <c r="BJ327" s="48">
        <v>0</v>
      </c>
      <c r="BK327" s="49">
        <v>0</v>
      </c>
      <c r="BL327" s="48">
        <v>30</v>
      </c>
      <c r="BM327" s="49">
        <v>93.75</v>
      </c>
      <c r="BN327" s="48">
        <v>32</v>
      </c>
    </row>
    <row r="328" spans="1:66" ht="15">
      <c r="A328" s="66" t="s">
        <v>477</v>
      </c>
      <c r="B328" s="66" t="s">
        <v>534</v>
      </c>
      <c r="C328" s="67" t="s">
        <v>3149</v>
      </c>
      <c r="D328" s="68">
        <v>4</v>
      </c>
      <c r="E328" s="69" t="s">
        <v>132</v>
      </c>
      <c r="F328" s="70">
        <v>30</v>
      </c>
      <c r="G328" s="67"/>
      <c r="H328" s="71"/>
      <c r="I328" s="72"/>
      <c r="J328" s="72"/>
      <c r="K328" s="34" t="s">
        <v>65</v>
      </c>
      <c r="L328" s="79">
        <v>328</v>
      </c>
      <c r="M328" s="79"/>
      <c r="N328" s="74"/>
      <c r="O328" s="81" t="s">
        <v>588</v>
      </c>
      <c r="P328" s="83">
        <v>44005.1887037037</v>
      </c>
      <c r="Q328" s="81" t="s">
        <v>611</v>
      </c>
      <c r="R328" s="81"/>
      <c r="S328" s="81"/>
      <c r="T328" s="81" t="s">
        <v>711</v>
      </c>
      <c r="U328" s="81"/>
      <c r="V328" s="84" t="str">
        <f>HYPERLINK("http://pbs.twimg.com/profile_images/1253014874658967554/34xpMWEE_normal.jpg")</f>
        <v>http://pbs.twimg.com/profile_images/1253014874658967554/34xpMWEE_normal.jpg</v>
      </c>
      <c r="W328" s="83">
        <v>44005.1887037037</v>
      </c>
      <c r="X328" s="87">
        <v>44005</v>
      </c>
      <c r="Y328" s="89" t="s">
        <v>887</v>
      </c>
      <c r="Z328" s="84" t="str">
        <f>HYPERLINK("https://twitter.com/jishnuen/status/1275285384876843010")</f>
        <v>https://twitter.com/jishnuen/status/1275285384876843010</v>
      </c>
      <c r="AA328" s="81"/>
      <c r="AB328" s="81"/>
      <c r="AC328" s="89" t="s">
        <v>1097</v>
      </c>
      <c r="AD328" s="81"/>
      <c r="AE328" s="81" t="b">
        <v>0</v>
      </c>
      <c r="AF328" s="81">
        <v>0</v>
      </c>
      <c r="AG328" s="89" t="s">
        <v>1149</v>
      </c>
      <c r="AH328" s="81" t="b">
        <v>0</v>
      </c>
      <c r="AI328" s="81" t="s">
        <v>1150</v>
      </c>
      <c r="AJ328" s="81"/>
      <c r="AK328" s="89" t="s">
        <v>1149</v>
      </c>
      <c r="AL328" s="81" t="b">
        <v>0</v>
      </c>
      <c r="AM328" s="81">
        <v>23</v>
      </c>
      <c r="AN328" s="89" t="s">
        <v>1139</v>
      </c>
      <c r="AO328" s="81" t="s">
        <v>1165</v>
      </c>
      <c r="AP328" s="81" t="b">
        <v>0</v>
      </c>
      <c r="AQ328" s="89" t="s">
        <v>1139</v>
      </c>
      <c r="AR328" s="81" t="s">
        <v>325</v>
      </c>
      <c r="AS328" s="81">
        <v>0</v>
      </c>
      <c r="AT328" s="81">
        <v>0</v>
      </c>
      <c r="AU328" s="81"/>
      <c r="AV328" s="81"/>
      <c r="AW328" s="81"/>
      <c r="AX328" s="81"/>
      <c r="AY328" s="81"/>
      <c r="AZ328" s="81"/>
      <c r="BA328" s="81"/>
      <c r="BB328" s="81"/>
      <c r="BC328">
        <v>1</v>
      </c>
      <c r="BD328" s="80" t="str">
        <f>REPLACE(INDEX(GroupVertices[Group],MATCH(Edges[[#This Row],[Vertex 1]],GroupVertices[Vertex],0)),1,1,"")</f>
        <v>4</v>
      </c>
      <c r="BE328" s="80" t="str">
        <f>REPLACE(INDEX(GroupVertices[Group],MATCH(Edges[[#This Row],[Vertex 2]],GroupVertices[Vertex],0)),1,1,"")</f>
        <v>4</v>
      </c>
      <c r="BF328" s="48"/>
      <c r="BG328" s="49"/>
      <c r="BH328" s="48"/>
      <c r="BI328" s="49"/>
      <c r="BJ328" s="48"/>
      <c r="BK328" s="49"/>
      <c r="BL328" s="48"/>
      <c r="BM328" s="49"/>
      <c r="BN328" s="48"/>
    </row>
    <row r="329" spans="1:66" ht="15">
      <c r="A329" s="66" t="s">
        <v>477</v>
      </c>
      <c r="B329" s="66" t="s">
        <v>511</v>
      </c>
      <c r="C329" s="67" t="s">
        <v>3149</v>
      </c>
      <c r="D329" s="68">
        <v>4</v>
      </c>
      <c r="E329" s="69" t="s">
        <v>132</v>
      </c>
      <c r="F329" s="70">
        <v>30</v>
      </c>
      <c r="G329" s="67"/>
      <c r="H329" s="71"/>
      <c r="I329" s="72"/>
      <c r="J329" s="72"/>
      <c r="K329" s="34" t="s">
        <v>65</v>
      </c>
      <c r="L329" s="79">
        <v>329</v>
      </c>
      <c r="M329" s="79"/>
      <c r="N329" s="74"/>
      <c r="O329" s="81" t="s">
        <v>586</v>
      </c>
      <c r="P329" s="83">
        <v>44005.1887037037</v>
      </c>
      <c r="Q329" s="81" t="s">
        <v>611</v>
      </c>
      <c r="R329" s="81"/>
      <c r="S329" s="81"/>
      <c r="T329" s="81" t="s">
        <v>711</v>
      </c>
      <c r="U329" s="81"/>
      <c r="V329" s="84" t="str">
        <f>HYPERLINK("http://pbs.twimg.com/profile_images/1253014874658967554/34xpMWEE_normal.jpg")</f>
        <v>http://pbs.twimg.com/profile_images/1253014874658967554/34xpMWEE_normal.jpg</v>
      </c>
      <c r="W329" s="83">
        <v>44005.1887037037</v>
      </c>
      <c r="X329" s="87">
        <v>44005</v>
      </c>
      <c r="Y329" s="89" t="s">
        <v>887</v>
      </c>
      <c r="Z329" s="84" t="str">
        <f>HYPERLINK("https://twitter.com/jishnuen/status/1275285384876843010")</f>
        <v>https://twitter.com/jishnuen/status/1275285384876843010</v>
      </c>
      <c r="AA329" s="81"/>
      <c r="AB329" s="81"/>
      <c r="AC329" s="89" t="s">
        <v>1097</v>
      </c>
      <c r="AD329" s="81"/>
      <c r="AE329" s="81" t="b">
        <v>0</v>
      </c>
      <c r="AF329" s="81">
        <v>0</v>
      </c>
      <c r="AG329" s="89" t="s">
        <v>1149</v>
      </c>
      <c r="AH329" s="81" t="b">
        <v>0</v>
      </c>
      <c r="AI329" s="81" t="s">
        <v>1150</v>
      </c>
      <c r="AJ329" s="81"/>
      <c r="AK329" s="89" t="s">
        <v>1149</v>
      </c>
      <c r="AL329" s="81" t="b">
        <v>0</v>
      </c>
      <c r="AM329" s="81">
        <v>23</v>
      </c>
      <c r="AN329" s="89" t="s">
        <v>1139</v>
      </c>
      <c r="AO329" s="81" t="s">
        <v>1165</v>
      </c>
      <c r="AP329" s="81" t="b">
        <v>0</v>
      </c>
      <c r="AQ329" s="89" t="s">
        <v>1139</v>
      </c>
      <c r="AR329" s="81" t="s">
        <v>325</v>
      </c>
      <c r="AS329" s="81">
        <v>0</v>
      </c>
      <c r="AT329" s="81">
        <v>0</v>
      </c>
      <c r="AU329" s="81"/>
      <c r="AV329" s="81"/>
      <c r="AW329" s="81"/>
      <c r="AX329" s="81"/>
      <c r="AY329" s="81"/>
      <c r="AZ329" s="81"/>
      <c r="BA329" s="81"/>
      <c r="BB329" s="81"/>
      <c r="BC329">
        <v>1</v>
      </c>
      <c r="BD329" s="80" t="str">
        <f>REPLACE(INDEX(GroupVertices[Group],MATCH(Edges[[#This Row],[Vertex 1]],GroupVertices[Vertex],0)),1,1,"")</f>
        <v>4</v>
      </c>
      <c r="BE329" s="80" t="str">
        <f>REPLACE(INDEX(GroupVertices[Group],MATCH(Edges[[#This Row],[Vertex 2]],GroupVertices[Vertex],0)),1,1,"")</f>
        <v>4</v>
      </c>
      <c r="BF329" s="48">
        <v>1</v>
      </c>
      <c r="BG329" s="49">
        <v>3.125</v>
      </c>
      <c r="BH329" s="48">
        <v>1</v>
      </c>
      <c r="BI329" s="49">
        <v>3.125</v>
      </c>
      <c r="BJ329" s="48">
        <v>0</v>
      </c>
      <c r="BK329" s="49">
        <v>0</v>
      </c>
      <c r="BL329" s="48">
        <v>30</v>
      </c>
      <c r="BM329" s="49">
        <v>93.75</v>
      </c>
      <c r="BN329" s="48">
        <v>32</v>
      </c>
    </row>
    <row r="330" spans="1:66" ht="15">
      <c r="A330" s="66" t="s">
        <v>478</v>
      </c>
      <c r="B330" s="66" t="s">
        <v>534</v>
      </c>
      <c r="C330" s="67" t="s">
        <v>3149</v>
      </c>
      <c r="D330" s="68">
        <v>4</v>
      </c>
      <c r="E330" s="69" t="s">
        <v>132</v>
      </c>
      <c r="F330" s="70">
        <v>30</v>
      </c>
      <c r="G330" s="67"/>
      <c r="H330" s="71"/>
      <c r="I330" s="72"/>
      <c r="J330" s="72"/>
      <c r="K330" s="34" t="s">
        <v>65</v>
      </c>
      <c r="L330" s="79">
        <v>330</v>
      </c>
      <c r="M330" s="79"/>
      <c r="N330" s="74"/>
      <c r="O330" s="81" t="s">
        <v>588</v>
      </c>
      <c r="P330" s="83">
        <v>44005.188935185186</v>
      </c>
      <c r="Q330" s="81" t="s">
        <v>611</v>
      </c>
      <c r="R330" s="81"/>
      <c r="S330" s="81"/>
      <c r="T330" s="81" t="s">
        <v>711</v>
      </c>
      <c r="U330" s="81"/>
      <c r="V330" s="84" t="str">
        <f>HYPERLINK("http://pbs.twimg.com/profile_images/1118940255237885955/MqZIDexM_normal.jpg")</f>
        <v>http://pbs.twimg.com/profile_images/1118940255237885955/MqZIDexM_normal.jpg</v>
      </c>
      <c r="W330" s="83">
        <v>44005.188935185186</v>
      </c>
      <c r="X330" s="87">
        <v>44005</v>
      </c>
      <c r="Y330" s="89" t="s">
        <v>888</v>
      </c>
      <c r="Z330" s="84" t="str">
        <f>HYPERLINK("https://twitter.com/lilliefears/status/1275285470461771776")</f>
        <v>https://twitter.com/lilliefears/status/1275285470461771776</v>
      </c>
      <c r="AA330" s="81"/>
      <c r="AB330" s="81"/>
      <c r="AC330" s="89" t="s">
        <v>1098</v>
      </c>
      <c r="AD330" s="81"/>
      <c r="AE330" s="81" t="b">
        <v>0</v>
      </c>
      <c r="AF330" s="81">
        <v>0</v>
      </c>
      <c r="AG330" s="89" t="s">
        <v>1149</v>
      </c>
      <c r="AH330" s="81" t="b">
        <v>0</v>
      </c>
      <c r="AI330" s="81" t="s">
        <v>1150</v>
      </c>
      <c r="AJ330" s="81"/>
      <c r="AK330" s="89" t="s">
        <v>1149</v>
      </c>
      <c r="AL330" s="81" t="b">
        <v>0</v>
      </c>
      <c r="AM330" s="81">
        <v>23</v>
      </c>
      <c r="AN330" s="89" t="s">
        <v>1139</v>
      </c>
      <c r="AO330" s="81" t="s">
        <v>1172</v>
      </c>
      <c r="AP330" s="81" t="b">
        <v>0</v>
      </c>
      <c r="AQ330" s="89" t="s">
        <v>1139</v>
      </c>
      <c r="AR330" s="81" t="s">
        <v>325</v>
      </c>
      <c r="AS330" s="81">
        <v>0</v>
      </c>
      <c r="AT330" s="81">
        <v>0</v>
      </c>
      <c r="AU330" s="81"/>
      <c r="AV330" s="81"/>
      <c r="AW330" s="81"/>
      <c r="AX330" s="81"/>
      <c r="AY330" s="81"/>
      <c r="AZ330" s="81"/>
      <c r="BA330" s="81"/>
      <c r="BB330" s="81"/>
      <c r="BC330">
        <v>1</v>
      </c>
      <c r="BD330" s="80" t="str">
        <f>REPLACE(INDEX(GroupVertices[Group],MATCH(Edges[[#This Row],[Vertex 1]],GroupVertices[Vertex],0)),1,1,"")</f>
        <v>4</v>
      </c>
      <c r="BE330" s="80" t="str">
        <f>REPLACE(INDEX(GroupVertices[Group],MATCH(Edges[[#This Row],[Vertex 2]],GroupVertices[Vertex],0)),1,1,"")</f>
        <v>4</v>
      </c>
      <c r="BF330" s="48"/>
      <c r="BG330" s="49"/>
      <c r="BH330" s="48"/>
      <c r="BI330" s="49"/>
      <c r="BJ330" s="48"/>
      <c r="BK330" s="49"/>
      <c r="BL330" s="48"/>
      <c r="BM330" s="49"/>
      <c r="BN330" s="48"/>
    </row>
    <row r="331" spans="1:66" ht="15">
      <c r="A331" s="66" t="s">
        <v>478</v>
      </c>
      <c r="B331" s="66" t="s">
        <v>511</v>
      </c>
      <c r="C331" s="67" t="s">
        <v>3149</v>
      </c>
      <c r="D331" s="68">
        <v>4</v>
      </c>
      <c r="E331" s="69" t="s">
        <v>132</v>
      </c>
      <c r="F331" s="70">
        <v>30</v>
      </c>
      <c r="G331" s="67"/>
      <c r="H331" s="71"/>
      <c r="I331" s="72"/>
      <c r="J331" s="72"/>
      <c r="K331" s="34" t="s">
        <v>65</v>
      </c>
      <c r="L331" s="79">
        <v>331</v>
      </c>
      <c r="M331" s="79"/>
      <c r="N331" s="74"/>
      <c r="O331" s="81" t="s">
        <v>586</v>
      </c>
      <c r="P331" s="83">
        <v>44005.188935185186</v>
      </c>
      <c r="Q331" s="81" t="s">
        <v>611</v>
      </c>
      <c r="R331" s="81"/>
      <c r="S331" s="81"/>
      <c r="T331" s="81" t="s">
        <v>711</v>
      </c>
      <c r="U331" s="81"/>
      <c r="V331" s="84" t="str">
        <f>HYPERLINK("http://pbs.twimg.com/profile_images/1118940255237885955/MqZIDexM_normal.jpg")</f>
        <v>http://pbs.twimg.com/profile_images/1118940255237885955/MqZIDexM_normal.jpg</v>
      </c>
      <c r="W331" s="83">
        <v>44005.188935185186</v>
      </c>
      <c r="X331" s="87">
        <v>44005</v>
      </c>
      <c r="Y331" s="89" t="s">
        <v>888</v>
      </c>
      <c r="Z331" s="84" t="str">
        <f>HYPERLINK("https://twitter.com/lilliefears/status/1275285470461771776")</f>
        <v>https://twitter.com/lilliefears/status/1275285470461771776</v>
      </c>
      <c r="AA331" s="81"/>
      <c r="AB331" s="81"/>
      <c r="AC331" s="89" t="s">
        <v>1098</v>
      </c>
      <c r="AD331" s="81"/>
      <c r="AE331" s="81" t="b">
        <v>0</v>
      </c>
      <c r="AF331" s="81">
        <v>0</v>
      </c>
      <c r="AG331" s="89" t="s">
        <v>1149</v>
      </c>
      <c r="AH331" s="81" t="b">
        <v>0</v>
      </c>
      <c r="AI331" s="81" t="s">
        <v>1150</v>
      </c>
      <c r="AJ331" s="81"/>
      <c r="AK331" s="89" t="s">
        <v>1149</v>
      </c>
      <c r="AL331" s="81" t="b">
        <v>0</v>
      </c>
      <c r="AM331" s="81">
        <v>23</v>
      </c>
      <c r="AN331" s="89" t="s">
        <v>1139</v>
      </c>
      <c r="AO331" s="81" t="s">
        <v>1172</v>
      </c>
      <c r="AP331" s="81" t="b">
        <v>0</v>
      </c>
      <c r="AQ331" s="89" t="s">
        <v>1139</v>
      </c>
      <c r="AR331" s="81" t="s">
        <v>325</v>
      </c>
      <c r="AS331" s="81">
        <v>0</v>
      </c>
      <c r="AT331" s="81">
        <v>0</v>
      </c>
      <c r="AU331" s="81"/>
      <c r="AV331" s="81"/>
      <c r="AW331" s="81"/>
      <c r="AX331" s="81"/>
      <c r="AY331" s="81"/>
      <c r="AZ331" s="81"/>
      <c r="BA331" s="81"/>
      <c r="BB331" s="81"/>
      <c r="BC331">
        <v>1</v>
      </c>
      <c r="BD331" s="80" t="str">
        <f>REPLACE(INDEX(GroupVertices[Group],MATCH(Edges[[#This Row],[Vertex 1]],GroupVertices[Vertex],0)),1,1,"")</f>
        <v>4</v>
      </c>
      <c r="BE331" s="80" t="str">
        <f>REPLACE(INDEX(GroupVertices[Group],MATCH(Edges[[#This Row],[Vertex 2]],GroupVertices[Vertex],0)),1,1,"")</f>
        <v>4</v>
      </c>
      <c r="BF331" s="48">
        <v>1</v>
      </c>
      <c r="BG331" s="49">
        <v>3.125</v>
      </c>
      <c r="BH331" s="48">
        <v>1</v>
      </c>
      <c r="BI331" s="49">
        <v>3.125</v>
      </c>
      <c r="BJ331" s="48">
        <v>0</v>
      </c>
      <c r="BK331" s="49">
        <v>0</v>
      </c>
      <c r="BL331" s="48">
        <v>30</v>
      </c>
      <c r="BM331" s="49">
        <v>93.75</v>
      </c>
      <c r="BN331" s="48">
        <v>32</v>
      </c>
    </row>
    <row r="332" spans="1:66" ht="15">
      <c r="A332" s="66" t="s">
        <v>479</v>
      </c>
      <c r="B332" s="66" t="s">
        <v>534</v>
      </c>
      <c r="C332" s="67" t="s">
        <v>3149</v>
      </c>
      <c r="D332" s="68">
        <v>4</v>
      </c>
      <c r="E332" s="69" t="s">
        <v>132</v>
      </c>
      <c r="F332" s="70">
        <v>30</v>
      </c>
      <c r="G332" s="67"/>
      <c r="H332" s="71"/>
      <c r="I332" s="72"/>
      <c r="J332" s="72"/>
      <c r="K332" s="34" t="s">
        <v>65</v>
      </c>
      <c r="L332" s="79">
        <v>332</v>
      </c>
      <c r="M332" s="79"/>
      <c r="N332" s="74"/>
      <c r="O332" s="81" t="s">
        <v>588</v>
      </c>
      <c r="P332" s="83">
        <v>44005.22483796296</v>
      </c>
      <c r="Q332" s="81" t="s">
        <v>611</v>
      </c>
      <c r="R332" s="81"/>
      <c r="S332" s="81"/>
      <c r="T332" s="81" t="s">
        <v>711</v>
      </c>
      <c r="U332" s="81"/>
      <c r="V332" s="84" t="str">
        <f>HYPERLINK("http://pbs.twimg.com/profile_images/1032592659595055104/ohokXuz4_normal.jpg")</f>
        <v>http://pbs.twimg.com/profile_images/1032592659595055104/ohokXuz4_normal.jpg</v>
      </c>
      <c r="W332" s="83">
        <v>44005.22483796296</v>
      </c>
      <c r="X332" s="87">
        <v>44005</v>
      </c>
      <c r="Y332" s="89" t="s">
        <v>889</v>
      </c>
      <c r="Z332" s="84" t="str">
        <f>HYPERLINK("https://twitter.com/fabtresor/status/1275298481851293696")</f>
        <v>https://twitter.com/fabtresor/status/1275298481851293696</v>
      </c>
      <c r="AA332" s="81"/>
      <c r="AB332" s="81"/>
      <c r="AC332" s="89" t="s">
        <v>1099</v>
      </c>
      <c r="AD332" s="81"/>
      <c r="AE332" s="81" t="b">
        <v>0</v>
      </c>
      <c r="AF332" s="81">
        <v>0</v>
      </c>
      <c r="AG332" s="89" t="s">
        <v>1149</v>
      </c>
      <c r="AH332" s="81" t="b">
        <v>0</v>
      </c>
      <c r="AI332" s="81" t="s">
        <v>1150</v>
      </c>
      <c r="AJ332" s="81"/>
      <c r="AK332" s="89" t="s">
        <v>1149</v>
      </c>
      <c r="AL332" s="81" t="b">
        <v>0</v>
      </c>
      <c r="AM332" s="81">
        <v>23</v>
      </c>
      <c r="AN332" s="89" t="s">
        <v>1139</v>
      </c>
      <c r="AO332" s="81" t="s">
        <v>1172</v>
      </c>
      <c r="AP332" s="81" t="b">
        <v>0</v>
      </c>
      <c r="AQ332" s="89" t="s">
        <v>1139</v>
      </c>
      <c r="AR332" s="81" t="s">
        <v>325</v>
      </c>
      <c r="AS332" s="81">
        <v>0</v>
      </c>
      <c r="AT332" s="81">
        <v>0</v>
      </c>
      <c r="AU332" s="81"/>
      <c r="AV332" s="81"/>
      <c r="AW332" s="81"/>
      <c r="AX332" s="81"/>
      <c r="AY332" s="81"/>
      <c r="AZ332" s="81"/>
      <c r="BA332" s="81"/>
      <c r="BB332" s="81"/>
      <c r="BC332">
        <v>1</v>
      </c>
      <c r="BD332" s="80" t="str">
        <f>REPLACE(INDEX(GroupVertices[Group],MATCH(Edges[[#This Row],[Vertex 1]],GroupVertices[Vertex],0)),1,1,"")</f>
        <v>4</v>
      </c>
      <c r="BE332" s="80" t="str">
        <f>REPLACE(INDEX(GroupVertices[Group],MATCH(Edges[[#This Row],[Vertex 2]],GroupVertices[Vertex],0)),1,1,"")</f>
        <v>4</v>
      </c>
      <c r="BF332" s="48"/>
      <c r="BG332" s="49"/>
      <c r="BH332" s="48"/>
      <c r="BI332" s="49"/>
      <c r="BJ332" s="48"/>
      <c r="BK332" s="49"/>
      <c r="BL332" s="48"/>
      <c r="BM332" s="49"/>
      <c r="BN332" s="48"/>
    </row>
    <row r="333" spans="1:66" ht="15">
      <c r="A333" s="66" t="s">
        <v>479</v>
      </c>
      <c r="B333" s="66" t="s">
        <v>511</v>
      </c>
      <c r="C333" s="67" t="s">
        <v>3149</v>
      </c>
      <c r="D333" s="68">
        <v>4</v>
      </c>
      <c r="E333" s="69" t="s">
        <v>132</v>
      </c>
      <c r="F333" s="70">
        <v>30</v>
      </c>
      <c r="G333" s="67"/>
      <c r="H333" s="71"/>
      <c r="I333" s="72"/>
      <c r="J333" s="72"/>
      <c r="K333" s="34" t="s">
        <v>65</v>
      </c>
      <c r="L333" s="79">
        <v>333</v>
      </c>
      <c r="M333" s="79"/>
      <c r="N333" s="74"/>
      <c r="O333" s="81" t="s">
        <v>586</v>
      </c>
      <c r="P333" s="83">
        <v>44005.22483796296</v>
      </c>
      <c r="Q333" s="81" t="s">
        <v>611</v>
      </c>
      <c r="R333" s="81"/>
      <c r="S333" s="81"/>
      <c r="T333" s="81" t="s">
        <v>711</v>
      </c>
      <c r="U333" s="81"/>
      <c r="V333" s="84" t="str">
        <f>HYPERLINK("http://pbs.twimg.com/profile_images/1032592659595055104/ohokXuz4_normal.jpg")</f>
        <v>http://pbs.twimg.com/profile_images/1032592659595055104/ohokXuz4_normal.jpg</v>
      </c>
      <c r="W333" s="83">
        <v>44005.22483796296</v>
      </c>
      <c r="X333" s="87">
        <v>44005</v>
      </c>
      <c r="Y333" s="89" t="s">
        <v>889</v>
      </c>
      <c r="Z333" s="84" t="str">
        <f>HYPERLINK("https://twitter.com/fabtresor/status/1275298481851293696")</f>
        <v>https://twitter.com/fabtresor/status/1275298481851293696</v>
      </c>
      <c r="AA333" s="81"/>
      <c r="AB333" s="81"/>
      <c r="AC333" s="89" t="s">
        <v>1099</v>
      </c>
      <c r="AD333" s="81"/>
      <c r="AE333" s="81" t="b">
        <v>0</v>
      </c>
      <c r="AF333" s="81">
        <v>0</v>
      </c>
      <c r="AG333" s="89" t="s">
        <v>1149</v>
      </c>
      <c r="AH333" s="81" t="b">
        <v>0</v>
      </c>
      <c r="AI333" s="81" t="s">
        <v>1150</v>
      </c>
      <c r="AJ333" s="81"/>
      <c r="AK333" s="89" t="s">
        <v>1149</v>
      </c>
      <c r="AL333" s="81" t="b">
        <v>0</v>
      </c>
      <c r="AM333" s="81">
        <v>23</v>
      </c>
      <c r="AN333" s="89" t="s">
        <v>1139</v>
      </c>
      <c r="AO333" s="81" t="s">
        <v>1172</v>
      </c>
      <c r="AP333" s="81" t="b">
        <v>0</v>
      </c>
      <c r="AQ333" s="89" t="s">
        <v>1139</v>
      </c>
      <c r="AR333" s="81" t="s">
        <v>325</v>
      </c>
      <c r="AS333" s="81">
        <v>0</v>
      </c>
      <c r="AT333" s="81">
        <v>0</v>
      </c>
      <c r="AU333" s="81"/>
      <c r="AV333" s="81"/>
      <c r="AW333" s="81"/>
      <c r="AX333" s="81"/>
      <c r="AY333" s="81"/>
      <c r="AZ333" s="81"/>
      <c r="BA333" s="81"/>
      <c r="BB333" s="81"/>
      <c r="BC333">
        <v>1</v>
      </c>
      <c r="BD333" s="80" t="str">
        <f>REPLACE(INDEX(GroupVertices[Group],MATCH(Edges[[#This Row],[Vertex 1]],GroupVertices[Vertex],0)),1,1,"")</f>
        <v>4</v>
      </c>
      <c r="BE333" s="80" t="str">
        <f>REPLACE(INDEX(GroupVertices[Group],MATCH(Edges[[#This Row],[Vertex 2]],GroupVertices[Vertex],0)),1,1,"")</f>
        <v>4</v>
      </c>
      <c r="BF333" s="48">
        <v>1</v>
      </c>
      <c r="BG333" s="49">
        <v>3.125</v>
      </c>
      <c r="BH333" s="48">
        <v>1</v>
      </c>
      <c r="BI333" s="49">
        <v>3.125</v>
      </c>
      <c r="BJ333" s="48">
        <v>0</v>
      </c>
      <c r="BK333" s="49">
        <v>0</v>
      </c>
      <c r="BL333" s="48">
        <v>30</v>
      </c>
      <c r="BM333" s="49">
        <v>93.75</v>
      </c>
      <c r="BN333" s="48">
        <v>32</v>
      </c>
    </row>
    <row r="334" spans="1:66" ht="15">
      <c r="A334" s="66" t="s">
        <v>480</v>
      </c>
      <c r="B334" s="66" t="s">
        <v>526</v>
      </c>
      <c r="C334" s="67" t="s">
        <v>3149</v>
      </c>
      <c r="D334" s="68">
        <v>4</v>
      </c>
      <c r="E334" s="69" t="s">
        <v>132</v>
      </c>
      <c r="F334" s="70">
        <v>30</v>
      </c>
      <c r="G334" s="67"/>
      <c r="H334" s="71"/>
      <c r="I334" s="72"/>
      <c r="J334" s="72"/>
      <c r="K334" s="34" t="s">
        <v>65</v>
      </c>
      <c r="L334" s="79">
        <v>334</v>
      </c>
      <c r="M334" s="79"/>
      <c r="N334" s="74"/>
      <c r="O334" s="81" t="s">
        <v>587</v>
      </c>
      <c r="P334" s="83">
        <v>44005.24722222222</v>
      </c>
      <c r="Q334" s="81" t="s">
        <v>664</v>
      </c>
      <c r="R334" s="84" t="str">
        <f>HYPERLINK("https://interactive.aljazeera.com/aje/2020/saving-the-nile/index.html")</f>
        <v>https://interactive.aljazeera.com/aje/2020/saving-the-nile/index.html</v>
      </c>
      <c r="S334" s="81" t="s">
        <v>678</v>
      </c>
      <c r="T334" s="81" t="s">
        <v>703</v>
      </c>
      <c r="U334" s="81"/>
      <c r="V334" s="84" t="str">
        <f>HYPERLINK("http://pbs.twimg.com/profile_images/378800000673897055/01c579ff50df639e0c423f03534ec74d_normal.jpeg")</f>
        <v>http://pbs.twimg.com/profile_images/378800000673897055/01c579ff50df639e0c423f03534ec74d_normal.jpeg</v>
      </c>
      <c r="W334" s="83">
        <v>44005.24722222222</v>
      </c>
      <c r="X334" s="87">
        <v>44005</v>
      </c>
      <c r="Y334" s="89" t="s">
        <v>890</v>
      </c>
      <c r="Z334" s="84" t="str">
        <f>HYPERLINK("https://twitter.com/downlandsgeog/status/1275306591160541184")</f>
        <v>https://twitter.com/downlandsgeog/status/1275306591160541184</v>
      </c>
      <c r="AA334" s="81"/>
      <c r="AB334" s="81"/>
      <c r="AC334" s="89" t="s">
        <v>1100</v>
      </c>
      <c r="AD334" s="81"/>
      <c r="AE334" s="81" t="b">
        <v>0</v>
      </c>
      <c r="AF334" s="81">
        <v>0</v>
      </c>
      <c r="AG334" s="89" t="s">
        <v>1149</v>
      </c>
      <c r="AH334" s="81" t="b">
        <v>0</v>
      </c>
      <c r="AI334" s="81" t="s">
        <v>1150</v>
      </c>
      <c r="AJ334" s="81"/>
      <c r="AK334" s="89" t="s">
        <v>1149</v>
      </c>
      <c r="AL334" s="81" t="b">
        <v>0</v>
      </c>
      <c r="AM334" s="81">
        <v>0</v>
      </c>
      <c r="AN334" s="89" t="s">
        <v>1149</v>
      </c>
      <c r="AO334" s="81" t="s">
        <v>1172</v>
      </c>
      <c r="AP334" s="81" t="b">
        <v>0</v>
      </c>
      <c r="AQ334" s="89" t="s">
        <v>1100</v>
      </c>
      <c r="AR334" s="81" t="s">
        <v>325</v>
      </c>
      <c r="AS334" s="81">
        <v>0</v>
      </c>
      <c r="AT334" s="81">
        <v>0</v>
      </c>
      <c r="AU334" s="81"/>
      <c r="AV334" s="81"/>
      <c r="AW334" s="81"/>
      <c r="AX334" s="81"/>
      <c r="AY334" s="81"/>
      <c r="AZ334" s="81"/>
      <c r="BA334" s="81"/>
      <c r="BB334" s="81"/>
      <c r="BC334">
        <v>1</v>
      </c>
      <c r="BD334" s="80" t="str">
        <f>REPLACE(INDEX(GroupVertices[Group],MATCH(Edges[[#This Row],[Vertex 1]],GroupVertices[Vertex],0)),1,1,"")</f>
        <v>3</v>
      </c>
      <c r="BE334" s="80" t="str">
        <f>REPLACE(INDEX(GroupVertices[Group],MATCH(Edges[[#This Row],[Vertex 2]],GroupVertices[Vertex],0)),1,1,"")</f>
        <v>3</v>
      </c>
      <c r="BF334" s="48"/>
      <c r="BG334" s="49"/>
      <c r="BH334" s="48"/>
      <c r="BI334" s="49"/>
      <c r="BJ334" s="48"/>
      <c r="BK334" s="49"/>
      <c r="BL334" s="48"/>
      <c r="BM334" s="49"/>
      <c r="BN334" s="48"/>
    </row>
    <row r="335" spans="1:66" ht="15">
      <c r="A335" s="66" t="s">
        <v>480</v>
      </c>
      <c r="B335" s="66" t="s">
        <v>527</v>
      </c>
      <c r="C335" s="67" t="s">
        <v>3149</v>
      </c>
      <c r="D335" s="68">
        <v>4</v>
      </c>
      <c r="E335" s="69" t="s">
        <v>132</v>
      </c>
      <c r="F335" s="70">
        <v>30</v>
      </c>
      <c r="G335" s="67"/>
      <c r="H335" s="71"/>
      <c r="I335" s="72"/>
      <c r="J335" s="72"/>
      <c r="K335" s="34" t="s">
        <v>65</v>
      </c>
      <c r="L335" s="79">
        <v>335</v>
      </c>
      <c r="M335" s="79"/>
      <c r="N335" s="74"/>
      <c r="O335" s="81" t="s">
        <v>587</v>
      </c>
      <c r="P335" s="83">
        <v>44005.24722222222</v>
      </c>
      <c r="Q335" s="81" t="s">
        <v>664</v>
      </c>
      <c r="R335" s="84" t="str">
        <f>HYPERLINK("https://interactive.aljazeera.com/aje/2020/saving-the-nile/index.html")</f>
        <v>https://interactive.aljazeera.com/aje/2020/saving-the-nile/index.html</v>
      </c>
      <c r="S335" s="81" t="s">
        <v>678</v>
      </c>
      <c r="T335" s="81" t="s">
        <v>703</v>
      </c>
      <c r="U335" s="81"/>
      <c r="V335" s="84" t="str">
        <f>HYPERLINK("http://pbs.twimg.com/profile_images/378800000673897055/01c579ff50df639e0c423f03534ec74d_normal.jpeg")</f>
        <v>http://pbs.twimg.com/profile_images/378800000673897055/01c579ff50df639e0c423f03534ec74d_normal.jpeg</v>
      </c>
      <c r="W335" s="83">
        <v>44005.24722222222</v>
      </c>
      <c r="X335" s="87">
        <v>44005</v>
      </c>
      <c r="Y335" s="89" t="s">
        <v>890</v>
      </c>
      <c r="Z335" s="84" t="str">
        <f>HYPERLINK("https://twitter.com/downlandsgeog/status/1275306591160541184")</f>
        <v>https://twitter.com/downlandsgeog/status/1275306591160541184</v>
      </c>
      <c r="AA335" s="81"/>
      <c r="AB335" s="81"/>
      <c r="AC335" s="89" t="s">
        <v>1100</v>
      </c>
      <c r="AD335" s="81"/>
      <c r="AE335" s="81" t="b">
        <v>0</v>
      </c>
      <c r="AF335" s="81">
        <v>0</v>
      </c>
      <c r="AG335" s="89" t="s">
        <v>1149</v>
      </c>
      <c r="AH335" s="81" t="b">
        <v>0</v>
      </c>
      <c r="AI335" s="81" t="s">
        <v>1150</v>
      </c>
      <c r="AJ335" s="81"/>
      <c r="AK335" s="89" t="s">
        <v>1149</v>
      </c>
      <c r="AL335" s="81" t="b">
        <v>0</v>
      </c>
      <c r="AM335" s="81">
        <v>0</v>
      </c>
      <c r="AN335" s="89" t="s">
        <v>1149</v>
      </c>
      <c r="AO335" s="81" t="s">
        <v>1172</v>
      </c>
      <c r="AP335" s="81" t="b">
        <v>0</v>
      </c>
      <c r="AQ335" s="89" t="s">
        <v>1100</v>
      </c>
      <c r="AR335" s="81" t="s">
        <v>325</v>
      </c>
      <c r="AS335" s="81">
        <v>0</v>
      </c>
      <c r="AT335" s="81">
        <v>0</v>
      </c>
      <c r="AU335" s="81"/>
      <c r="AV335" s="81"/>
      <c r="AW335" s="81"/>
      <c r="AX335" s="81"/>
      <c r="AY335" s="81"/>
      <c r="AZ335" s="81"/>
      <c r="BA335" s="81"/>
      <c r="BB335" s="81"/>
      <c r="BC335">
        <v>1</v>
      </c>
      <c r="BD335" s="80" t="str">
        <f>REPLACE(INDEX(GroupVertices[Group],MATCH(Edges[[#This Row],[Vertex 1]],GroupVertices[Vertex],0)),1,1,"")</f>
        <v>3</v>
      </c>
      <c r="BE335" s="80" t="str">
        <f>REPLACE(INDEX(GroupVertices[Group],MATCH(Edges[[#This Row],[Vertex 2]],GroupVertices[Vertex],0)),1,1,"")</f>
        <v>3</v>
      </c>
      <c r="BF335" s="48">
        <v>1</v>
      </c>
      <c r="BG335" s="49">
        <v>5.2631578947368425</v>
      </c>
      <c r="BH335" s="48">
        <v>0</v>
      </c>
      <c r="BI335" s="49">
        <v>0</v>
      </c>
      <c r="BJ335" s="48">
        <v>0</v>
      </c>
      <c r="BK335" s="49">
        <v>0</v>
      </c>
      <c r="BL335" s="48">
        <v>18</v>
      </c>
      <c r="BM335" s="49">
        <v>94.73684210526316</v>
      </c>
      <c r="BN335" s="48">
        <v>19</v>
      </c>
    </row>
    <row r="336" spans="1:66" ht="15">
      <c r="A336" s="66" t="s">
        <v>481</v>
      </c>
      <c r="B336" s="66" t="s">
        <v>526</v>
      </c>
      <c r="C336" s="67" t="s">
        <v>3149</v>
      </c>
      <c r="D336" s="68">
        <v>4</v>
      </c>
      <c r="E336" s="69" t="s">
        <v>132</v>
      </c>
      <c r="F336" s="70">
        <v>30</v>
      </c>
      <c r="G336" s="67"/>
      <c r="H336" s="71"/>
      <c r="I336" s="72"/>
      <c r="J336" s="72"/>
      <c r="K336" s="34" t="s">
        <v>65</v>
      </c>
      <c r="L336" s="79">
        <v>336</v>
      </c>
      <c r="M336" s="79"/>
      <c r="N336" s="74"/>
      <c r="O336" s="81" t="s">
        <v>588</v>
      </c>
      <c r="P336" s="83">
        <v>44005.249085648145</v>
      </c>
      <c r="Q336" s="81" t="s">
        <v>612</v>
      </c>
      <c r="R336" s="81"/>
      <c r="S336" s="81"/>
      <c r="T336" s="81" t="s">
        <v>703</v>
      </c>
      <c r="U336" s="81"/>
      <c r="V336" s="84" t="str">
        <f>HYPERLINK("http://pbs.twimg.com/profile_images/1251234603244883968/aNyiY-o4_normal.jpg")</f>
        <v>http://pbs.twimg.com/profile_images/1251234603244883968/aNyiY-o4_normal.jpg</v>
      </c>
      <c r="W336" s="83">
        <v>44005.249085648145</v>
      </c>
      <c r="X336" s="87">
        <v>44005</v>
      </c>
      <c r="Y336" s="89" t="s">
        <v>891</v>
      </c>
      <c r="Z336" s="84" t="str">
        <f>HYPERLINK("https://twitter.com/colinnwalker/status/1275307269476036615")</f>
        <v>https://twitter.com/colinnwalker/status/1275307269476036615</v>
      </c>
      <c r="AA336" s="81"/>
      <c r="AB336" s="81"/>
      <c r="AC336" s="89" t="s">
        <v>1101</v>
      </c>
      <c r="AD336" s="81"/>
      <c r="AE336" s="81" t="b">
        <v>0</v>
      </c>
      <c r="AF336" s="81">
        <v>0</v>
      </c>
      <c r="AG336" s="89" t="s">
        <v>1149</v>
      </c>
      <c r="AH336" s="81" t="b">
        <v>0</v>
      </c>
      <c r="AI336" s="81" t="s">
        <v>1150</v>
      </c>
      <c r="AJ336" s="81"/>
      <c r="AK336" s="89" t="s">
        <v>1149</v>
      </c>
      <c r="AL336" s="81" t="b">
        <v>0</v>
      </c>
      <c r="AM336" s="81">
        <v>16</v>
      </c>
      <c r="AN336" s="89" t="s">
        <v>1137</v>
      </c>
      <c r="AO336" s="81" t="s">
        <v>1165</v>
      </c>
      <c r="AP336" s="81" t="b">
        <v>0</v>
      </c>
      <c r="AQ336" s="89" t="s">
        <v>1137</v>
      </c>
      <c r="AR336" s="81" t="s">
        <v>325</v>
      </c>
      <c r="AS336" s="81">
        <v>0</v>
      </c>
      <c r="AT336" s="81">
        <v>0</v>
      </c>
      <c r="AU336" s="81"/>
      <c r="AV336" s="81"/>
      <c r="AW336" s="81"/>
      <c r="AX336" s="81"/>
      <c r="AY336" s="81"/>
      <c r="AZ336" s="81"/>
      <c r="BA336" s="81"/>
      <c r="BB336" s="81"/>
      <c r="BC336">
        <v>1</v>
      </c>
      <c r="BD336" s="80" t="str">
        <f>REPLACE(INDEX(GroupVertices[Group],MATCH(Edges[[#This Row],[Vertex 1]],GroupVertices[Vertex],0)),1,1,"")</f>
        <v>3</v>
      </c>
      <c r="BE336" s="80" t="str">
        <f>REPLACE(INDEX(GroupVertices[Group],MATCH(Edges[[#This Row],[Vertex 2]],GroupVertices[Vertex],0)),1,1,"")</f>
        <v>3</v>
      </c>
      <c r="BF336" s="48"/>
      <c r="BG336" s="49"/>
      <c r="BH336" s="48"/>
      <c r="BI336" s="49"/>
      <c r="BJ336" s="48"/>
      <c r="BK336" s="49"/>
      <c r="BL336" s="48"/>
      <c r="BM336" s="49"/>
      <c r="BN336" s="48"/>
    </row>
    <row r="337" spans="1:66" ht="15">
      <c r="A337" s="66" t="s">
        <v>481</v>
      </c>
      <c r="B337" s="66" t="s">
        <v>527</v>
      </c>
      <c r="C337" s="67" t="s">
        <v>3149</v>
      </c>
      <c r="D337" s="68">
        <v>4</v>
      </c>
      <c r="E337" s="69" t="s">
        <v>132</v>
      </c>
      <c r="F337" s="70">
        <v>30</v>
      </c>
      <c r="G337" s="67"/>
      <c r="H337" s="71"/>
      <c r="I337" s="72"/>
      <c r="J337" s="72"/>
      <c r="K337" s="34" t="s">
        <v>65</v>
      </c>
      <c r="L337" s="79">
        <v>337</v>
      </c>
      <c r="M337" s="79"/>
      <c r="N337" s="74"/>
      <c r="O337" s="81" t="s">
        <v>588</v>
      </c>
      <c r="P337" s="83">
        <v>44005.249085648145</v>
      </c>
      <c r="Q337" s="81" t="s">
        <v>612</v>
      </c>
      <c r="R337" s="81"/>
      <c r="S337" s="81"/>
      <c r="T337" s="81" t="s">
        <v>703</v>
      </c>
      <c r="U337" s="81"/>
      <c r="V337" s="84" t="str">
        <f>HYPERLINK("http://pbs.twimg.com/profile_images/1251234603244883968/aNyiY-o4_normal.jpg")</f>
        <v>http://pbs.twimg.com/profile_images/1251234603244883968/aNyiY-o4_normal.jpg</v>
      </c>
      <c r="W337" s="83">
        <v>44005.249085648145</v>
      </c>
      <c r="X337" s="87">
        <v>44005</v>
      </c>
      <c r="Y337" s="89" t="s">
        <v>891</v>
      </c>
      <c r="Z337" s="84" t="str">
        <f>HYPERLINK("https://twitter.com/colinnwalker/status/1275307269476036615")</f>
        <v>https://twitter.com/colinnwalker/status/1275307269476036615</v>
      </c>
      <c r="AA337" s="81"/>
      <c r="AB337" s="81"/>
      <c r="AC337" s="89" t="s">
        <v>1101</v>
      </c>
      <c r="AD337" s="81"/>
      <c r="AE337" s="81" t="b">
        <v>0</v>
      </c>
      <c r="AF337" s="81">
        <v>0</v>
      </c>
      <c r="AG337" s="89" t="s">
        <v>1149</v>
      </c>
      <c r="AH337" s="81" t="b">
        <v>0</v>
      </c>
      <c r="AI337" s="81" t="s">
        <v>1150</v>
      </c>
      <c r="AJ337" s="81"/>
      <c r="AK337" s="89" t="s">
        <v>1149</v>
      </c>
      <c r="AL337" s="81" t="b">
        <v>0</v>
      </c>
      <c r="AM337" s="81">
        <v>16</v>
      </c>
      <c r="AN337" s="89" t="s">
        <v>1137</v>
      </c>
      <c r="AO337" s="81" t="s">
        <v>1165</v>
      </c>
      <c r="AP337" s="81" t="b">
        <v>0</v>
      </c>
      <c r="AQ337" s="89" t="s">
        <v>1137</v>
      </c>
      <c r="AR337" s="81" t="s">
        <v>325</v>
      </c>
      <c r="AS337" s="81">
        <v>0</v>
      </c>
      <c r="AT337" s="81">
        <v>0</v>
      </c>
      <c r="AU337" s="81"/>
      <c r="AV337" s="81"/>
      <c r="AW337" s="81"/>
      <c r="AX337" s="81"/>
      <c r="AY337" s="81"/>
      <c r="AZ337" s="81"/>
      <c r="BA337" s="81"/>
      <c r="BB337" s="81"/>
      <c r="BC337">
        <v>1</v>
      </c>
      <c r="BD337" s="80" t="str">
        <f>REPLACE(INDEX(GroupVertices[Group],MATCH(Edges[[#This Row],[Vertex 1]],GroupVertices[Vertex],0)),1,1,"")</f>
        <v>3</v>
      </c>
      <c r="BE337" s="80" t="str">
        <f>REPLACE(INDEX(GroupVertices[Group],MATCH(Edges[[#This Row],[Vertex 2]],GroupVertices[Vertex],0)),1,1,"")</f>
        <v>3</v>
      </c>
      <c r="BF337" s="48"/>
      <c r="BG337" s="49"/>
      <c r="BH337" s="48"/>
      <c r="BI337" s="49"/>
      <c r="BJ337" s="48"/>
      <c r="BK337" s="49"/>
      <c r="BL337" s="48"/>
      <c r="BM337" s="49"/>
      <c r="BN337" s="48"/>
    </row>
    <row r="338" spans="1:66" ht="15">
      <c r="A338" s="66" t="s">
        <v>481</v>
      </c>
      <c r="B338" s="66" t="s">
        <v>509</v>
      </c>
      <c r="C338" s="67" t="s">
        <v>3149</v>
      </c>
      <c r="D338" s="68">
        <v>4</v>
      </c>
      <c r="E338" s="69" t="s">
        <v>132</v>
      </c>
      <c r="F338" s="70">
        <v>30</v>
      </c>
      <c r="G338" s="67"/>
      <c r="H338" s="71"/>
      <c r="I338" s="72"/>
      <c r="J338" s="72"/>
      <c r="K338" s="34" t="s">
        <v>65</v>
      </c>
      <c r="L338" s="79">
        <v>338</v>
      </c>
      <c r="M338" s="79"/>
      <c r="N338" s="74"/>
      <c r="O338" s="81" t="s">
        <v>586</v>
      </c>
      <c r="P338" s="83">
        <v>44005.249085648145</v>
      </c>
      <c r="Q338" s="81" t="s">
        <v>612</v>
      </c>
      <c r="R338" s="81"/>
      <c r="S338" s="81"/>
      <c r="T338" s="81" t="s">
        <v>703</v>
      </c>
      <c r="U338" s="81"/>
      <c r="V338" s="84" t="str">
        <f>HYPERLINK("http://pbs.twimg.com/profile_images/1251234603244883968/aNyiY-o4_normal.jpg")</f>
        <v>http://pbs.twimg.com/profile_images/1251234603244883968/aNyiY-o4_normal.jpg</v>
      </c>
      <c r="W338" s="83">
        <v>44005.249085648145</v>
      </c>
      <c r="X338" s="87">
        <v>44005</v>
      </c>
      <c r="Y338" s="89" t="s">
        <v>891</v>
      </c>
      <c r="Z338" s="84" t="str">
        <f>HYPERLINK("https://twitter.com/colinnwalker/status/1275307269476036615")</f>
        <v>https://twitter.com/colinnwalker/status/1275307269476036615</v>
      </c>
      <c r="AA338" s="81"/>
      <c r="AB338" s="81"/>
      <c r="AC338" s="89" t="s">
        <v>1101</v>
      </c>
      <c r="AD338" s="81"/>
      <c r="AE338" s="81" t="b">
        <v>0</v>
      </c>
      <c r="AF338" s="81">
        <v>0</v>
      </c>
      <c r="AG338" s="89" t="s">
        <v>1149</v>
      </c>
      <c r="AH338" s="81" t="b">
        <v>0</v>
      </c>
      <c r="AI338" s="81" t="s">
        <v>1150</v>
      </c>
      <c r="AJ338" s="81"/>
      <c r="AK338" s="89" t="s">
        <v>1149</v>
      </c>
      <c r="AL338" s="81" t="b">
        <v>0</v>
      </c>
      <c r="AM338" s="81">
        <v>16</v>
      </c>
      <c r="AN338" s="89" t="s">
        <v>1137</v>
      </c>
      <c r="AO338" s="81" t="s">
        <v>1165</v>
      </c>
      <c r="AP338" s="81" t="b">
        <v>0</v>
      </c>
      <c r="AQ338" s="89" t="s">
        <v>1137</v>
      </c>
      <c r="AR338" s="81" t="s">
        <v>325</v>
      </c>
      <c r="AS338" s="81">
        <v>0</v>
      </c>
      <c r="AT338" s="81">
        <v>0</v>
      </c>
      <c r="AU338" s="81"/>
      <c r="AV338" s="81"/>
      <c r="AW338" s="81"/>
      <c r="AX338" s="81"/>
      <c r="AY338" s="81"/>
      <c r="AZ338" s="81"/>
      <c r="BA338" s="81"/>
      <c r="BB338" s="81"/>
      <c r="BC338">
        <v>1</v>
      </c>
      <c r="BD338" s="80" t="str">
        <f>REPLACE(INDEX(GroupVertices[Group],MATCH(Edges[[#This Row],[Vertex 1]],GroupVertices[Vertex],0)),1,1,"")</f>
        <v>3</v>
      </c>
      <c r="BE338" s="80" t="str">
        <f>REPLACE(INDEX(GroupVertices[Group],MATCH(Edges[[#This Row],[Vertex 2]],GroupVertices[Vertex],0)),1,1,"")</f>
        <v>3</v>
      </c>
      <c r="BF338" s="48">
        <v>1</v>
      </c>
      <c r="BG338" s="49">
        <v>4.761904761904762</v>
      </c>
      <c r="BH338" s="48">
        <v>0</v>
      </c>
      <c r="BI338" s="49">
        <v>0</v>
      </c>
      <c r="BJ338" s="48">
        <v>0</v>
      </c>
      <c r="BK338" s="49">
        <v>0</v>
      </c>
      <c r="BL338" s="48">
        <v>20</v>
      </c>
      <c r="BM338" s="49">
        <v>95.23809523809524</v>
      </c>
      <c r="BN338" s="48">
        <v>21</v>
      </c>
    </row>
    <row r="339" spans="1:66" ht="15">
      <c r="A339" s="66" t="s">
        <v>482</v>
      </c>
      <c r="B339" s="66" t="s">
        <v>521</v>
      </c>
      <c r="C339" s="67" t="s">
        <v>3149</v>
      </c>
      <c r="D339" s="68">
        <v>4</v>
      </c>
      <c r="E339" s="69" t="s">
        <v>132</v>
      </c>
      <c r="F339" s="70">
        <v>30</v>
      </c>
      <c r="G339" s="67"/>
      <c r="H339" s="71"/>
      <c r="I339" s="72"/>
      <c r="J339" s="72"/>
      <c r="K339" s="34" t="s">
        <v>65</v>
      </c>
      <c r="L339" s="79">
        <v>339</v>
      </c>
      <c r="M339" s="79"/>
      <c r="N339" s="74"/>
      <c r="O339" s="81" t="s">
        <v>587</v>
      </c>
      <c r="P339" s="83">
        <v>44000.263865740744</v>
      </c>
      <c r="Q339" s="81" t="s">
        <v>593</v>
      </c>
      <c r="R339" s="84" t="str">
        <f>HYPERLINK("https://pointer.kro-ncrv.nl/artikelen/het-verhaal-achter-een-identiteitsroof#lang=en")</f>
        <v>https://pointer.kro-ncrv.nl/artikelen/het-verhaal-achter-een-identiteitsroof#lang=en</v>
      </c>
      <c r="S339" s="81" t="s">
        <v>684</v>
      </c>
      <c r="T339" s="81" t="s">
        <v>721</v>
      </c>
      <c r="U339" s="84" t="str">
        <f>HYPERLINK("https://pbs.twimg.com/media/EaxhYoyWoAExUOI.jpg")</f>
        <v>https://pbs.twimg.com/media/EaxhYoyWoAExUOI.jpg</v>
      </c>
      <c r="V339" s="84" t="str">
        <f>HYPERLINK("https://pbs.twimg.com/media/EaxhYoyWoAExUOI.jpg")</f>
        <v>https://pbs.twimg.com/media/EaxhYoyWoAExUOI.jpg</v>
      </c>
      <c r="W339" s="83">
        <v>44000.263865740744</v>
      </c>
      <c r="X339" s="87">
        <v>44000</v>
      </c>
      <c r="Y339" s="89" t="s">
        <v>892</v>
      </c>
      <c r="Z339" s="84" t="str">
        <f>HYPERLINK("https://twitter.com/datajournalism/status/1273500685208883200")</f>
        <v>https://twitter.com/datajournalism/status/1273500685208883200</v>
      </c>
      <c r="AA339" s="81"/>
      <c r="AB339" s="81"/>
      <c r="AC339" s="89" t="s">
        <v>1102</v>
      </c>
      <c r="AD339" s="81"/>
      <c r="AE339" s="81" t="b">
        <v>0</v>
      </c>
      <c r="AF339" s="81">
        <v>19</v>
      </c>
      <c r="AG339" s="89" t="s">
        <v>1149</v>
      </c>
      <c r="AH339" s="81" t="b">
        <v>0</v>
      </c>
      <c r="AI339" s="81" t="s">
        <v>1150</v>
      </c>
      <c r="AJ339" s="81"/>
      <c r="AK339" s="89" t="s">
        <v>1149</v>
      </c>
      <c r="AL339" s="81" t="b">
        <v>0</v>
      </c>
      <c r="AM339" s="81">
        <v>8</v>
      </c>
      <c r="AN339" s="89" t="s">
        <v>1149</v>
      </c>
      <c r="AO339" s="81" t="s">
        <v>1172</v>
      </c>
      <c r="AP339" s="81" t="b">
        <v>0</v>
      </c>
      <c r="AQ339" s="89" t="s">
        <v>1102</v>
      </c>
      <c r="AR339" s="81" t="s">
        <v>586</v>
      </c>
      <c r="AS339" s="81">
        <v>0</v>
      </c>
      <c r="AT339" s="81">
        <v>0</v>
      </c>
      <c r="AU339" s="81"/>
      <c r="AV339" s="81"/>
      <c r="AW339" s="81"/>
      <c r="AX339" s="81"/>
      <c r="AY339" s="81"/>
      <c r="AZ339" s="81"/>
      <c r="BA339" s="81"/>
      <c r="BB339" s="81"/>
      <c r="BC339">
        <v>1</v>
      </c>
      <c r="BD339" s="80" t="str">
        <f>REPLACE(INDEX(GroupVertices[Group],MATCH(Edges[[#This Row],[Vertex 1]],GroupVertices[Vertex],0)),1,1,"")</f>
        <v>5</v>
      </c>
      <c r="BE339" s="80" t="str">
        <f>REPLACE(INDEX(GroupVertices[Group],MATCH(Edges[[#This Row],[Vertex 2]],GroupVertices[Vertex],0)),1,1,"")</f>
        <v>5</v>
      </c>
      <c r="BF339" s="48"/>
      <c r="BG339" s="49"/>
      <c r="BH339" s="48"/>
      <c r="BI339" s="49"/>
      <c r="BJ339" s="48"/>
      <c r="BK339" s="49"/>
      <c r="BL339" s="48"/>
      <c r="BM339" s="49"/>
      <c r="BN339" s="48"/>
    </row>
    <row r="340" spans="1:66" ht="15">
      <c r="A340" s="66" t="s">
        <v>482</v>
      </c>
      <c r="B340" s="66" t="s">
        <v>522</v>
      </c>
      <c r="C340" s="67" t="s">
        <v>3149</v>
      </c>
      <c r="D340" s="68">
        <v>4</v>
      </c>
      <c r="E340" s="69" t="s">
        <v>132</v>
      </c>
      <c r="F340" s="70">
        <v>30</v>
      </c>
      <c r="G340" s="67"/>
      <c r="H340" s="71"/>
      <c r="I340" s="72"/>
      <c r="J340" s="72"/>
      <c r="K340" s="34" t="s">
        <v>65</v>
      </c>
      <c r="L340" s="79">
        <v>340</v>
      </c>
      <c r="M340" s="79"/>
      <c r="N340" s="74"/>
      <c r="O340" s="81" t="s">
        <v>587</v>
      </c>
      <c r="P340" s="83">
        <v>44000.263865740744</v>
      </c>
      <c r="Q340" s="81" t="s">
        <v>593</v>
      </c>
      <c r="R340" s="84" t="str">
        <f>HYPERLINK("https://pointer.kro-ncrv.nl/artikelen/het-verhaal-achter-een-identiteitsroof#lang=en")</f>
        <v>https://pointer.kro-ncrv.nl/artikelen/het-verhaal-achter-een-identiteitsroof#lang=en</v>
      </c>
      <c r="S340" s="81" t="s">
        <v>684</v>
      </c>
      <c r="T340" s="81" t="s">
        <v>721</v>
      </c>
      <c r="U340" s="84" t="str">
        <f>HYPERLINK("https://pbs.twimg.com/media/EaxhYoyWoAExUOI.jpg")</f>
        <v>https://pbs.twimg.com/media/EaxhYoyWoAExUOI.jpg</v>
      </c>
      <c r="V340" s="84" t="str">
        <f>HYPERLINK("https://pbs.twimg.com/media/EaxhYoyWoAExUOI.jpg")</f>
        <v>https://pbs.twimg.com/media/EaxhYoyWoAExUOI.jpg</v>
      </c>
      <c r="W340" s="83">
        <v>44000.263865740744</v>
      </c>
      <c r="X340" s="87">
        <v>44000</v>
      </c>
      <c r="Y340" s="89" t="s">
        <v>892</v>
      </c>
      <c r="Z340" s="84" t="str">
        <f>HYPERLINK("https://twitter.com/datajournalism/status/1273500685208883200")</f>
        <v>https://twitter.com/datajournalism/status/1273500685208883200</v>
      </c>
      <c r="AA340" s="81"/>
      <c r="AB340" s="81"/>
      <c r="AC340" s="89" t="s">
        <v>1102</v>
      </c>
      <c r="AD340" s="81"/>
      <c r="AE340" s="81" t="b">
        <v>0</v>
      </c>
      <c r="AF340" s="81">
        <v>19</v>
      </c>
      <c r="AG340" s="89" t="s">
        <v>1149</v>
      </c>
      <c r="AH340" s="81" t="b">
        <v>0</v>
      </c>
      <c r="AI340" s="81" t="s">
        <v>1150</v>
      </c>
      <c r="AJ340" s="81"/>
      <c r="AK340" s="89" t="s">
        <v>1149</v>
      </c>
      <c r="AL340" s="81" t="b">
        <v>0</v>
      </c>
      <c r="AM340" s="81">
        <v>8</v>
      </c>
      <c r="AN340" s="89" t="s">
        <v>1149</v>
      </c>
      <c r="AO340" s="81" t="s">
        <v>1172</v>
      </c>
      <c r="AP340" s="81" t="b">
        <v>0</v>
      </c>
      <c r="AQ340" s="89" t="s">
        <v>1102</v>
      </c>
      <c r="AR340" s="81" t="s">
        <v>586</v>
      </c>
      <c r="AS340" s="81">
        <v>0</v>
      </c>
      <c r="AT340" s="81">
        <v>0</v>
      </c>
      <c r="AU340" s="81"/>
      <c r="AV340" s="81"/>
      <c r="AW340" s="81"/>
      <c r="AX340" s="81"/>
      <c r="AY340" s="81"/>
      <c r="AZ340" s="81"/>
      <c r="BA340" s="81"/>
      <c r="BB340" s="81"/>
      <c r="BC340">
        <v>1</v>
      </c>
      <c r="BD340" s="80" t="str">
        <f>REPLACE(INDEX(GroupVertices[Group],MATCH(Edges[[#This Row],[Vertex 1]],GroupVertices[Vertex],0)),1,1,"")</f>
        <v>5</v>
      </c>
      <c r="BE340" s="80" t="str">
        <f>REPLACE(INDEX(GroupVertices[Group],MATCH(Edges[[#This Row],[Vertex 2]],GroupVertices[Vertex],0)),1,1,"")</f>
        <v>5</v>
      </c>
      <c r="BF340" s="48">
        <v>2</v>
      </c>
      <c r="BG340" s="49">
        <v>5.405405405405405</v>
      </c>
      <c r="BH340" s="48">
        <v>0</v>
      </c>
      <c r="BI340" s="49">
        <v>0</v>
      </c>
      <c r="BJ340" s="48">
        <v>0</v>
      </c>
      <c r="BK340" s="49">
        <v>0</v>
      </c>
      <c r="BL340" s="48">
        <v>35</v>
      </c>
      <c r="BM340" s="49">
        <v>94.5945945945946</v>
      </c>
      <c r="BN340" s="48">
        <v>37</v>
      </c>
    </row>
    <row r="341" spans="1:66" ht="15">
      <c r="A341" s="66" t="s">
        <v>483</v>
      </c>
      <c r="B341" s="66" t="s">
        <v>484</v>
      </c>
      <c r="C341" s="67" t="s">
        <v>3149</v>
      </c>
      <c r="D341" s="68">
        <v>4</v>
      </c>
      <c r="E341" s="69" t="s">
        <v>132</v>
      </c>
      <c r="F341" s="70">
        <v>30</v>
      </c>
      <c r="G341" s="67"/>
      <c r="H341" s="71"/>
      <c r="I341" s="72"/>
      <c r="J341" s="72"/>
      <c r="K341" s="34" t="s">
        <v>66</v>
      </c>
      <c r="L341" s="79">
        <v>341</v>
      </c>
      <c r="M341" s="79"/>
      <c r="N341" s="74"/>
      <c r="O341" s="81" t="s">
        <v>588</v>
      </c>
      <c r="P341" s="83">
        <v>44004.4669212963</v>
      </c>
      <c r="Q341" s="81" t="s">
        <v>665</v>
      </c>
      <c r="R341" s="81"/>
      <c r="S341" s="81"/>
      <c r="T341" s="81" t="s">
        <v>707</v>
      </c>
      <c r="U341" s="81"/>
      <c r="V341" s="84" t="str">
        <f>HYPERLINK("http://pbs.twimg.com/profile_images/807327786100752384/Rz3_8mdP_normal.jpg")</f>
        <v>http://pbs.twimg.com/profile_images/807327786100752384/Rz3_8mdP_normal.jpg</v>
      </c>
      <c r="W341" s="83">
        <v>44004.4669212963</v>
      </c>
      <c r="X341" s="87">
        <v>44004</v>
      </c>
      <c r="Y341" s="89" t="s">
        <v>893</v>
      </c>
      <c r="Z341" s="84" t="str">
        <f>HYPERLINK("https://twitter.com/able2extract/status/1275023822215958528")</f>
        <v>https://twitter.com/able2extract/status/1275023822215958528</v>
      </c>
      <c r="AA341" s="81"/>
      <c r="AB341" s="81"/>
      <c r="AC341" s="89" t="s">
        <v>1103</v>
      </c>
      <c r="AD341" s="81"/>
      <c r="AE341" s="81" t="b">
        <v>0</v>
      </c>
      <c r="AF341" s="81">
        <v>0</v>
      </c>
      <c r="AG341" s="89" t="s">
        <v>1149</v>
      </c>
      <c r="AH341" s="81" t="b">
        <v>0</v>
      </c>
      <c r="AI341" s="81" t="s">
        <v>1150</v>
      </c>
      <c r="AJ341" s="81"/>
      <c r="AK341" s="89" t="s">
        <v>1149</v>
      </c>
      <c r="AL341" s="81" t="b">
        <v>0</v>
      </c>
      <c r="AM341" s="81">
        <v>2</v>
      </c>
      <c r="AN341" s="89" t="s">
        <v>1105</v>
      </c>
      <c r="AO341" s="81" t="s">
        <v>1175</v>
      </c>
      <c r="AP341" s="81" t="b">
        <v>0</v>
      </c>
      <c r="AQ341" s="89" t="s">
        <v>1105</v>
      </c>
      <c r="AR341" s="81" t="s">
        <v>325</v>
      </c>
      <c r="AS341" s="81">
        <v>0</v>
      </c>
      <c r="AT341" s="81">
        <v>0</v>
      </c>
      <c r="AU341" s="81"/>
      <c r="AV341" s="81"/>
      <c r="AW341" s="81"/>
      <c r="AX341" s="81"/>
      <c r="AY341" s="81"/>
      <c r="AZ341" s="81"/>
      <c r="BA341" s="81"/>
      <c r="BB341" s="81"/>
      <c r="BC341">
        <v>1</v>
      </c>
      <c r="BD341" s="80" t="str">
        <f>REPLACE(INDEX(GroupVertices[Group],MATCH(Edges[[#This Row],[Vertex 1]],GroupVertices[Vertex],0)),1,1,"")</f>
        <v>5</v>
      </c>
      <c r="BE341" s="80" t="str">
        <f>REPLACE(INDEX(GroupVertices[Group],MATCH(Edges[[#This Row],[Vertex 2]],GroupVertices[Vertex],0)),1,1,"")</f>
        <v>5</v>
      </c>
      <c r="BF341" s="48"/>
      <c r="BG341" s="49"/>
      <c r="BH341" s="48"/>
      <c r="BI341" s="49"/>
      <c r="BJ341" s="48"/>
      <c r="BK341" s="49"/>
      <c r="BL341" s="48"/>
      <c r="BM341" s="49"/>
      <c r="BN341" s="48"/>
    </row>
    <row r="342" spans="1:66" ht="15">
      <c r="A342" s="66" t="s">
        <v>483</v>
      </c>
      <c r="B342" s="66" t="s">
        <v>580</v>
      </c>
      <c r="C342" s="67" t="s">
        <v>3149</v>
      </c>
      <c r="D342" s="68">
        <v>4</v>
      </c>
      <c r="E342" s="69" t="s">
        <v>132</v>
      </c>
      <c r="F342" s="70">
        <v>30</v>
      </c>
      <c r="G342" s="67"/>
      <c r="H342" s="71"/>
      <c r="I342" s="72"/>
      <c r="J342" s="72"/>
      <c r="K342" s="34" t="s">
        <v>65</v>
      </c>
      <c r="L342" s="79">
        <v>342</v>
      </c>
      <c r="M342" s="79"/>
      <c r="N342" s="74"/>
      <c r="O342" s="81" t="s">
        <v>588</v>
      </c>
      <c r="P342" s="83">
        <v>44004.4669212963</v>
      </c>
      <c r="Q342" s="81" t="s">
        <v>665</v>
      </c>
      <c r="R342" s="81"/>
      <c r="S342" s="81"/>
      <c r="T342" s="81" t="s">
        <v>707</v>
      </c>
      <c r="U342" s="81"/>
      <c r="V342" s="84" t="str">
        <f>HYPERLINK("http://pbs.twimg.com/profile_images/807327786100752384/Rz3_8mdP_normal.jpg")</f>
        <v>http://pbs.twimg.com/profile_images/807327786100752384/Rz3_8mdP_normal.jpg</v>
      </c>
      <c r="W342" s="83">
        <v>44004.4669212963</v>
      </c>
      <c r="X342" s="87">
        <v>44004</v>
      </c>
      <c r="Y342" s="89" t="s">
        <v>893</v>
      </c>
      <c r="Z342" s="84" t="str">
        <f>HYPERLINK("https://twitter.com/able2extract/status/1275023822215958528")</f>
        <v>https://twitter.com/able2extract/status/1275023822215958528</v>
      </c>
      <c r="AA342" s="81"/>
      <c r="AB342" s="81"/>
      <c r="AC342" s="89" t="s">
        <v>1103</v>
      </c>
      <c r="AD342" s="81"/>
      <c r="AE342" s="81" t="b">
        <v>0</v>
      </c>
      <c r="AF342" s="81">
        <v>0</v>
      </c>
      <c r="AG342" s="89" t="s">
        <v>1149</v>
      </c>
      <c r="AH342" s="81" t="b">
        <v>0</v>
      </c>
      <c r="AI342" s="81" t="s">
        <v>1150</v>
      </c>
      <c r="AJ342" s="81"/>
      <c r="AK342" s="89" t="s">
        <v>1149</v>
      </c>
      <c r="AL342" s="81" t="b">
        <v>0</v>
      </c>
      <c r="AM342" s="81">
        <v>2</v>
      </c>
      <c r="AN342" s="89" t="s">
        <v>1105</v>
      </c>
      <c r="AO342" s="81" t="s">
        <v>1175</v>
      </c>
      <c r="AP342" s="81" t="b">
        <v>0</v>
      </c>
      <c r="AQ342" s="89" t="s">
        <v>1105</v>
      </c>
      <c r="AR342" s="81" t="s">
        <v>325</v>
      </c>
      <c r="AS342" s="81">
        <v>0</v>
      </c>
      <c r="AT342" s="81">
        <v>0</v>
      </c>
      <c r="AU342" s="81"/>
      <c r="AV342" s="81"/>
      <c r="AW342" s="81"/>
      <c r="AX342" s="81"/>
      <c r="AY342" s="81"/>
      <c r="AZ342" s="81"/>
      <c r="BA342" s="81"/>
      <c r="BB342" s="81"/>
      <c r="BC342">
        <v>1</v>
      </c>
      <c r="BD342" s="80" t="str">
        <f>REPLACE(INDEX(GroupVertices[Group],MATCH(Edges[[#This Row],[Vertex 1]],GroupVertices[Vertex],0)),1,1,"")</f>
        <v>5</v>
      </c>
      <c r="BE342" s="80" t="str">
        <f>REPLACE(INDEX(GroupVertices[Group],MATCH(Edges[[#This Row],[Vertex 2]],GroupVertices[Vertex],0)),1,1,"")</f>
        <v>5</v>
      </c>
      <c r="BF342" s="48"/>
      <c r="BG342" s="49"/>
      <c r="BH342" s="48"/>
      <c r="BI342" s="49"/>
      <c r="BJ342" s="48"/>
      <c r="BK342" s="49"/>
      <c r="BL342" s="48"/>
      <c r="BM342" s="49"/>
      <c r="BN342" s="48"/>
    </row>
    <row r="343" spans="1:66" ht="15">
      <c r="A343" s="66" t="s">
        <v>483</v>
      </c>
      <c r="B343" s="66" t="s">
        <v>581</v>
      </c>
      <c r="C343" s="67" t="s">
        <v>3149</v>
      </c>
      <c r="D343" s="68">
        <v>4</v>
      </c>
      <c r="E343" s="69" t="s">
        <v>132</v>
      </c>
      <c r="F343" s="70">
        <v>30</v>
      </c>
      <c r="G343" s="67"/>
      <c r="H343" s="71"/>
      <c r="I343" s="72"/>
      <c r="J343" s="72"/>
      <c r="K343" s="34" t="s">
        <v>65</v>
      </c>
      <c r="L343" s="79">
        <v>343</v>
      </c>
      <c r="M343" s="79"/>
      <c r="N343" s="74"/>
      <c r="O343" s="81" t="s">
        <v>588</v>
      </c>
      <c r="P343" s="83">
        <v>44004.4669212963</v>
      </c>
      <c r="Q343" s="81" t="s">
        <v>665</v>
      </c>
      <c r="R343" s="81"/>
      <c r="S343" s="81"/>
      <c r="T343" s="81" t="s">
        <v>707</v>
      </c>
      <c r="U343" s="81"/>
      <c r="V343" s="84" t="str">
        <f>HYPERLINK("http://pbs.twimg.com/profile_images/807327786100752384/Rz3_8mdP_normal.jpg")</f>
        <v>http://pbs.twimg.com/profile_images/807327786100752384/Rz3_8mdP_normal.jpg</v>
      </c>
      <c r="W343" s="83">
        <v>44004.4669212963</v>
      </c>
      <c r="X343" s="87">
        <v>44004</v>
      </c>
      <c r="Y343" s="89" t="s">
        <v>893</v>
      </c>
      <c r="Z343" s="84" t="str">
        <f>HYPERLINK("https://twitter.com/able2extract/status/1275023822215958528")</f>
        <v>https://twitter.com/able2extract/status/1275023822215958528</v>
      </c>
      <c r="AA343" s="81"/>
      <c r="AB343" s="81"/>
      <c r="AC343" s="89" t="s">
        <v>1103</v>
      </c>
      <c r="AD343" s="81"/>
      <c r="AE343" s="81" t="b">
        <v>0</v>
      </c>
      <c r="AF343" s="81">
        <v>0</v>
      </c>
      <c r="AG343" s="89" t="s">
        <v>1149</v>
      </c>
      <c r="AH343" s="81" t="b">
        <v>0</v>
      </c>
      <c r="AI343" s="81" t="s">
        <v>1150</v>
      </c>
      <c r="AJ343" s="81"/>
      <c r="AK343" s="89" t="s">
        <v>1149</v>
      </c>
      <c r="AL343" s="81" t="b">
        <v>0</v>
      </c>
      <c r="AM343" s="81">
        <v>2</v>
      </c>
      <c r="AN343" s="89" t="s">
        <v>1105</v>
      </c>
      <c r="AO343" s="81" t="s">
        <v>1175</v>
      </c>
      <c r="AP343" s="81" t="b">
        <v>0</v>
      </c>
      <c r="AQ343" s="89" t="s">
        <v>1105</v>
      </c>
      <c r="AR343" s="81" t="s">
        <v>325</v>
      </c>
      <c r="AS343" s="81">
        <v>0</v>
      </c>
      <c r="AT343" s="81">
        <v>0</v>
      </c>
      <c r="AU343" s="81"/>
      <c r="AV343" s="81"/>
      <c r="AW343" s="81"/>
      <c r="AX343" s="81"/>
      <c r="AY343" s="81"/>
      <c r="AZ343" s="81"/>
      <c r="BA343" s="81"/>
      <c r="BB343" s="81"/>
      <c r="BC343">
        <v>1</v>
      </c>
      <c r="BD343" s="80" t="str">
        <f>REPLACE(INDEX(GroupVertices[Group],MATCH(Edges[[#This Row],[Vertex 1]],GroupVertices[Vertex],0)),1,1,"")</f>
        <v>5</v>
      </c>
      <c r="BE343" s="80" t="str">
        <f>REPLACE(INDEX(GroupVertices[Group],MATCH(Edges[[#This Row],[Vertex 2]],GroupVertices[Vertex],0)),1,1,"")</f>
        <v>5</v>
      </c>
      <c r="BF343" s="48">
        <v>1</v>
      </c>
      <c r="BG343" s="49">
        <v>2.272727272727273</v>
      </c>
      <c r="BH343" s="48">
        <v>0</v>
      </c>
      <c r="BI343" s="49">
        <v>0</v>
      </c>
      <c r="BJ343" s="48">
        <v>0</v>
      </c>
      <c r="BK343" s="49">
        <v>0</v>
      </c>
      <c r="BL343" s="48">
        <v>43</v>
      </c>
      <c r="BM343" s="49">
        <v>97.72727272727273</v>
      </c>
      <c r="BN343" s="48">
        <v>44</v>
      </c>
    </row>
    <row r="344" spans="1:66" ht="15">
      <c r="A344" s="66" t="s">
        <v>483</v>
      </c>
      <c r="B344" s="66" t="s">
        <v>482</v>
      </c>
      <c r="C344" s="67" t="s">
        <v>3149</v>
      </c>
      <c r="D344" s="68">
        <v>4</v>
      </c>
      <c r="E344" s="69" t="s">
        <v>132</v>
      </c>
      <c r="F344" s="70">
        <v>30</v>
      </c>
      <c r="G344" s="67"/>
      <c r="H344" s="71"/>
      <c r="I344" s="72"/>
      <c r="J344" s="72"/>
      <c r="K344" s="34" t="s">
        <v>66</v>
      </c>
      <c r="L344" s="79">
        <v>344</v>
      </c>
      <c r="M344" s="79"/>
      <c r="N344" s="74"/>
      <c r="O344" s="81" t="s">
        <v>586</v>
      </c>
      <c r="P344" s="83">
        <v>44004.4669212963</v>
      </c>
      <c r="Q344" s="81" t="s">
        <v>665</v>
      </c>
      <c r="R344" s="81"/>
      <c r="S344" s="81"/>
      <c r="T344" s="81" t="s">
        <v>707</v>
      </c>
      <c r="U344" s="81"/>
      <c r="V344" s="84" t="str">
        <f>HYPERLINK("http://pbs.twimg.com/profile_images/807327786100752384/Rz3_8mdP_normal.jpg")</f>
        <v>http://pbs.twimg.com/profile_images/807327786100752384/Rz3_8mdP_normal.jpg</v>
      </c>
      <c r="W344" s="83">
        <v>44004.4669212963</v>
      </c>
      <c r="X344" s="87">
        <v>44004</v>
      </c>
      <c r="Y344" s="89" t="s">
        <v>893</v>
      </c>
      <c r="Z344" s="84" t="str">
        <f>HYPERLINK("https://twitter.com/able2extract/status/1275023822215958528")</f>
        <v>https://twitter.com/able2extract/status/1275023822215958528</v>
      </c>
      <c r="AA344" s="81"/>
      <c r="AB344" s="81"/>
      <c r="AC344" s="89" t="s">
        <v>1103</v>
      </c>
      <c r="AD344" s="81"/>
      <c r="AE344" s="81" t="b">
        <v>0</v>
      </c>
      <c r="AF344" s="81">
        <v>0</v>
      </c>
      <c r="AG344" s="89" t="s">
        <v>1149</v>
      </c>
      <c r="AH344" s="81" t="b">
        <v>0</v>
      </c>
      <c r="AI344" s="81" t="s">
        <v>1150</v>
      </c>
      <c r="AJ344" s="81"/>
      <c r="AK344" s="89" t="s">
        <v>1149</v>
      </c>
      <c r="AL344" s="81" t="b">
        <v>0</v>
      </c>
      <c r="AM344" s="81">
        <v>2</v>
      </c>
      <c r="AN344" s="89" t="s">
        <v>1105</v>
      </c>
      <c r="AO344" s="81" t="s">
        <v>1175</v>
      </c>
      <c r="AP344" s="81" t="b">
        <v>0</v>
      </c>
      <c r="AQ344" s="89" t="s">
        <v>1105</v>
      </c>
      <c r="AR344" s="81" t="s">
        <v>325</v>
      </c>
      <c r="AS344" s="81">
        <v>0</v>
      </c>
      <c r="AT344" s="81">
        <v>0</v>
      </c>
      <c r="AU344" s="81"/>
      <c r="AV344" s="81"/>
      <c r="AW344" s="81"/>
      <c r="AX344" s="81"/>
      <c r="AY344" s="81"/>
      <c r="AZ344" s="81"/>
      <c r="BA344" s="81"/>
      <c r="BB344" s="81"/>
      <c r="BC344">
        <v>1</v>
      </c>
      <c r="BD344" s="80" t="str">
        <f>REPLACE(INDEX(GroupVertices[Group],MATCH(Edges[[#This Row],[Vertex 1]],GroupVertices[Vertex],0)),1,1,"")</f>
        <v>5</v>
      </c>
      <c r="BE344" s="80" t="str">
        <f>REPLACE(INDEX(GroupVertices[Group],MATCH(Edges[[#This Row],[Vertex 2]],GroupVertices[Vertex],0)),1,1,"")</f>
        <v>5</v>
      </c>
      <c r="BF344" s="48"/>
      <c r="BG344" s="49"/>
      <c r="BH344" s="48"/>
      <c r="BI344" s="49"/>
      <c r="BJ344" s="48"/>
      <c r="BK344" s="49"/>
      <c r="BL344" s="48"/>
      <c r="BM344" s="49"/>
      <c r="BN344" s="48"/>
    </row>
    <row r="345" spans="1:66" ht="15">
      <c r="A345" s="66" t="s">
        <v>484</v>
      </c>
      <c r="B345" s="66" t="s">
        <v>483</v>
      </c>
      <c r="C345" s="67" t="s">
        <v>3149</v>
      </c>
      <c r="D345" s="68">
        <v>4</v>
      </c>
      <c r="E345" s="69" t="s">
        <v>132</v>
      </c>
      <c r="F345" s="70">
        <v>30</v>
      </c>
      <c r="G345" s="67"/>
      <c r="H345" s="71"/>
      <c r="I345" s="72"/>
      <c r="J345" s="72"/>
      <c r="K345" s="34" t="s">
        <v>66</v>
      </c>
      <c r="L345" s="79">
        <v>345</v>
      </c>
      <c r="M345" s="79"/>
      <c r="N345" s="74"/>
      <c r="O345" s="81" t="s">
        <v>588</v>
      </c>
      <c r="P345" s="83">
        <v>44004.50859953704</v>
      </c>
      <c r="Q345" s="81" t="s">
        <v>665</v>
      </c>
      <c r="R345" s="81"/>
      <c r="S345" s="81"/>
      <c r="T345" s="81" t="s">
        <v>707</v>
      </c>
      <c r="U345" s="81"/>
      <c r="V345" s="84" t="str">
        <f>HYPERLINK("http://pbs.twimg.com/profile_images/1042288947966095360/nzEcnwwC_normal.jpg")</f>
        <v>http://pbs.twimg.com/profile_images/1042288947966095360/nzEcnwwC_normal.jpg</v>
      </c>
      <c r="W345" s="83">
        <v>44004.50859953704</v>
      </c>
      <c r="X345" s="87">
        <v>44004</v>
      </c>
      <c r="Y345" s="89" t="s">
        <v>894</v>
      </c>
      <c r="Z345" s="84" t="str">
        <f>HYPERLINK("https://twitter.com/easel_ly/status/1275038926932238341")</f>
        <v>https://twitter.com/easel_ly/status/1275038926932238341</v>
      </c>
      <c r="AA345" s="81"/>
      <c r="AB345" s="81"/>
      <c r="AC345" s="89" t="s">
        <v>1104</v>
      </c>
      <c r="AD345" s="81"/>
      <c r="AE345" s="81" t="b">
        <v>0</v>
      </c>
      <c r="AF345" s="81">
        <v>0</v>
      </c>
      <c r="AG345" s="89" t="s">
        <v>1149</v>
      </c>
      <c r="AH345" s="81" t="b">
        <v>0</v>
      </c>
      <c r="AI345" s="81" t="s">
        <v>1150</v>
      </c>
      <c r="AJ345" s="81"/>
      <c r="AK345" s="89" t="s">
        <v>1149</v>
      </c>
      <c r="AL345" s="81" t="b">
        <v>0</v>
      </c>
      <c r="AM345" s="81">
        <v>2</v>
      </c>
      <c r="AN345" s="89" t="s">
        <v>1105</v>
      </c>
      <c r="AO345" s="81" t="s">
        <v>1172</v>
      </c>
      <c r="AP345" s="81" t="b">
        <v>0</v>
      </c>
      <c r="AQ345" s="89" t="s">
        <v>1105</v>
      </c>
      <c r="AR345" s="81" t="s">
        <v>325</v>
      </c>
      <c r="AS345" s="81">
        <v>0</v>
      </c>
      <c r="AT345" s="81">
        <v>0</v>
      </c>
      <c r="AU345" s="81"/>
      <c r="AV345" s="81"/>
      <c r="AW345" s="81"/>
      <c r="AX345" s="81"/>
      <c r="AY345" s="81"/>
      <c r="AZ345" s="81"/>
      <c r="BA345" s="81"/>
      <c r="BB345" s="81"/>
      <c r="BC345">
        <v>1</v>
      </c>
      <c r="BD345" s="80" t="str">
        <f>REPLACE(INDEX(GroupVertices[Group],MATCH(Edges[[#This Row],[Vertex 1]],GroupVertices[Vertex],0)),1,1,"")</f>
        <v>5</v>
      </c>
      <c r="BE345" s="80" t="str">
        <f>REPLACE(INDEX(GroupVertices[Group],MATCH(Edges[[#This Row],[Vertex 2]],GroupVertices[Vertex],0)),1,1,"")</f>
        <v>5</v>
      </c>
      <c r="BF345" s="48"/>
      <c r="BG345" s="49"/>
      <c r="BH345" s="48"/>
      <c r="BI345" s="49"/>
      <c r="BJ345" s="48"/>
      <c r="BK345" s="49"/>
      <c r="BL345" s="48"/>
      <c r="BM345" s="49"/>
      <c r="BN345" s="48"/>
    </row>
    <row r="346" spans="1:66" ht="15">
      <c r="A346" s="66" t="s">
        <v>482</v>
      </c>
      <c r="B346" s="66" t="s">
        <v>483</v>
      </c>
      <c r="C346" s="67" t="s">
        <v>3149</v>
      </c>
      <c r="D346" s="68">
        <v>4</v>
      </c>
      <c r="E346" s="69" t="s">
        <v>132</v>
      </c>
      <c r="F346" s="70">
        <v>30</v>
      </c>
      <c r="G346" s="67"/>
      <c r="H346" s="71"/>
      <c r="I346" s="72"/>
      <c r="J346" s="72"/>
      <c r="K346" s="34" t="s">
        <v>66</v>
      </c>
      <c r="L346" s="79">
        <v>346</v>
      </c>
      <c r="M346" s="79"/>
      <c r="N346" s="74"/>
      <c r="O346" s="81" t="s">
        <v>587</v>
      </c>
      <c r="P346" s="83">
        <v>44002.48324074074</v>
      </c>
      <c r="Q346" s="81" t="s">
        <v>665</v>
      </c>
      <c r="R346" s="84" t="str">
        <f>HYPERLINK("https://datajournalism.com/register")</f>
        <v>https://datajournalism.com/register</v>
      </c>
      <c r="S346" s="81" t="s">
        <v>685</v>
      </c>
      <c r="T346" s="81" t="s">
        <v>722</v>
      </c>
      <c r="U346" s="84" t="str">
        <f>HYPERLINK("https://pbs.twimg.com/media/Ea89nCHWsAQzH_v.jpg")</f>
        <v>https://pbs.twimg.com/media/Ea89nCHWsAQzH_v.jpg</v>
      </c>
      <c r="V346" s="84" t="str">
        <f>HYPERLINK("https://pbs.twimg.com/media/Ea89nCHWsAQzH_v.jpg")</f>
        <v>https://pbs.twimg.com/media/Ea89nCHWsAQzH_v.jpg</v>
      </c>
      <c r="W346" s="83">
        <v>44002.48324074074</v>
      </c>
      <c r="X346" s="87">
        <v>44002</v>
      </c>
      <c r="Y346" s="89" t="s">
        <v>895</v>
      </c>
      <c r="Z346" s="84" t="str">
        <f>HYPERLINK("https://twitter.com/datajournalism/status/1274304961749319680")</f>
        <v>https://twitter.com/datajournalism/status/1274304961749319680</v>
      </c>
      <c r="AA346" s="81"/>
      <c r="AB346" s="81"/>
      <c r="AC346" s="89" t="s">
        <v>1105</v>
      </c>
      <c r="AD346" s="81"/>
      <c r="AE346" s="81" t="b">
        <v>0</v>
      </c>
      <c r="AF346" s="81">
        <v>8</v>
      </c>
      <c r="AG346" s="89" t="s">
        <v>1149</v>
      </c>
      <c r="AH346" s="81" t="b">
        <v>0</v>
      </c>
      <c r="AI346" s="81" t="s">
        <v>1150</v>
      </c>
      <c r="AJ346" s="81"/>
      <c r="AK346" s="89" t="s">
        <v>1149</v>
      </c>
      <c r="AL346" s="81" t="b">
        <v>0</v>
      </c>
      <c r="AM346" s="81">
        <v>2</v>
      </c>
      <c r="AN346" s="89" t="s">
        <v>1149</v>
      </c>
      <c r="AO346" s="81" t="s">
        <v>1174</v>
      </c>
      <c r="AP346" s="81" t="b">
        <v>0</v>
      </c>
      <c r="AQ346" s="89" t="s">
        <v>1105</v>
      </c>
      <c r="AR346" s="81" t="s">
        <v>586</v>
      </c>
      <c r="AS346" s="81">
        <v>0</v>
      </c>
      <c r="AT346" s="81">
        <v>0</v>
      </c>
      <c r="AU346" s="81"/>
      <c r="AV346" s="81"/>
      <c r="AW346" s="81"/>
      <c r="AX346" s="81"/>
      <c r="AY346" s="81"/>
      <c r="AZ346" s="81"/>
      <c r="BA346" s="81"/>
      <c r="BB346" s="81"/>
      <c r="BC346">
        <v>1</v>
      </c>
      <c r="BD346" s="80" t="str">
        <f>REPLACE(INDEX(GroupVertices[Group],MATCH(Edges[[#This Row],[Vertex 1]],GroupVertices[Vertex],0)),1,1,"")</f>
        <v>5</v>
      </c>
      <c r="BE346" s="80" t="str">
        <f>REPLACE(INDEX(GroupVertices[Group],MATCH(Edges[[#This Row],[Vertex 2]],GroupVertices[Vertex],0)),1,1,"")</f>
        <v>5</v>
      </c>
      <c r="BF346" s="48"/>
      <c r="BG346" s="49"/>
      <c r="BH346" s="48"/>
      <c r="BI346" s="49"/>
      <c r="BJ346" s="48"/>
      <c r="BK346" s="49"/>
      <c r="BL346" s="48"/>
      <c r="BM346" s="49"/>
      <c r="BN346" s="48"/>
    </row>
    <row r="347" spans="1:66" ht="15">
      <c r="A347" s="66" t="s">
        <v>484</v>
      </c>
      <c r="B347" s="66" t="s">
        <v>580</v>
      </c>
      <c r="C347" s="67" t="s">
        <v>3149</v>
      </c>
      <c r="D347" s="68">
        <v>4</v>
      </c>
      <c r="E347" s="69" t="s">
        <v>132</v>
      </c>
      <c r="F347" s="70">
        <v>30</v>
      </c>
      <c r="G347" s="67"/>
      <c r="H347" s="71"/>
      <c r="I347" s="72"/>
      <c r="J347" s="72"/>
      <c r="K347" s="34" t="s">
        <v>65</v>
      </c>
      <c r="L347" s="79">
        <v>347</v>
      </c>
      <c r="M347" s="79"/>
      <c r="N347" s="74"/>
      <c r="O347" s="81" t="s">
        <v>588</v>
      </c>
      <c r="P347" s="83">
        <v>44004.50859953704</v>
      </c>
      <c r="Q347" s="81" t="s">
        <v>665</v>
      </c>
      <c r="R347" s="81"/>
      <c r="S347" s="81"/>
      <c r="T347" s="81" t="s">
        <v>707</v>
      </c>
      <c r="U347" s="81"/>
      <c r="V347" s="84" t="str">
        <f>HYPERLINK("http://pbs.twimg.com/profile_images/1042288947966095360/nzEcnwwC_normal.jpg")</f>
        <v>http://pbs.twimg.com/profile_images/1042288947966095360/nzEcnwwC_normal.jpg</v>
      </c>
      <c r="W347" s="83">
        <v>44004.50859953704</v>
      </c>
      <c r="X347" s="87">
        <v>44004</v>
      </c>
      <c r="Y347" s="89" t="s">
        <v>894</v>
      </c>
      <c r="Z347" s="84" t="str">
        <f>HYPERLINK("https://twitter.com/easel_ly/status/1275038926932238341")</f>
        <v>https://twitter.com/easel_ly/status/1275038926932238341</v>
      </c>
      <c r="AA347" s="81"/>
      <c r="AB347" s="81"/>
      <c r="AC347" s="89" t="s">
        <v>1104</v>
      </c>
      <c r="AD347" s="81"/>
      <c r="AE347" s="81" t="b">
        <v>0</v>
      </c>
      <c r="AF347" s="81">
        <v>0</v>
      </c>
      <c r="AG347" s="89" t="s">
        <v>1149</v>
      </c>
      <c r="AH347" s="81" t="b">
        <v>0</v>
      </c>
      <c r="AI347" s="81" t="s">
        <v>1150</v>
      </c>
      <c r="AJ347" s="81"/>
      <c r="AK347" s="89" t="s">
        <v>1149</v>
      </c>
      <c r="AL347" s="81" t="b">
        <v>0</v>
      </c>
      <c r="AM347" s="81">
        <v>2</v>
      </c>
      <c r="AN347" s="89" t="s">
        <v>1105</v>
      </c>
      <c r="AO347" s="81" t="s">
        <v>1172</v>
      </c>
      <c r="AP347" s="81" t="b">
        <v>0</v>
      </c>
      <c r="AQ347" s="89" t="s">
        <v>1105</v>
      </c>
      <c r="AR347" s="81" t="s">
        <v>325</v>
      </c>
      <c r="AS347" s="81">
        <v>0</v>
      </c>
      <c r="AT347" s="81">
        <v>0</v>
      </c>
      <c r="AU347" s="81"/>
      <c r="AV347" s="81"/>
      <c r="AW347" s="81"/>
      <c r="AX347" s="81"/>
      <c r="AY347" s="81"/>
      <c r="AZ347" s="81"/>
      <c r="BA347" s="81"/>
      <c r="BB347" s="81"/>
      <c r="BC347">
        <v>1</v>
      </c>
      <c r="BD347" s="80" t="str">
        <f>REPLACE(INDEX(GroupVertices[Group],MATCH(Edges[[#This Row],[Vertex 1]],GroupVertices[Vertex],0)),1,1,"")</f>
        <v>5</v>
      </c>
      <c r="BE347" s="80" t="str">
        <f>REPLACE(INDEX(GroupVertices[Group],MATCH(Edges[[#This Row],[Vertex 2]],GroupVertices[Vertex],0)),1,1,"")</f>
        <v>5</v>
      </c>
      <c r="BF347" s="48"/>
      <c r="BG347" s="49"/>
      <c r="BH347" s="48"/>
      <c r="BI347" s="49"/>
      <c r="BJ347" s="48"/>
      <c r="BK347" s="49"/>
      <c r="BL347" s="48"/>
      <c r="BM347" s="49"/>
      <c r="BN347" s="48"/>
    </row>
    <row r="348" spans="1:66" ht="15">
      <c r="A348" s="66" t="s">
        <v>484</v>
      </c>
      <c r="B348" s="66" t="s">
        <v>581</v>
      </c>
      <c r="C348" s="67" t="s">
        <v>3149</v>
      </c>
      <c r="D348" s="68">
        <v>4</v>
      </c>
      <c r="E348" s="69" t="s">
        <v>132</v>
      </c>
      <c r="F348" s="70">
        <v>30</v>
      </c>
      <c r="G348" s="67"/>
      <c r="H348" s="71"/>
      <c r="I348" s="72"/>
      <c r="J348" s="72"/>
      <c r="K348" s="34" t="s">
        <v>65</v>
      </c>
      <c r="L348" s="79">
        <v>348</v>
      </c>
      <c r="M348" s="79"/>
      <c r="N348" s="74"/>
      <c r="O348" s="81" t="s">
        <v>588</v>
      </c>
      <c r="P348" s="83">
        <v>44004.50859953704</v>
      </c>
      <c r="Q348" s="81" t="s">
        <v>665</v>
      </c>
      <c r="R348" s="81"/>
      <c r="S348" s="81"/>
      <c r="T348" s="81" t="s">
        <v>707</v>
      </c>
      <c r="U348" s="81"/>
      <c r="V348" s="84" t="str">
        <f>HYPERLINK("http://pbs.twimg.com/profile_images/1042288947966095360/nzEcnwwC_normal.jpg")</f>
        <v>http://pbs.twimg.com/profile_images/1042288947966095360/nzEcnwwC_normal.jpg</v>
      </c>
      <c r="W348" s="83">
        <v>44004.50859953704</v>
      </c>
      <c r="X348" s="87">
        <v>44004</v>
      </c>
      <c r="Y348" s="89" t="s">
        <v>894</v>
      </c>
      <c r="Z348" s="84" t="str">
        <f>HYPERLINK("https://twitter.com/easel_ly/status/1275038926932238341")</f>
        <v>https://twitter.com/easel_ly/status/1275038926932238341</v>
      </c>
      <c r="AA348" s="81"/>
      <c r="AB348" s="81"/>
      <c r="AC348" s="89" t="s">
        <v>1104</v>
      </c>
      <c r="AD348" s="81"/>
      <c r="AE348" s="81" t="b">
        <v>0</v>
      </c>
      <c r="AF348" s="81">
        <v>0</v>
      </c>
      <c r="AG348" s="89" t="s">
        <v>1149</v>
      </c>
      <c r="AH348" s="81" t="b">
        <v>0</v>
      </c>
      <c r="AI348" s="81" t="s">
        <v>1150</v>
      </c>
      <c r="AJ348" s="81"/>
      <c r="AK348" s="89" t="s">
        <v>1149</v>
      </c>
      <c r="AL348" s="81" t="b">
        <v>0</v>
      </c>
      <c r="AM348" s="81">
        <v>2</v>
      </c>
      <c r="AN348" s="89" t="s">
        <v>1105</v>
      </c>
      <c r="AO348" s="81" t="s">
        <v>1172</v>
      </c>
      <c r="AP348" s="81" t="b">
        <v>0</v>
      </c>
      <c r="AQ348" s="89" t="s">
        <v>1105</v>
      </c>
      <c r="AR348" s="81" t="s">
        <v>325</v>
      </c>
      <c r="AS348" s="81">
        <v>0</v>
      </c>
      <c r="AT348" s="81">
        <v>0</v>
      </c>
      <c r="AU348" s="81"/>
      <c r="AV348" s="81"/>
      <c r="AW348" s="81"/>
      <c r="AX348" s="81"/>
      <c r="AY348" s="81"/>
      <c r="AZ348" s="81"/>
      <c r="BA348" s="81"/>
      <c r="BB348" s="81"/>
      <c r="BC348">
        <v>1</v>
      </c>
      <c r="BD348" s="80" t="str">
        <f>REPLACE(INDEX(GroupVertices[Group],MATCH(Edges[[#This Row],[Vertex 1]],GroupVertices[Vertex],0)),1,1,"")</f>
        <v>5</v>
      </c>
      <c r="BE348" s="80" t="str">
        <f>REPLACE(INDEX(GroupVertices[Group],MATCH(Edges[[#This Row],[Vertex 2]],GroupVertices[Vertex],0)),1,1,"")</f>
        <v>5</v>
      </c>
      <c r="BF348" s="48">
        <v>1</v>
      </c>
      <c r="BG348" s="49">
        <v>2.272727272727273</v>
      </c>
      <c r="BH348" s="48">
        <v>0</v>
      </c>
      <c r="BI348" s="49">
        <v>0</v>
      </c>
      <c r="BJ348" s="48">
        <v>0</v>
      </c>
      <c r="BK348" s="49">
        <v>0</v>
      </c>
      <c r="BL348" s="48">
        <v>43</v>
      </c>
      <c r="BM348" s="49">
        <v>97.72727272727273</v>
      </c>
      <c r="BN348" s="48">
        <v>44</v>
      </c>
    </row>
    <row r="349" spans="1:66" ht="15">
      <c r="A349" s="66" t="s">
        <v>484</v>
      </c>
      <c r="B349" s="66" t="s">
        <v>482</v>
      </c>
      <c r="C349" s="67" t="s">
        <v>3149</v>
      </c>
      <c r="D349" s="68">
        <v>4</v>
      </c>
      <c r="E349" s="69" t="s">
        <v>132</v>
      </c>
      <c r="F349" s="70">
        <v>30</v>
      </c>
      <c r="G349" s="67"/>
      <c r="H349" s="71"/>
      <c r="I349" s="72"/>
      <c r="J349" s="72"/>
      <c r="K349" s="34" t="s">
        <v>66</v>
      </c>
      <c r="L349" s="79">
        <v>349</v>
      </c>
      <c r="M349" s="79"/>
      <c r="N349" s="74"/>
      <c r="O349" s="81" t="s">
        <v>586</v>
      </c>
      <c r="P349" s="83">
        <v>44004.50859953704</v>
      </c>
      <c r="Q349" s="81" t="s">
        <v>665</v>
      </c>
      <c r="R349" s="81"/>
      <c r="S349" s="81"/>
      <c r="T349" s="81" t="s">
        <v>707</v>
      </c>
      <c r="U349" s="81"/>
      <c r="V349" s="84" t="str">
        <f>HYPERLINK("http://pbs.twimg.com/profile_images/1042288947966095360/nzEcnwwC_normal.jpg")</f>
        <v>http://pbs.twimg.com/profile_images/1042288947966095360/nzEcnwwC_normal.jpg</v>
      </c>
      <c r="W349" s="83">
        <v>44004.50859953704</v>
      </c>
      <c r="X349" s="87">
        <v>44004</v>
      </c>
      <c r="Y349" s="89" t="s">
        <v>894</v>
      </c>
      <c r="Z349" s="84" t="str">
        <f>HYPERLINK("https://twitter.com/easel_ly/status/1275038926932238341")</f>
        <v>https://twitter.com/easel_ly/status/1275038926932238341</v>
      </c>
      <c r="AA349" s="81"/>
      <c r="AB349" s="81"/>
      <c r="AC349" s="89" t="s">
        <v>1104</v>
      </c>
      <c r="AD349" s="81"/>
      <c r="AE349" s="81" t="b">
        <v>0</v>
      </c>
      <c r="AF349" s="81">
        <v>0</v>
      </c>
      <c r="AG349" s="89" t="s">
        <v>1149</v>
      </c>
      <c r="AH349" s="81" t="b">
        <v>0</v>
      </c>
      <c r="AI349" s="81" t="s">
        <v>1150</v>
      </c>
      <c r="AJ349" s="81"/>
      <c r="AK349" s="89" t="s">
        <v>1149</v>
      </c>
      <c r="AL349" s="81" t="b">
        <v>0</v>
      </c>
      <c r="AM349" s="81">
        <v>2</v>
      </c>
      <c r="AN349" s="89" t="s">
        <v>1105</v>
      </c>
      <c r="AO349" s="81" t="s">
        <v>1172</v>
      </c>
      <c r="AP349" s="81" t="b">
        <v>0</v>
      </c>
      <c r="AQ349" s="89" t="s">
        <v>1105</v>
      </c>
      <c r="AR349" s="81" t="s">
        <v>325</v>
      </c>
      <c r="AS349" s="81">
        <v>0</v>
      </c>
      <c r="AT349" s="81">
        <v>0</v>
      </c>
      <c r="AU349" s="81"/>
      <c r="AV349" s="81"/>
      <c r="AW349" s="81"/>
      <c r="AX349" s="81"/>
      <c r="AY349" s="81"/>
      <c r="AZ349" s="81"/>
      <c r="BA349" s="81"/>
      <c r="BB349" s="81"/>
      <c r="BC349">
        <v>1</v>
      </c>
      <c r="BD349" s="80" t="str">
        <f>REPLACE(INDEX(GroupVertices[Group],MATCH(Edges[[#This Row],[Vertex 1]],GroupVertices[Vertex],0)),1,1,"")</f>
        <v>5</v>
      </c>
      <c r="BE349" s="80" t="str">
        <f>REPLACE(INDEX(GroupVertices[Group],MATCH(Edges[[#This Row],[Vertex 2]],GroupVertices[Vertex],0)),1,1,"")</f>
        <v>5</v>
      </c>
      <c r="BF349" s="48"/>
      <c r="BG349" s="49"/>
      <c r="BH349" s="48"/>
      <c r="BI349" s="49"/>
      <c r="BJ349" s="48"/>
      <c r="BK349" s="49"/>
      <c r="BL349" s="48"/>
      <c r="BM349" s="49"/>
      <c r="BN349" s="48"/>
    </row>
    <row r="350" spans="1:66" ht="15">
      <c r="A350" s="66" t="s">
        <v>482</v>
      </c>
      <c r="B350" s="66" t="s">
        <v>484</v>
      </c>
      <c r="C350" s="67" t="s">
        <v>3149</v>
      </c>
      <c r="D350" s="68">
        <v>4</v>
      </c>
      <c r="E350" s="69" t="s">
        <v>132</v>
      </c>
      <c r="F350" s="70">
        <v>30</v>
      </c>
      <c r="G350" s="67"/>
      <c r="H350" s="71"/>
      <c r="I350" s="72"/>
      <c r="J350" s="72"/>
      <c r="K350" s="34" t="s">
        <v>66</v>
      </c>
      <c r="L350" s="79">
        <v>350</v>
      </c>
      <c r="M350" s="79"/>
      <c r="N350" s="74"/>
      <c r="O350" s="81" t="s">
        <v>587</v>
      </c>
      <c r="P350" s="83">
        <v>44002.48324074074</v>
      </c>
      <c r="Q350" s="81" t="s">
        <v>665</v>
      </c>
      <c r="R350" s="84" t="str">
        <f>HYPERLINK("https://datajournalism.com/register")</f>
        <v>https://datajournalism.com/register</v>
      </c>
      <c r="S350" s="81" t="s">
        <v>685</v>
      </c>
      <c r="T350" s="81" t="s">
        <v>722</v>
      </c>
      <c r="U350" s="84" t="str">
        <f>HYPERLINK("https://pbs.twimg.com/media/Ea89nCHWsAQzH_v.jpg")</f>
        <v>https://pbs.twimg.com/media/Ea89nCHWsAQzH_v.jpg</v>
      </c>
      <c r="V350" s="84" t="str">
        <f>HYPERLINK("https://pbs.twimg.com/media/Ea89nCHWsAQzH_v.jpg")</f>
        <v>https://pbs.twimg.com/media/Ea89nCHWsAQzH_v.jpg</v>
      </c>
      <c r="W350" s="83">
        <v>44002.48324074074</v>
      </c>
      <c r="X350" s="87">
        <v>44002</v>
      </c>
      <c r="Y350" s="89" t="s">
        <v>895</v>
      </c>
      <c r="Z350" s="84" t="str">
        <f>HYPERLINK("https://twitter.com/datajournalism/status/1274304961749319680")</f>
        <v>https://twitter.com/datajournalism/status/1274304961749319680</v>
      </c>
      <c r="AA350" s="81"/>
      <c r="AB350" s="81"/>
      <c r="AC350" s="89" t="s">
        <v>1105</v>
      </c>
      <c r="AD350" s="81"/>
      <c r="AE350" s="81" t="b">
        <v>0</v>
      </c>
      <c r="AF350" s="81">
        <v>8</v>
      </c>
      <c r="AG350" s="89" t="s">
        <v>1149</v>
      </c>
      <c r="AH350" s="81" t="b">
        <v>0</v>
      </c>
      <c r="AI350" s="81" t="s">
        <v>1150</v>
      </c>
      <c r="AJ350" s="81"/>
      <c r="AK350" s="89" t="s">
        <v>1149</v>
      </c>
      <c r="AL350" s="81" t="b">
        <v>0</v>
      </c>
      <c r="AM350" s="81">
        <v>2</v>
      </c>
      <c r="AN350" s="89" t="s">
        <v>1149</v>
      </c>
      <c r="AO350" s="81" t="s">
        <v>1174</v>
      </c>
      <c r="AP350" s="81" t="b">
        <v>0</v>
      </c>
      <c r="AQ350" s="89" t="s">
        <v>1105</v>
      </c>
      <c r="AR350" s="81" t="s">
        <v>586</v>
      </c>
      <c r="AS350" s="81">
        <v>0</v>
      </c>
      <c r="AT350" s="81">
        <v>0</v>
      </c>
      <c r="AU350" s="81"/>
      <c r="AV350" s="81"/>
      <c r="AW350" s="81"/>
      <c r="AX350" s="81"/>
      <c r="AY350" s="81"/>
      <c r="AZ350" s="81"/>
      <c r="BA350" s="81"/>
      <c r="BB350" s="81"/>
      <c r="BC350">
        <v>1</v>
      </c>
      <c r="BD350" s="80" t="str">
        <f>REPLACE(INDEX(GroupVertices[Group],MATCH(Edges[[#This Row],[Vertex 1]],GroupVertices[Vertex],0)),1,1,"")</f>
        <v>5</v>
      </c>
      <c r="BE350" s="80" t="str">
        <f>REPLACE(INDEX(GroupVertices[Group],MATCH(Edges[[#This Row],[Vertex 2]],GroupVertices[Vertex],0)),1,1,"")</f>
        <v>5</v>
      </c>
      <c r="BF350" s="48"/>
      <c r="BG350" s="49"/>
      <c r="BH350" s="48"/>
      <c r="BI350" s="49"/>
      <c r="BJ350" s="48"/>
      <c r="BK350" s="49"/>
      <c r="BL350" s="48"/>
      <c r="BM350" s="49"/>
      <c r="BN350" s="48"/>
    </row>
    <row r="351" spans="1:66" ht="15">
      <c r="A351" s="66" t="s">
        <v>482</v>
      </c>
      <c r="B351" s="66" t="s">
        <v>580</v>
      </c>
      <c r="C351" s="67" t="s">
        <v>3149</v>
      </c>
      <c r="D351" s="68">
        <v>4</v>
      </c>
      <c r="E351" s="69" t="s">
        <v>132</v>
      </c>
      <c r="F351" s="70">
        <v>30</v>
      </c>
      <c r="G351" s="67"/>
      <c r="H351" s="71"/>
      <c r="I351" s="72"/>
      <c r="J351" s="72"/>
      <c r="K351" s="34" t="s">
        <v>65</v>
      </c>
      <c r="L351" s="79">
        <v>351</v>
      </c>
      <c r="M351" s="79"/>
      <c r="N351" s="74"/>
      <c r="O351" s="81" t="s">
        <v>587</v>
      </c>
      <c r="P351" s="83">
        <v>44002.48324074074</v>
      </c>
      <c r="Q351" s="81" t="s">
        <v>665</v>
      </c>
      <c r="R351" s="84" t="str">
        <f>HYPERLINK("https://datajournalism.com/register")</f>
        <v>https://datajournalism.com/register</v>
      </c>
      <c r="S351" s="81" t="s">
        <v>685</v>
      </c>
      <c r="T351" s="81" t="s">
        <v>722</v>
      </c>
      <c r="U351" s="84" t="str">
        <f>HYPERLINK("https://pbs.twimg.com/media/Ea89nCHWsAQzH_v.jpg")</f>
        <v>https://pbs.twimg.com/media/Ea89nCHWsAQzH_v.jpg</v>
      </c>
      <c r="V351" s="84" t="str">
        <f>HYPERLINK("https://pbs.twimg.com/media/Ea89nCHWsAQzH_v.jpg")</f>
        <v>https://pbs.twimg.com/media/Ea89nCHWsAQzH_v.jpg</v>
      </c>
      <c r="W351" s="83">
        <v>44002.48324074074</v>
      </c>
      <c r="X351" s="87">
        <v>44002</v>
      </c>
      <c r="Y351" s="89" t="s">
        <v>895</v>
      </c>
      <c r="Z351" s="84" t="str">
        <f>HYPERLINK("https://twitter.com/datajournalism/status/1274304961749319680")</f>
        <v>https://twitter.com/datajournalism/status/1274304961749319680</v>
      </c>
      <c r="AA351" s="81"/>
      <c r="AB351" s="81"/>
      <c r="AC351" s="89" t="s">
        <v>1105</v>
      </c>
      <c r="AD351" s="81"/>
      <c r="AE351" s="81" t="b">
        <v>0</v>
      </c>
      <c r="AF351" s="81">
        <v>8</v>
      </c>
      <c r="AG351" s="89" t="s">
        <v>1149</v>
      </c>
      <c r="AH351" s="81" t="b">
        <v>0</v>
      </c>
      <c r="AI351" s="81" t="s">
        <v>1150</v>
      </c>
      <c r="AJ351" s="81"/>
      <c r="AK351" s="89" t="s">
        <v>1149</v>
      </c>
      <c r="AL351" s="81" t="b">
        <v>0</v>
      </c>
      <c r="AM351" s="81">
        <v>2</v>
      </c>
      <c r="AN351" s="89" t="s">
        <v>1149</v>
      </c>
      <c r="AO351" s="81" t="s">
        <v>1174</v>
      </c>
      <c r="AP351" s="81" t="b">
        <v>0</v>
      </c>
      <c r="AQ351" s="89" t="s">
        <v>1105</v>
      </c>
      <c r="AR351" s="81" t="s">
        <v>586</v>
      </c>
      <c r="AS351" s="81">
        <v>0</v>
      </c>
      <c r="AT351" s="81">
        <v>0</v>
      </c>
      <c r="AU351" s="81"/>
      <c r="AV351" s="81"/>
      <c r="AW351" s="81"/>
      <c r="AX351" s="81"/>
      <c r="AY351" s="81"/>
      <c r="AZ351" s="81"/>
      <c r="BA351" s="81"/>
      <c r="BB351" s="81"/>
      <c r="BC351">
        <v>1</v>
      </c>
      <c r="BD351" s="80" t="str">
        <f>REPLACE(INDEX(GroupVertices[Group],MATCH(Edges[[#This Row],[Vertex 1]],GroupVertices[Vertex],0)),1,1,"")</f>
        <v>5</v>
      </c>
      <c r="BE351" s="80" t="str">
        <f>REPLACE(INDEX(GroupVertices[Group],MATCH(Edges[[#This Row],[Vertex 2]],GroupVertices[Vertex],0)),1,1,"")</f>
        <v>5</v>
      </c>
      <c r="BF351" s="48"/>
      <c r="BG351" s="49"/>
      <c r="BH351" s="48"/>
      <c r="BI351" s="49"/>
      <c r="BJ351" s="48"/>
      <c r="BK351" s="49"/>
      <c r="BL351" s="48"/>
      <c r="BM351" s="49"/>
      <c r="BN351" s="48"/>
    </row>
    <row r="352" spans="1:66" ht="15">
      <c r="A352" s="66" t="s">
        <v>482</v>
      </c>
      <c r="B352" s="66" t="s">
        <v>581</v>
      </c>
      <c r="C352" s="67" t="s">
        <v>3149</v>
      </c>
      <c r="D352" s="68">
        <v>4</v>
      </c>
      <c r="E352" s="69" t="s">
        <v>132</v>
      </c>
      <c r="F352" s="70">
        <v>30</v>
      </c>
      <c r="G352" s="67"/>
      <c r="H352" s="71"/>
      <c r="I352" s="72"/>
      <c r="J352" s="72"/>
      <c r="K352" s="34" t="s">
        <v>65</v>
      </c>
      <c r="L352" s="79">
        <v>352</v>
      </c>
      <c r="M352" s="79"/>
      <c r="N352" s="74"/>
      <c r="O352" s="81" t="s">
        <v>587</v>
      </c>
      <c r="P352" s="83">
        <v>44002.48324074074</v>
      </c>
      <c r="Q352" s="81" t="s">
        <v>665</v>
      </c>
      <c r="R352" s="84" t="str">
        <f>HYPERLINK("https://datajournalism.com/register")</f>
        <v>https://datajournalism.com/register</v>
      </c>
      <c r="S352" s="81" t="s">
        <v>685</v>
      </c>
      <c r="T352" s="81" t="s">
        <v>722</v>
      </c>
      <c r="U352" s="84" t="str">
        <f>HYPERLINK("https://pbs.twimg.com/media/Ea89nCHWsAQzH_v.jpg")</f>
        <v>https://pbs.twimg.com/media/Ea89nCHWsAQzH_v.jpg</v>
      </c>
      <c r="V352" s="84" t="str">
        <f>HYPERLINK("https://pbs.twimg.com/media/Ea89nCHWsAQzH_v.jpg")</f>
        <v>https://pbs.twimg.com/media/Ea89nCHWsAQzH_v.jpg</v>
      </c>
      <c r="W352" s="83">
        <v>44002.48324074074</v>
      </c>
      <c r="X352" s="87">
        <v>44002</v>
      </c>
      <c r="Y352" s="89" t="s">
        <v>895</v>
      </c>
      <c r="Z352" s="84" t="str">
        <f>HYPERLINK("https://twitter.com/datajournalism/status/1274304961749319680")</f>
        <v>https://twitter.com/datajournalism/status/1274304961749319680</v>
      </c>
      <c r="AA352" s="81"/>
      <c r="AB352" s="81"/>
      <c r="AC352" s="89" t="s">
        <v>1105</v>
      </c>
      <c r="AD352" s="81"/>
      <c r="AE352" s="81" t="b">
        <v>0</v>
      </c>
      <c r="AF352" s="81">
        <v>8</v>
      </c>
      <c r="AG352" s="89" t="s">
        <v>1149</v>
      </c>
      <c r="AH352" s="81" t="b">
        <v>0</v>
      </c>
      <c r="AI352" s="81" t="s">
        <v>1150</v>
      </c>
      <c r="AJ352" s="81"/>
      <c r="AK352" s="89" t="s">
        <v>1149</v>
      </c>
      <c r="AL352" s="81" t="b">
        <v>0</v>
      </c>
      <c r="AM352" s="81">
        <v>2</v>
      </c>
      <c r="AN352" s="89" t="s">
        <v>1149</v>
      </c>
      <c r="AO352" s="81" t="s">
        <v>1174</v>
      </c>
      <c r="AP352" s="81" t="b">
        <v>0</v>
      </c>
      <c r="AQ352" s="89" t="s">
        <v>1105</v>
      </c>
      <c r="AR352" s="81" t="s">
        <v>586</v>
      </c>
      <c r="AS352" s="81">
        <v>0</v>
      </c>
      <c r="AT352" s="81">
        <v>0</v>
      </c>
      <c r="AU352" s="81"/>
      <c r="AV352" s="81"/>
      <c r="AW352" s="81"/>
      <c r="AX352" s="81"/>
      <c r="AY352" s="81"/>
      <c r="AZ352" s="81"/>
      <c r="BA352" s="81"/>
      <c r="BB352" s="81"/>
      <c r="BC352">
        <v>1</v>
      </c>
      <c r="BD352" s="80" t="str">
        <f>REPLACE(INDEX(GroupVertices[Group],MATCH(Edges[[#This Row],[Vertex 1]],GroupVertices[Vertex],0)),1,1,"")</f>
        <v>5</v>
      </c>
      <c r="BE352" s="80" t="str">
        <f>REPLACE(INDEX(GroupVertices[Group],MATCH(Edges[[#This Row],[Vertex 2]],GroupVertices[Vertex],0)),1,1,"")</f>
        <v>5</v>
      </c>
      <c r="BF352" s="48">
        <v>1</v>
      </c>
      <c r="BG352" s="49">
        <v>2.272727272727273</v>
      </c>
      <c r="BH352" s="48">
        <v>0</v>
      </c>
      <c r="BI352" s="49">
        <v>0</v>
      </c>
      <c r="BJ352" s="48">
        <v>0</v>
      </c>
      <c r="BK352" s="49">
        <v>0</v>
      </c>
      <c r="BL352" s="48">
        <v>43</v>
      </c>
      <c r="BM352" s="49">
        <v>97.72727272727273</v>
      </c>
      <c r="BN352" s="48">
        <v>44</v>
      </c>
    </row>
    <row r="353" spans="1:66" ht="15">
      <c r="A353" s="66" t="s">
        <v>485</v>
      </c>
      <c r="B353" s="66" t="s">
        <v>482</v>
      </c>
      <c r="C353" s="67" t="s">
        <v>3149</v>
      </c>
      <c r="D353" s="68">
        <v>4</v>
      </c>
      <c r="E353" s="69" t="s">
        <v>132</v>
      </c>
      <c r="F353" s="70">
        <v>30</v>
      </c>
      <c r="G353" s="67"/>
      <c r="H353" s="71"/>
      <c r="I353" s="72"/>
      <c r="J353" s="72"/>
      <c r="K353" s="34" t="s">
        <v>65</v>
      </c>
      <c r="L353" s="79">
        <v>353</v>
      </c>
      <c r="M353" s="79"/>
      <c r="N353" s="74"/>
      <c r="O353" s="81" t="s">
        <v>586</v>
      </c>
      <c r="P353" s="83">
        <v>44005.25038194445</v>
      </c>
      <c r="Q353" s="81" t="s">
        <v>666</v>
      </c>
      <c r="R353" s="81"/>
      <c r="S353" s="81"/>
      <c r="T353" s="81" t="s">
        <v>482</v>
      </c>
      <c r="U353" s="81"/>
      <c r="V353" s="84" t="str">
        <f>HYPERLINK("http://pbs.twimg.com/profile_images/902120676970168321/BTa_yvAl_normal.jpg")</f>
        <v>http://pbs.twimg.com/profile_images/902120676970168321/BTa_yvAl_normal.jpg</v>
      </c>
      <c r="W353" s="83">
        <v>44005.25038194445</v>
      </c>
      <c r="X353" s="87">
        <v>44005</v>
      </c>
      <c r="Y353" s="89" t="s">
        <v>896</v>
      </c>
      <c r="Z353" s="84" t="str">
        <f>HYPERLINK("https://twitter.com/ohmyshambles/status/1275307737472253953")</f>
        <v>https://twitter.com/ohmyshambles/status/1275307737472253953</v>
      </c>
      <c r="AA353" s="81"/>
      <c r="AB353" s="81"/>
      <c r="AC353" s="89" t="s">
        <v>1106</v>
      </c>
      <c r="AD353" s="81"/>
      <c r="AE353" s="81" t="b">
        <v>0</v>
      </c>
      <c r="AF353" s="81">
        <v>0</v>
      </c>
      <c r="AG353" s="89" t="s">
        <v>1149</v>
      </c>
      <c r="AH353" s="81" t="b">
        <v>0</v>
      </c>
      <c r="AI353" s="81" t="s">
        <v>1150</v>
      </c>
      <c r="AJ353" s="81"/>
      <c r="AK353" s="89" t="s">
        <v>1149</v>
      </c>
      <c r="AL353" s="81" t="b">
        <v>0</v>
      </c>
      <c r="AM353" s="81">
        <v>4</v>
      </c>
      <c r="AN353" s="89" t="s">
        <v>1126</v>
      </c>
      <c r="AO353" s="81" t="s">
        <v>1172</v>
      </c>
      <c r="AP353" s="81" t="b">
        <v>0</v>
      </c>
      <c r="AQ353" s="89" t="s">
        <v>1126</v>
      </c>
      <c r="AR353" s="81" t="s">
        <v>325</v>
      </c>
      <c r="AS353" s="81">
        <v>0</v>
      </c>
      <c r="AT353" s="81">
        <v>0</v>
      </c>
      <c r="AU353" s="81"/>
      <c r="AV353" s="81"/>
      <c r="AW353" s="81"/>
      <c r="AX353" s="81"/>
      <c r="AY353" s="81"/>
      <c r="AZ353" s="81"/>
      <c r="BA353" s="81"/>
      <c r="BB353" s="81"/>
      <c r="BC353">
        <v>1</v>
      </c>
      <c r="BD353" s="80" t="str">
        <f>REPLACE(INDEX(GroupVertices[Group],MATCH(Edges[[#This Row],[Vertex 1]],GroupVertices[Vertex],0)),1,1,"")</f>
        <v>5</v>
      </c>
      <c r="BE353" s="80" t="str">
        <f>REPLACE(INDEX(GroupVertices[Group],MATCH(Edges[[#This Row],[Vertex 2]],GroupVertices[Vertex],0)),1,1,"")</f>
        <v>5</v>
      </c>
      <c r="BF353" s="48">
        <v>1</v>
      </c>
      <c r="BG353" s="49">
        <v>3.7037037037037037</v>
      </c>
      <c r="BH353" s="48">
        <v>0</v>
      </c>
      <c r="BI353" s="49">
        <v>0</v>
      </c>
      <c r="BJ353" s="48">
        <v>0</v>
      </c>
      <c r="BK353" s="49">
        <v>0</v>
      </c>
      <c r="BL353" s="48">
        <v>26</v>
      </c>
      <c r="BM353" s="49">
        <v>96.29629629629629</v>
      </c>
      <c r="BN353" s="48">
        <v>27</v>
      </c>
    </row>
    <row r="354" spans="1:66" ht="15">
      <c r="A354" s="66" t="s">
        <v>486</v>
      </c>
      <c r="B354" s="66" t="s">
        <v>482</v>
      </c>
      <c r="C354" s="67" t="s">
        <v>3149</v>
      </c>
      <c r="D354" s="68">
        <v>4</v>
      </c>
      <c r="E354" s="69" t="s">
        <v>132</v>
      </c>
      <c r="F354" s="70">
        <v>30</v>
      </c>
      <c r="G354" s="67"/>
      <c r="H354" s="71"/>
      <c r="I354" s="72"/>
      <c r="J354" s="72"/>
      <c r="K354" s="34" t="s">
        <v>65</v>
      </c>
      <c r="L354" s="79">
        <v>354</v>
      </c>
      <c r="M354" s="79"/>
      <c r="N354" s="74"/>
      <c r="O354" s="81" t="s">
        <v>586</v>
      </c>
      <c r="P354" s="83">
        <v>44005.25318287037</v>
      </c>
      <c r="Q354" s="81" t="s">
        <v>666</v>
      </c>
      <c r="R354" s="81"/>
      <c r="S354" s="81"/>
      <c r="T354" s="81" t="s">
        <v>482</v>
      </c>
      <c r="U354" s="81"/>
      <c r="V354" s="84" t="str">
        <f>HYPERLINK("http://pbs.twimg.com/profile_images/1564365669/margyphoto_normal.JPG")</f>
        <v>http://pbs.twimg.com/profile_images/1564365669/margyphoto_normal.JPG</v>
      </c>
      <c r="W354" s="83">
        <v>44005.25318287037</v>
      </c>
      <c r="X354" s="87">
        <v>44005</v>
      </c>
      <c r="Y354" s="89" t="s">
        <v>897</v>
      </c>
      <c r="Z354" s="84" t="str">
        <f>HYPERLINK("https://twitter.com/margymaclibrary/status/1275308753848426496")</f>
        <v>https://twitter.com/margymaclibrary/status/1275308753848426496</v>
      </c>
      <c r="AA354" s="81"/>
      <c r="AB354" s="81"/>
      <c r="AC354" s="89" t="s">
        <v>1107</v>
      </c>
      <c r="AD354" s="81"/>
      <c r="AE354" s="81" t="b">
        <v>0</v>
      </c>
      <c r="AF354" s="81">
        <v>0</v>
      </c>
      <c r="AG354" s="89" t="s">
        <v>1149</v>
      </c>
      <c r="AH354" s="81" t="b">
        <v>0</v>
      </c>
      <c r="AI354" s="81" t="s">
        <v>1150</v>
      </c>
      <c r="AJ354" s="81"/>
      <c r="AK354" s="89" t="s">
        <v>1149</v>
      </c>
      <c r="AL354" s="81" t="b">
        <v>0</v>
      </c>
      <c r="AM354" s="81">
        <v>4</v>
      </c>
      <c r="AN354" s="89" t="s">
        <v>1126</v>
      </c>
      <c r="AO354" s="81" t="s">
        <v>1165</v>
      </c>
      <c r="AP354" s="81" t="b">
        <v>0</v>
      </c>
      <c r="AQ354" s="89" t="s">
        <v>1126</v>
      </c>
      <c r="AR354" s="81" t="s">
        <v>325</v>
      </c>
      <c r="AS354" s="81">
        <v>0</v>
      </c>
      <c r="AT354" s="81">
        <v>0</v>
      </c>
      <c r="AU354" s="81"/>
      <c r="AV354" s="81"/>
      <c r="AW354" s="81"/>
      <c r="AX354" s="81"/>
      <c r="AY354" s="81"/>
      <c r="AZ354" s="81"/>
      <c r="BA354" s="81"/>
      <c r="BB354" s="81"/>
      <c r="BC354">
        <v>1</v>
      </c>
      <c r="BD354" s="80" t="str">
        <f>REPLACE(INDEX(GroupVertices[Group],MATCH(Edges[[#This Row],[Vertex 1]],GroupVertices[Vertex],0)),1,1,"")</f>
        <v>5</v>
      </c>
      <c r="BE354" s="80" t="str">
        <f>REPLACE(INDEX(GroupVertices[Group],MATCH(Edges[[#This Row],[Vertex 2]],GroupVertices[Vertex],0)),1,1,"")</f>
        <v>5</v>
      </c>
      <c r="BF354" s="48">
        <v>1</v>
      </c>
      <c r="BG354" s="49">
        <v>3.7037037037037037</v>
      </c>
      <c r="BH354" s="48">
        <v>0</v>
      </c>
      <c r="BI354" s="49">
        <v>0</v>
      </c>
      <c r="BJ354" s="48">
        <v>0</v>
      </c>
      <c r="BK354" s="49">
        <v>0</v>
      </c>
      <c r="BL354" s="48">
        <v>26</v>
      </c>
      <c r="BM354" s="49">
        <v>96.29629629629629</v>
      </c>
      <c r="BN354" s="48">
        <v>27</v>
      </c>
    </row>
    <row r="355" spans="1:66" ht="15">
      <c r="A355" s="66" t="s">
        <v>487</v>
      </c>
      <c r="B355" s="66" t="s">
        <v>529</v>
      </c>
      <c r="C355" s="67" t="s">
        <v>3149</v>
      </c>
      <c r="D355" s="68">
        <v>4</v>
      </c>
      <c r="E355" s="69" t="s">
        <v>132</v>
      </c>
      <c r="F355" s="70">
        <v>30</v>
      </c>
      <c r="G355" s="67"/>
      <c r="H355" s="71"/>
      <c r="I355" s="72"/>
      <c r="J355" s="72"/>
      <c r="K355" s="34" t="s">
        <v>65</v>
      </c>
      <c r="L355" s="79">
        <v>355</v>
      </c>
      <c r="M355" s="79"/>
      <c r="N355" s="74"/>
      <c r="O355" s="81" t="s">
        <v>587</v>
      </c>
      <c r="P355" s="83">
        <v>44004.62328703704</v>
      </c>
      <c r="Q355" s="81" t="s">
        <v>602</v>
      </c>
      <c r="R355" s="84" t="str">
        <f>HYPERLINK("https://www.tijd.be/ondernemen/milieu-energie/het-droogteprobleem-in-belgie-uitgelegd/10234318.html")</f>
        <v>https://www.tijd.be/ondernemen/milieu-energie/het-droogteprobleem-in-belgie-uitgelegd/10234318.html</v>
      </c>
      <c r="S355" s="81" t="s">
        <v>686</v>
      </c>
      <c r="T355" s="81" t="s">
        <v>707</v>
      </c>
      <c r="U355" s="84" t="str">
        <f>HYPERLINK("https://pbs.twimg.com/media/EbH-x2AUcAQoj5S.jpg")</f>
        <v>https://pbs.twimg.com/media/EbH-x2AUcAQoj5S.jpg</v>
      </c>
      <c r="V355" s="84" t="str">
        <f>HYPERLINK("https://pbs.twimg.com/media/EbH-x2AUcAQoj5S.jpg")</f>
        <v>https://pbs.twimg.com/media/EbH-x2AUcAQoj5S.jpg</v>
      </c>
      <c r="W355" s="83">
        <v>44004.62328703704</v>
      </c>
      <c r="X355" s="87">
        <v>44004</v>
      </c>
      <c r="Y355" s="89" t="s">
        <v>898</v>
      </c>
      <c r="Z355" s="84" t="str">
        <f>HYPERLINK("https://twitter.com/andriesfluit/status/1275080485333463042")</f>
        <v>https://twitter.com/andriesfluit/status/1275080485333463042</v>
      </c>
      <c r="AA355" s="81"/>
      <c r="AB355" s="81"/>
      <c r="AC355" s="89" t="s">
        <v>1108</v>
      </c>
      <c r="AD355" s="81"/>
      <c r="AE355" s="81" t="b">
        <v>0</v>
      </c>
      <c r="AF355" s="81">
        <v>7</v>
      </c>
      <c r="AG355" s="89" t="s">
        <v>1149</v>
      </c>
      <c r="AH355" s="81" t="b">
        <v>0</v>
      </c>
      <c r="AI355" s="81" t="s">
        <v>1153</v>
      </c>
      <c r="AJ355" s="81"/>
      <c r="AK355" s="89" t="s">
        <v>1149</v>
      </c>
      <c r="AL355" s="81" t="b">
        <v>0</v>
      </c>
      <c r="AM355" s="81">
        <v>3</v>
      </c>
      <c r="AN355" s="89" t="s">
        <v>1149</v>
      </c>
      <c r="AO355" s="81" t="s">
        <v>1172</v>
      </c>
      <c r="AP355" s="81" t="b">
        <v>0</v>
      </c>
      <c r="AQ355" s="89" t="s">
        <v>1108</v>
      </c>
      <c r="AR355" s="81" t="s">
        <v>325</v>
      </c>
      <c r="AS355" s="81">
        <v>0</v>
      </c>
      <c r="AT355" s="81">
        <v>0</v>
      </c>
      <c r="AU355" s="81"/>
      <c r="AV355" s="81"/>
      <c r="AW355" s="81"/>
      <c r="AX355" s="81"/>
      <c r="AY355" s="81"/>
      <c r="AZ355" s="81"/>
      <c r="BA355" s="81"/>
      <c r="BB355" s="81"/>
      <c r="BC355">
        <v>1</v>
      </c>
      <c r="BD355" s="80" t="str">
        <f>REPLACE(INDEX(GroupVertices[Group],MATCH(Edges[[#This Row],[Vertex 1]],GroupVertices[Vertex],0)),1,1,"")</f>
        <v>11</v>
      </c>
      <c r="BE355" s="80" t="str">
        <f>REPLACE(INDEX(GroupVertices[Group],MATCH(Edges[[#This Row],[Vertex 2]],GroupVertices[Vertex],0)),1,1,"")</f>
        <v>11</v>
      </c>
      <c r="BF355" s="48">
        <v>0</v>
      </c>
      <c r="BG355" s="49">
        <v>0</v>
      </c>
      <c r="BH355" s="48">
        <v>0</v>
      </c>
      <c r="BI355" s="49">
        <v>0</v>
      </c>
      <c r="BJ355" s="48">
        <v>0</v>
      </c>
      <c r="BK355" s="49">
        <v>0</v>
      </c>
      <c r="BL355" s="48">
        <v>33</v>
      </c>
      <c r="BM355" s="49">
        <v>100</v>
      </c>
      <c r="BN355" s="48">
        <v>33</v>
      </c>
    </row>
    <row r="356" spans="1:66" ht="15">
      <c r="A356" s="66" t="s">
        <v>488</v>
      </c>
      <c r="B356" s="66" t="s">
        <v>529</v>
      </c>
      <c r="C356" s="67" t="s">
        <v>3149</v>
      </c>
      <c r="D356" s="68">
        <v>4</v>
      </c>
      <c r="E356" s="69" t="s">
        <v>132</v>
      </c>
      <c r="F356" s="70">
        <v>30</v>
      </c>
      <c r="G356" s="67"/>
      <c r="H356" s="71"/>
      <c r="I356" s="72"/>
      <c r="J356" s="72"/>
      <c r="K356" s="34" t="s">
        <v>65</v>
      </c>
      <c r="L356" s="79">
        <v>356</v>
      </c>
      <c r="M356" s="79"/>
      <c r="N356" s="74"/>
      <c r="O356" s="81" t="s">
        <v>588</v>
      </c>
      <c r="P356" s="83">
        <v>44005.256006944444</v>
      </c>
      <c r="Q356" s="81" t="s">
        <v>602</v>
      </c>
      <c r="R356" s="81"/>
      <c r="S356" s="81"/>
      <c r="T356" s="81"/>
      <c r="U356" s="81"/>
      <c r="V356" s="84" t="str">
        <f>HYPERLINK("http://pbs.twimg.com/profile_images/1253223783823007745/8nU3NGcW_normal.jpg")</f>
        <v>http://pbs.twimg.com/profile_images/1253223783823007745/8nU3NGcW_normal.jpg</v>
      </c>
      <c r="W356" s="83">
        <v>44005.256006944444</v>
      </c>
      <c r="X356" s="87">
        <v>44005</v>
      </c>
      <c r="Y356" s="89" t="s">
        <v>899</v>
      </c>
      <c r="Z356" s="84" t="str">
        <f>HYPERLINK("https://twitter.com/boerenilse/status/1275309776465952769")</f>
        <v>https://twitter.com/boerenilse/status/1275309776465952769</v>
      </c>
      <c r="AA356" s="81"/>
      <c r="AB356" s="81"/>
      <c r="AC356" s="89" t="s">
        <v>1109</v>
      </c>
      <c r="AD356" s="81"/>
      <c r="AE356" s="81" t="b">
        <v>0</v>
      </c>
      <c r="AF356" s="81">
        <v>0</v>
      </c>
      <c r="AG356" s="89" t="s">
        <v>1149</v>
      </c>
      <c r="AH356" s="81" t="b">
        <v>0</v>
      </c>
      <c r="AI356" s="81" t="s">
        <v>1153</v>
      </c>
      <c r="AJ356" s="81"/>
      <c r="AK356" s="89" t="s">
        <v>1149</v>
      </c>
      <c r="AL356" s="81" t="b">
        <v>0</v>
      </c>
      <c r="AM356" s="81">
        <v>3</v>
      </c>
      <c r="AN356" s="89" t="s">
        <v>1108</v>
      </c>
      <c r="AO356" s="81" t="s">
        <v>1172</v>
      </c>
      <c r="AP356" s="81" t="b">
        <v>0</v>
      </c>
      <c r="AQ356" s="89" t="s">
        <v>1108</v>
      </c>
      <c r="AR356" s="81" t="s">
        <v>325</v>
      </c>
      <c r="AS356" s="81">
        <v>0</v>
      </c>
      <c r="AT356" s="81">
        <v>0</v>
      </c>
      <c r="AU356" s="81"/>
      <c r="AV356" s="81"/>
      <c r="AW356" s="81"/>
      <c r="AX356" s="81"/>
      <c r="AY356" s="81"/>
      <c r="AZ356" s="81"/>
      <c r="BA356" s="81"/>
      <c r="BB356" s="81"/>
      <c r="BC356">
        <v>1</v>
      </c>
      <c r="BD356" s="80" t="str">
        <f>REPLACE(INDEX(GroupVertices[Group],MATCH(Edges[[#This Row],[Vertex 1]],GroupVertices[Vertex],0)),1,1,"")</f>
        <v>11</v>
      </c>
      <c r="BE356" s="80" t="str">
        <f>REPLACE(INDEX(GroupVertices[Group],MATCH(Edges[[#This Row],[Vertex 2]],GroupVertices[Vertex],0)),1,1,"")</f>
        <v>11</v>
      </c>
      <c r="BF356" s="48"/>
      <c r="BG356" s="49"/>
      <c r="BH356" s="48"/>
      <c r="BI356" s="49"/>
      <c r="BJ356" s="48"/>
      <c r="BK356" s="49"/>
      <c r="BL356" s="48"/>
      <c r="BM356" s="49"/>
      <c r="BN356" s="48"/>
    </row>
    <row r="357" spans="1:66" ht="15">
      <c r="A357" s="66" t="s">
        <v>488</v>
      </c>
      <c r="B357" s="66" t="s">
        <v>487</v>
      </c>
      <c r="C357" s="67" t="s">
        <v>3149</v>
      </c>
      <c r="D357" s="68">
        <v>4</v>
      </c>
      <c r="E357" s="69" t="s">
        <v>132</v>
      </c>
      <c r="F357" s="70">
        <v>30</v>
      </c>
      <c r="G357" s="67"/>
      <c r="H357" s="71"/>
      <c r="I357" s="72"/>
      <c r="J357" s="72"/>
      <c r="K357" s="34" t="s">
        <v>65</v>
      </c>
      <c r="L357" s="79">
        <v>357</v>
      </c>
      <c r="M357" s="79"/>
      <c r="N357" s="74"/>
      <c r="O357" s="81" t="s">
        <v>586</v>
      </c>
      <c r="P357" s="83">
        <v>44005.256006944444</v>
      </c>
      <c r="Q357" s="81" t="s">
        <v>602</v>
      </c>
      <c r="R357" s="81"/>
      <c r="S357" s="81"/>
      <c r="T357" s="81"/>
      <c r="U357" s="81"/>
      <c r="V357" s="84" t="str">
        <f>HYPERLINK("http://pbs.twimg.com/profile_images/1253223783823007745/8nU3NGcW_normal.jpg")</f>
        <v>http://pbs.twimg.com/profile_images/1253223783823007745/8nU3NGcW_normal.jpg</v>
      </c>
      <c r="W357" s="83">
        <v>44005.256006944444</v>
      </c>
      <c r="X357" s="87">
        <v>44005</v>
      </c>
      <c r="Y357" s="89" t="s">
        <v>899</v>
      </c>
      <c r="Z357" s="84" t="str">
        <f>HYPERLINK("https://twitter.com/boerenilse/status/1275309776465952769")</f>
        <v>https://twitter.com/boerenilse/status/1275309776465952769</v>
      </c>
      <c r="AA357" s="81"/>
      <c r="AB357" s="81"/>
      <c r="AC357" s="89" t="s">
        <v>1109</v>
      </c>
      <c r="AD357" s="81"/>
      <c r="AE357" s="81" t="b">
        <v>0</v>
      </c>
      <c r="AF357" s="81">
        <v>0</v>
      </c>
      <c r="AG357" s="89" t="s">
        <v>1149</v>
      </c>
      <c r="AH357" s="81" t="b">
        <v>0</v>
      </c>
      <c r="AI357" s="81" t="s">
        <v>1153</v>
      </c>
      <c r="AJ357" s="81"/>
      <c r="AK357" s="89" t="s">
        <v>1149</v>
      </c>
      <c r="AL357" s="81" t="b">
        <v>0</v>
      </c>
      <c r="AM357" s="81">
        <v>3</v>
      </c>
      <c r="AN357" s="89" t="s">
        <v>1108</v>
      </c>
      <c r="AO357" s="81" t="s">
        <v>1172</v>
      </c>
      <c r="AP357" s="81" t="b">
        <v>0</v>
      </c>
      <c r="AQ357" s="89" t="s">
        <v>1108</v>
      </c>
      <c r="AR357" s="81" t="s">
        <v>325</v>
      </c>
      <c r="AS357" s="81">
        <v>0</v>
      </c>
      <c r="AT357" s="81">
        <v>0</v>
      </c>
      <c r="AU357" s="81"/>
      <c r="AV357" s="81"/>
      <c r="AW357" s="81"/>
      <c r="AX357" s="81"/>
      <c r="AY357" s="81"/>
      <c r="AZ357" s="81"/>
      <c r="BA357" s="81"/>
      <c r="BB357" s="81"/>
      <c r="BC357">
        <v>1</v>
      </c>
      <c r="BD357" s="80" t="str">
        <f>REPLACE(INDEX(GroupVertices[Group],MATCH(Edges[[#This Row],[Vertex 1]],GroupVertices[Vertex],0)),1,1,"")</f>
        <v>11</v>
      </c>
      <c r="BE357" s="80" t="str">
        <f>REPLACE(INDEX(GroupVertices[Group],MATCH(Edges[[#This Row],[Vertex 2]],GroupVertices[Vertex],0)),1,1,"")</f>
        <v>11</v>
      </c>
      <c r="BF357" s="48">
        <v>0</v>
      </c>
      <c r="BG357" s="49">
        <v>0</v>
      </c>
      <c r="BH357" s="48">
        <v>0</v>
      </c>
      <c r="BI357" s="49">
        <v>0</v>
      </c>
      <c r="BJ357" s="48">
        <v>0</v>
      </c>
      <c r="BK357" s="49">
        <v>0</v>
      </c>
      <c r="BL357" s="48">
        <v>33</v>
      </c>
      <c r="BM357" s="49">
        <v>100</v>
      </c>
      <c r="BN357" s="48">
        <v>33</v>
      </c>
    </row>
    <row r="358" spans="1:66" ht="15">
      <c r="A358" s="66" t="s">
        <v>489</v>
      </c>
      <c r="B358" s="66" t="s">
        <v>489</v>
      </c>
      <c r="C358" s="67" t="s">
        <v>3151</v>
      </c>
      <c r="D358" s="68">
        <v>6</v>
      </c>
      <c r="E358" s="69" t="s">
        <v>132</v>
      </c>
      <c r="F358" s="70">
        <v>23.333333333333332</v>
      </c>
      <c r="G358" s="67"/>
      <c r="H358" s="71"/>
      <c r="I358" s="72"/>
      <c r="J358" s="72"/>
      <c r="K358" s="34" t="s">
        <v>65</v>
      </c>
      <c r="L358" s="79">
        <v>358</v>
      </c>
      <c r="M358" s="79"/>
      <c r="N358" s="74"/>
      <c r="O358" s="81" t="s">
        <v>325</v>
      </c>
      <c r="P358" s="83">
        <v>44004.726481481484</v>
      </c>
      <c r="Q358" s="81" t="s">
        <v>667</v>
      </c>
      <c r="R358" s="84" t="str">
        <f>HYPERLINK("https://www.instagram.com/p/CBvuVmGp6wd/?igshid=1sknq4nindyf3")</f>
        <v>https://www.instagram.com/p/CBvuVmGp6wd/?igshid=1sknq4nindyf3</v>
      </c>
      <c r="S358" s="81" t="s">
        <v>681</v>
      </c>
      <c r="T358" s="81" t="s">
        <v>723</v>
      </c>
      <c r="U358" s="81"/>
      <c r="V358" s="84" t="str">
        <f>HYPERLINK("http://pbs.twimg.com/profile_images/1243941359213580288/B1tRN87__normal.jpg")</f>
        <v>http://pbs.twimg.com/profile_images/1243941359213580288/B1tRN87__normal.jpg</v>
      </c>
      <c r="W358" s="83">
        <v>44004.726481481484</v>
      </c>
      <c r="X358" s="87">
        <v>44004</v>
      </c>
      <c r="Y358" s="89" t="s">
        <v>900</v>
      </c>
      <c r="Z358" s="84" t="str">
        <f>HYPERLINK("https://twitter.com/elchinsoul/status/1275117883002105857")</f>
        <v>https://twitter.com/elchinsoul/status/1275117883002105857</v>
      </c>
      <c r="AA358" s="81"/>
      <c r="AB358" s="81"/>
      <c r="AC358" s="89" t="s">
        <v>1110</v>
      </c>
      <c r="AD358" s="81"/>
      <c r="AE358" s="81" t="b">
        <v>0</v>
      </c>
      <c r="AF358" s="81">
        <v>0</v>
      </c>
      <c r="AG358" s="89" t="s">
        <v>1149</v>
      </c>
      <c r="AH358" s="81" t="b">
        <v>0</v>
      </c>
      <c r="AI358" s="81" t="s">
        <v>1157</v>
      </c>
      <c r="AJ358" s="81"/>
      <c r="AK358" s="89" t="s">
        <v>1149</v>
      </c>
      <c r="AL358" s="81" t="b">
        <v>0</v>
      </c>
      <c r="AM358" s="81">
        <v>0</v>
      </c>
      <c r="AN358" s="89" t="s">
        <v>1149</v>
      </c>
      <c r="AO358" s="81" t="s">
        <v>1179</v>
      </c>
      <c r="AP358" s="81" t="b">
        <v>0</v>
      </c>
      <c r="AQ358" s="89" t="s">
        <v>1110</v>
      </c>
      <c r="AR358" s="81" t="s">
        <v>325</v>
      </c>
      <c r="AS358" s="81">
        <v>0</v>
      </c>
      <c r="AT358" s="81">
        <v>0</v>
      </c>
      <c r="AU358" s="81"/>
      <c r="AV358" s="81"/>
      <c r="AW358" s="81"/>
      <c r="AX358" s="81"/>
      <c r="AY358" s="81"/>
      <c r="AZ358" s="81"/>
      <c r="BA358" s="81"/>
      <c r="BB358" s="81"/>
      <c r="BC358">
        <v>2</v>
      </c>
      <c r="BD358" s="80" t="str">
        <f>REPLACE(INDEX(GroupVertices[Group],MATCH(Edges[[#This Row],[Vertex 1]],GroupVertices[Vertex],0)),1,1,"")</f>
        <v>8</v>
      </c>
      <c r="BE358" s="80" t="str">
        <f>REPLACE(INDEX(GroupVertices[Group],MATCH(Edges[[#This Row],[Vertex 2]],GroupVertices[Vertex],0)),1,1,"")</f>
        <v>8</v>
      </c>
      <c r="BF358" s="48">
        <v>0</v>
      </c>
      <c r="BG358" s="49">
        <v>0</v>
      </c>
      <c r="BH358" s="48">
        <v>0</v>
      </c>
      <c r="BI358" s="49">
        <v>0</v>
      </c>
      <c r="BJ358" s="48">
        <v>0</v>
      </c>
      <c r="BK358" s="49">
        <v>0</v>
      </c>
      <c r="BL358" s="48">
        <v>18</v>
      </c>
      <c r="BM358" s="49">
        <v>100</v>
      </c>
      <c r="BN358" s="48">
        <v>18</v>
      </c>
    </row>
    <row r="359" spans="1:66" ht="15">
      <c r="A359" s="66" t="s">
        <v>489</v>
      </c>
      <c r="B359" s="66" t="s">
        <v>489</v>
      </c>
      <c r="C359" s="67" t="s">
        <v>3151</v>
      </c>
      <c r="D359" s="68">
        <v>6</v>
      </c>
      <c r="E359" s="69" t="s">
        <v>132</v>
      </c>
      <c r="F359" s="70">
        <v>23.333333333333332</v>
      </c>
      <c r="G359" s="67"/>
      <c r="H359" s="71"/>
      <c r="I359" s="72"/>
      <c r="J359" s="72"/>
      <c r="K359" s="34" t="s">
        <v>65</v>
      </c>
      <c r="L359" s="79">
        <v>359</v>
      </c>
      <c r="M359" s="79"/>
      <c r="N359" s="74"/>
      <c r="O359" s="81" t="s">
        <v>325</v>
      </c>
      <c r="P359" s="83">
        <v>44005.25613425926</v>
      </c>
      <c r="Q359" s="81" t="s">
        <v>668</v>
      </c>
      <c r="R359" s="84" t="str">
        <f>HYPERLINK("https://www.instagram.com/p/CBxFn7zJ1Vg/?igshid=17591pzd81ibu")</f>
        <v>https://www.instagram.com/p/CBxFn7zJ1Vg/?igshid=17591pzd81ibu</v>
      </c>
      <c r="S359" s="81" t="s">
        <v>681</v>
      </c>
      <c r="T359" s="81" t="s">
        <v>723</v>
      </c>
      <c r="U359" s="81"/>
      <c r="V359" s="84" t="str">
        <f>HYPERLINK("http://pbs.twimg.com/profile_images/1243941359213580288/B1tRN87__normal.jpg")</f>
        <v>http://pbs.twimg.com/profile_images/1243941359213580288/B1tRN87__normal.jpg</v>
      </c>
      <c r="W359" s="83">
        <v>44005.25613425926</v>
      </c>
      <c r="X359" s="87">
        <v>44005</v>
      </c>
      <c r="Y359" s="89" t="s">
        <v>901</v>
      </c>
      <c r="Z359" s="84" t="str">
        <f>HYPERLINK("https://twitter.com/elchinsoul/status/1275309823492489216")</f>
        <v>https://twitter.com/elchinsoul/status/1275309823492489216</v>
      </c>
      <c r="AA359" s="81"/>
      <c r="AB359" s="81"/>
      <c r="AC359" s="89" t="s">
        <v>1111</v>
      </c>
      <c r="AD359" s="81"/>
      <c r="AE359" s="81" t="b">
        <v>0</v>
      </c>
      <c r="AF359" s="81">
        <v>0</v>
      </c>
      <c r="AG359" s="89" t="s">
        <v>1149</v>
      </c>
      <c r="AH359" s="81" t="b">
        <v>0</v>
      </c>
      <c r="AI359" s="81" t="s">
        <v>1157</v>
      </c>
      <c r="AJ359" s="81"/>
      <c r="AK359" s="89" t="s">
        <v>1149</v>
      </c>
      <c r="AL359" s="81" t="b">
        <v>0</v>
      </c>
      <c r="AM359" s="81">
        <v>0</v>
      </c>
      <c r="AN359" s="89" t="s">
        <v>1149</v>
      </c>
      <c r="AO359" s="81" t="s">
        <v>1179</v>
      </c>
      <c r="AP359" s="81" t="b">
        <v>0</v>
      </c>
      <c r="AQ359" s="89" t="s">
        <v>1111</v>
      </c>
      <c r="AR359" s="81" t="s">
        <v>325</v>
      </c>
      <c r="AS359" s="81">
        <v>0</v>
      </c>
      <c r="AT359" s="81">
        <v>0</v>
      </c>
      <c r="AU359" s="81"/>
      <c r="AV359" s="81"/>
      <c r="AW359" s="81"/>
      <c r="AX359" s="81"/>
      <c r="AY359" s="81"/>
      <c r="AZ359" s="81"/>
      <c r="BA359" s="81"/>
      <c r="BB359" s="81"/>
      <c r="BC359">
        <v>2</v>
      </c>
      <c r="BD359" s="80" t="str">
        <f>REPLACE(INDEX(GroupVertices[Group],MATCH(Edges[[#This Row],[Vertex 1]],GroupVertices[Vertex],0)),1,1,"")</f>
        <v>8</v>
      </c>
      <c r="BE359" s="80" t="str">
        <f>REPLACE(INDEX(GroupVertices[Group],MATCH(Edges[[#This Row],[Vertex 2]],GroupVertices[Vertex],0)),1,1,"")</f>
        <v>8</v>
      </c>
      <c r="BF359" s="48">
        <v>0</v>
      </c>
      <c r="BG359" s="49">
        <v>0</v>
      </c>
      <c r="BH359" s="48">
        <v>0</v>
      </c>
      <c r="BI359" s="49">
        <v>0</v>
      </c>
      <c r="BJ359" s="48">
        <v>0</v>
      </c>
      <c r="BK359" s="49">
        <v>0</v>
      </c>
      <c r="BL359" s="48">
        <v>18</v>
      </c>
      <c r="BM359" s="49">
        <v>100</v>
      </c>
      <c r="BN359" s="48">
        <v>18</v>
      </c>
    </row>
    <row r="360" spans="1:66" ht="15">
      <c r="A360" s="66" t="s">
        <v>490</v>
      </c>
      <c r="B360" s="66" t="s">
        <v>534</v>
      </c>
      <c r="C360" s="67" t="s">
        <v>3149</v>
      </c>
      <c r="D360" s="68">
        <v>4</v>
      </c>
      <c r="E360" s="69" t="s">
        <v>132</v>
      </c>
      <c r="F360" s="70">
        <v>30</v>
      </c>
      <c r="G360" s="67"/>
      <c r="H360" s="71"/>
      <c r="I360" s="72"/>
      <c r="J360" s="72"/>
      <c r="K360" s="34" t="s">
        <v>65</v>
      </c>
      <c r="L360" s="79">
        <v>360</v>
      </c>
      <c r="M360" s="79"/>
      <c r="N360" s="74"/>
      <c r="O360" s="81" t="s">
        <v>588</v>
      </c>
      <c r="P360" s="83">
        <v>44005.256215277775</v>
      </c>
      <c r="Q360" s="81" t="s">
        <v>611</v>
      </c>
      <c r="R360" s="81"/>
      <c r="S360" s="81"/>
      <c r="T360" s="81" t="s">
        <v>711</v>
      </c>
      <c r="U360" s="81"/>
      <c r="V360" s="84" t="str">
        <f>HYPERLINK("http://pbs.twimg.com/profile_images/1055828374386552833/yisHMFW9_normal.jpg")</f>
        <v>http://pbs.twimg.com/profile_images/1055828374386552833/yisHMFW9_normal.jpg</v>
      </c>
      <c r="W360" s="83">
        <v>44005.256215277775</v>
      </c>
      <c r="X360" s="87">
        <v>44005</v>
      </c>
      <c r="Y360" s="89" t="s">
        <v>902</v>
      </c>
      <c r="Z360" s="84" t="str">
        <f>HYPERLINK("https://twitter.com/alileo84/status/1275309852890411009")</f>
        <v>https://twitter.com/alileo84/status/1275309852890411009</v>
      </c>
      <c r="AA360" s="81"/>
      <c r="AB360" s="81"/>
      <c r="AC360" s="89" t="s">
        <v>1112</v>
      </c>
      <c r="AD360" s="81"/>
      <c r="AE360" s="81" t="b">
        <v>0</v>
      </c>
      <c r="AF360" s="81">
        <v>0</v>
      </c>
      <c r="AG360" s="89" t="s">
        <v>1149</v>
      </c>
      <c r="AH360" s="81" t="b">
        <v>0</v>
      </c>
      <c r="AI360" s="81" t="s">
        <v>1150</v>
      </c>
      <c r="AJ360" s="81"/>
      <c r="AK360" s="89" t="s">
        <v>1149</v>
      </c>
      <c r="AL360" s="81" t="b">
        <v>0</v>
      </c>
      <c r="AM360" s="81">
        <v>23</v>
      </c>
      <c r="AN360" s="89" t="s">
        <v>1139</v>
      </c>
      <c r="AO360" s="81" t="s">
        <v>1172</v>
      </c>
      <c r="AP360" s="81" t="b">
        <v>0</v>
      </c>
      <c r="AQ360" s="89" t="s">
        <v>1139</v>
      </c>
      <c r="AR360" s="81" t="s">
        <v>325</v>
      </c>
      <c r="AS360" s="81">
        <v>0</v>
      </c>
      <c r="AT360" s="81">
        <v>0</v>
      </c>
      <c r="AU360" s="81"/>
      <c r="AV360" s="81"/>
      <c r="AW360" s="81"/>
      <c r="AX360" s="81"/>
      <c r="AY360" s="81"/>
      <c r="AZ360" s="81"/>
      <c r="BA360" s="81"/>
      <c r="BB360" s="81"/>
      <c r="BC360">
        <v>1</v>
      </c>
      <c r="BD360" s="80" t="str">
        <f>REPLACE(INDEX(GroupVertices[Group],MATCH(Edges[[#This Row],[Vertex 1]],GroupVertices[Vertex],0)),1,1,"")</f>
        <v>4</v>
      </c>
      <c r="BE360" s="80" t="str">
        <f>REPLACE(INDEX(GroupVertices[Group],MATCH(Edges[[#This Row],[Vertex 2]],GroupVertices[Vertex],0)),1,1,"")</f>
        <v>4</v>
      </c>
      <c r="BF360" s="48"/>
      <c r="BG360" s="49"/>
      <c r="BH360" s="48"/>
      <c r="BI360" s="49"/>
      <c r="BJ360" s="48"/>
      <c r="BK360" s="49"/>
      <c r="BL360" s="48"/>
      <c r="BM360" s="49"/>
      <c r="BN360" s="48"/>
    </row>
    <row r="361" spans="1:66" ht="15">
      <c r="A361" s="66" t="s">
        <v>490</v>
      </c>
      <c r="B361" s="66" t="s">
        <v>511</v>
      </c>
      <c r="C361" s="67" t="s">
        <v>3149</v>
      </c>
      <c r="D361" s="68">
        <v>4</v>
      </c>
      <c r="E361" s="69" t="s">
        <v>132</v>
      </c>
      <c r="F361" s="70">
        <v>30</v>
      </c>
      <c r="G361" s="67"/>
      <c r="H361" s="71"/>
      <c r="I361" s="72"/>
      <c r="J361" s="72"/>
      <c r="K361" s="34" t="s">
        <v>65</v>
      </c>
      <c r="L361" s="79">
        <v>361</v>
      </c>
      <c r="M361" s="79"/>
      <c r="N361" s="74"/>
      <c r="O361" s="81" t="s">
        <v>586</v>
      </c>
      <c r="P361" s="83">
        <v>44005.256215277775</v>
      </c>
      <c r="Q361" s="81" t="s">
        <v>611</v>
      </c>
      <c r="R361" s="81"/>
      <c r="S361" s="81"/>
      <c r="T361" s="81" t="s">
        <v>711</v>
      </c>
      <c r="U361" s="81"/>
      <c r="V361" s="84" t="str">
        <f>HYPERLINK("http://pbs.twimg.com/profile_images/1055828374386552833/yisHMFW9_normal.jpg")</f>
        <v>http://pbs.twimg.com/profile_images/1055828374386552833/yisHMFW9_normal.jpg</v>
      </c>
      <c r="W361" s="83">
        <v>44005.256215277775</v>
      </c>
      <c r="X361" s="87">
        <v>44005</v>
      </c>
      <c r="Y361" s="89" t="s">
        <v>902</v>
      </c>
      <c r="Z361" s="84" t="str">
        <f>HYPERLINK("https://twitter.com/alileo84/status/1275309852890411009")</f>
        <v>https://twitter.com/alileo84/status/1275309852890411009</v>
      </c>
      <c r="AA361" s="81"/>
      <c r="AB361" s="81"/>
      <c r="AC361" s="89" t="s">
        <v>1112</v>
      </c>
      <c r="AD361" s="81"/>
      <c r="AE361" s="81" t="b">
        <v>0</v>
      </c>
      <c r="AF361" s="81">
        <v>0</v>
      </c>
      <c r="AG361" s="89" t="s">
        <v>1149</v>
      </c>
      <c r="AH361" s="81" t="b">
        <v>0</v>
      </c>
      <c r="AI361" s="81" t="s">
        <v>1150</v>
      </c>
      <c r="AJ361" s="81"/>
      <c r="AK361" s="89" t="s">
        <v>1149</v>
      </c>
      <c r="AL361" s="81" t="b">
        <v>0</v>
      </c>
      <c r="AM361" s="81">
        <v>23</v>
      </c>
      <c r="AN361" s="89" t="s">
        <v>1139</v>
      </c>
      <c r="AO361" s="81" t="s">
        <v>1172</v>
      </c>
      <c r="AP361" s="81" t="b">
        <v>0</v>
      </c>
      <c r="AQ361" s="89" t="s">
        <v>1139</v>
      </c>
      <c r="AR361" s="81" t="s">
        <v>325</v>
      </c>
      <c r="AS361" s="81">
        <v>0</v>
      </c>
      <c r="AT361" s="81">
        <v>0</v>
      </c>
      <c r="AU361" s="81"/>
      <c r="AV361" s="81"/>
      <c r="AW361" s="81"/>
      <c r="AX361" s="81"/>
      <c r="AY361" s="81"/>
      <c r="AZ361" s="81"/>
      <c r="BA361" s="81"/>
      <c r="BB361" s="81"/>
      <c r="BC361">
        <v>1</v>
      </c>
      <c r="BD361" s="80" t="str">
        <f>REPLACE(INDEX(GroupVertices[Group],MATCH(Edges[[#This Row],[Vertex 1]],GroupVertices[Vertex],0)),1,1,"")</f>
        <v>4</v>
      </c>
      <c r="BE361" s="80" t="str">
        <f>REPLACE(INDEX(GroupVertices[Group],MATCH(Edges[[#This Row],[Vertex 2]],GroupVertices[Vertex],0)),1,1,"")</f>
        <v>4</v>
      </c>
      <c r="BF361" s="48">
        <v>1</v>
      </c>
      <c r="BG361" s="49">
        <v>3.125</v>
      </c>
      <c r="BH361" s="48">
        <v>1</v>
      </c>
      <c r="BI361" s="49">
        <v>3.125</v>
      </c>
      <c r="BJ361" s="48">
        <v>0</v>
      </c>
      <c r="BK361" s="49">
        <v>0</v>
      </c>
      <c r="BL361" s="48">
        <v>30</v>
      </c>
      <c r="BM361" s="49">
        <v>93.75</v>
      </c>
      <c r="BN361" s="48">
        <v>32</v>
      </c>
    </row>
    <row r="362" spans="1:66" ht="15">
      <c r="A362" s="66" t="s">
        <v>491</v>
      </c>
      <c r="B362" s="66" t="s">
        <v>482</v>
      </c>
      <c r="C362" s="67" t="s">
        <v>3149</v>
      </c>
      <c r="D362" s="68">
        <v>4</v>
      </c>
      <c r="E362" s="69" t="s">
        <v>132</v>
      </c>
      <c r="F362" s="70">
        <v>30</v>
      </c>
      <c r="G362" s="67"/>
      <c r="H362" s="71"/>
      <c r="I362" s="72"/>
      <c r="J362" s="72"/>
      <c r="K362" s="34" t="s">
        <v>65</v>
      </c>
      <c r="L362" s="79">
        <v>362</v>
      </c>
      <c r="M362" s="79"/>
      <c r="N362" s="74"/>
      <c r="O362" s="81" t="s">
        <v>586</v>
      </c>
      <c r="P362" s="83">
        <v>44005.25984953704</v>
      </c>
      <c r="Q362" s="81" t="s">
        <v>666</v>
      </c>
      <c r="R362" s="81"/>
      <c r="S362" s="81"/>
      <c r="T362" s="81" t="s">
        <v>482</v>
      </c>
      <c r="U362" s="81"/>
      <c r="V362" s="84" t="str">
        <f>HYPERLINK("http://pbs.twimg.com/profile_images/1250759498748309506/MTkThwla_normal.jpg")</f>
        <v>http://pbs.twimg.com/profile_images/1250759498748309506/MTkThwla_normal.jpg</v>
      </c>
      <c r="W362" s="83">
        <v>44005.25984953704</v>
      </c>
      <c r="X362" s="87">
        <v>44005</v>
      </c>
      <c r="Y362" s="89" t="s">
        <v>903</v>
      </c>
      <c r="Z362" s="84" t="str">
        <f>HYPERLINK("https://twitter.com/billgia/status/1275311168534523904")</f>
        <v>https://twitter.com/billgia/status/1275311168534523904</v>
      </c>
      <c r="AA362" s="81"/>
      <c r="AB362" s="81"/>
      <c r="AC362" s="89" t="s">
        <v>1113</v>
      </c>
      <c r="AD362" s="81"/>
      <c r="AE362" s="81" t="b">
        <v>0</v>
      </c>
      <c r="AF362" s="81">
        <v>0</v>
      </c>
      <c r="AG362" s="89" t="s">
        <v>1149</v>
      </c>
      <c r="AH362" s="81" t="b">
        <v>0</v>
      </c>
      <c r="AI362" s="81" t="s">
        <v>1150</v>
      </c>
      <c r="AJ362" s="81"/>
      <c r="AK362" s="89" t="s">
        <v>1149</v>
      </c>
      <c r="AL362" s="81" t="b">
        <v>0</v>
      </c>
      <c r="AM362" s="81">
        <v>4</v>
      </c>
      <c r="AN362" s="89" t="s">
        <v>1126</v>
      </c>
      <c r="AO362" s="81" t="s">
        <v>1176</v>
      </c>
      <c r="AP362" s="81" t="b">
        <v>0</v>
      </c>
      <c r="AQ362" s="89" t="s">
        <v>1126</v>
      </c>
      <c r="AR362" s="81" t="s">
        <v>325</v>
      </c>
      <c r="AS362" s="81">
        <v>0</v>
      </c>
      <c r="AT362" s="81">
        <v>0</v>
      </c>
      <c r="AU362" s="81"/>
      <c r="AV362" s="81"/>
      <c r="AW362" s="81"/>
      <c r="AX362" s="81"/>
      <c r="AY362" s="81"/>
      <c r="AZ362" s="81"/>
      <c r="BA362" s="81"/>
      <c r="BB362" s="81"/>
      <c r="BC362">
        <v>1</v>
      </c>
      <c r="BD362" s="80" t="str">
        <f>REPLACE(INDEX(GroupVertices[Group],MATCH(Edges[[#This Row],[Vertex 1]],GroupVertices[Vertex],0)),1,1,"")</f>
        <v>5</v>
      </c>
      <c r="BE362" s="80" t="str">
        <f>REPLACE(INDEX(GroupVertices[Group],MATCH(Edges[[#This Row],[Vertex 2]],GroupVertices[Vertex],0)),1,1,"")</f>
        <v>5</v>
      </c>
      <c r="BF362" s="48">
        <v>1</v>
      </c>
      <c r="BG362" s="49">
        <v>3.7037037037037037</v>
      </c>
      <c r="BH362" s="48">
        <v>0</v>
      </c>
      <c r="BI362" s="49">
        <v>0</v>
      </c>
      <c r="BJ362" s="48">
        <v>0</v>
      </c>
      <c r="BK362" s="49">
        <v>0</v>
      </c>
      <c r="BL362" s="48">
        <v>26</v>
      </c>
      <c r="BM362" s="49">
        <v>96.29629629629629</v>
      </c>
      <c r="BN362" s="48">
        <v>27</v>
      </c>
    </row>
    <row r="363" spans="1:66" ht="15">
      <c r="A363" s="66" t="s">
        <v>492</v>
      </c>
      <c r="B363" s="66" t="s">
        <v>534</v>
      </c>
      <c r="C363" s="67" t="s">
        <v>3149</v>
      </c>
      <c r="D363" s="68">
        <v>4</v>
      </c>
      <c r="E363" s="69" t="s">
        <v>132</v>
      </c>
      <c r="F363" s="70">
        <v>30</v>
      </c>
      <c r="G363" s="67"/>
      <c r="H363" s="71"/>
      <c r="I363" s="72"/>
      <c r="J363" s="72"/>
      <c r="K363" s="34" t="s">
        <v>65</v>
      </c>
      <c r="L363" s="79">
        <v>363</v>
      </c>
      <c r="M363" s="79"/>
      <c r="N363" s="74"/>
      <c r="O363" s="81" t="s">
        <v>588</v>
      </c>
      <c r="P363" s="83">
        <v>44005.26027777778</v>
      </c>
      <c r="Q363" s="81" t="s">
        <v>611</v>
      </c>
      <c r="R363" s="81"/>
      <c r="S363" s="81"/>
      <c r="T363" s="81" t="s">
        <v>711</v>
      </c>
      <c r="U363" s="81"/>
      <c r="V363" s="84" t="str">
        <f>HYPERLINK("http://pbs.twimg.com/profile_images/1265674261802475521/76Ior4hy_normal.jpg")</f>
        <v>http://pbs.twimg.com/profile_images/1265674261802475521/76Ior4hy_normal.jpg</v>
      </c>
      <c r="W363" s="83">
        <v>44005.26027777778</v>
      </c>
      <c r="X363" s="87">
        <v>44005</v>
      </c>
      <c r="Y363" s="89" t="s">
        <v>904</v>
      </c>
      <c r="Z363" s="84" t="str">
        <f>HYPERLINK("https://twitter.com/elenavardon/status/1275311325657346048")</f>
        <v>https://twitter.com/elenavardon/status/1275311325657346048</v>
      </c>
      <c r="AA363" s="81"/>
      <c r="AB363" s="81"/>
      <c r="AC363" s="89" t="s">
        <v>1114</v>
      </c>
      <c r="AD363" s="81"/>
      <c r="AE363" s="81" t="b">
        <v>0</v>
      </c>
      <c r="AF363" s="81">
        <v>0</v>
      </c>
      <c r="AG363" s="89" t="s">
        <v>1149</v>
      </c>
      <c r="AH363" s="81" t="b">
        <v>0</v>
      </c>
      <c r="AI363" s="81" t="s">
        <v>1150</v>
      </c>
      <c r="AJ363" s="81"/>
      <c r="AK363" s="89" t="s">
        <v>1149</v>
      </c>
      <c r="AL363" s="81" t="b">
        <v>0</v>
      </c>
      <c r="AM363" s="81">
        <v>23</v>
      </c>
      <c r="AN363" s="89" t="s">
        <v>1139</v>
      </c>
      <c r="AO363" s="81" t="s">
        <v>1165</v>
      </c>
      <c r="AP363" s="81" t="b">
        <v>0</v>
      </c>
      <c r="AQ363" s="89" t="s">
        <v>1139</v>
      </c>
      <c r="AR363" s="81" t="s">
        <v>325</v>
      </c>
      <c r="AS363" s="81">
        <v>0</v>
      </c>
      <c r="AT363" s="81">
        <v>0</v>
      </c>
      <c r="AU363" s="81"/>
      <c r="AV363" s="81"/>
      <c r="AW363" s="81"/>
      <c r="AX363" s="81"/>
      <c r="AY363" s="81"/>
      <c r="AZ363" s="81"/>
      <c r="BA363" s="81"/>
      <c r="BB363" s="81"/>
      <c r="BC363">
        <v>1</v>
      </c>
      <c r="BD363" s="80" t="str">
        <f>REPLACE(INDEX(GroupVertices[Group],MATCH(Edges[[#This Row],[Vertex 1]],GroupVertices[Vertex],0)),1,1,"")</f>
        <v>4</v>
      </c>
      <c r="BE363" s="80" t="str">
        <f>REPLACE(INDEX(GroupVertices[Group],MATCH(Edges[[#This Row],[Vertex 2]],GroupVertices[Vertex],0)),1,1,"")</f>
        <v>4</v>
      </c>
      <c r="BF363" s="48"/>
      <c r="BG363" s="49"/>
      <c r="BH363" s="48"/>
      <c r="BI363" s="49"/>
      <c r="BJ363" s="48"/>
      <c r="BK363" s="49"/>
      <c r="BL363" s="48"/>
      <c r="BM363" s="49"/>
      <c r="BN363" s="48"/>
    </row>
    <row r="364" spans="1:66" ht="15">
      <c r="A364" s="66" t="s">
        <v>492</v>
      </c>
      <c r="B364" s="66" t="s">
        <v>511</v>
      </c>
      <c r="C364" s="67" t="s">
        <v>3149</v>
      </c>
      <c r="D364" s="68">
        <v>4</v>
      </c>
      <c r="E364" s="69" t="s">
        <v>132</v>
      </c>
      <c r="F364" s="70">
        <v>30</v>
      </c>
      <c r="G364" s="67"/>
      <c r="H364" s="71"/>
      <c r="I364" s="72"/>
      <c r="J364" s="72"/>
      <c r="K364" s="34" t="s">
        <v>65</v>
      </c>
      <c r="L364" s="79">
        <v>364</v>
      </c>
      <c r="M364" s="79"/>
      <c r="N364" s="74"/>
      <c r="O364" s="81" t="s">
        <v>586</v>
      </c>
      <c r="P364" s="83">
        <v>44005.26027777778</v>
      </c>
      <c r="Q364" s="81" t="s">
        <v>611</v>
      </c>
      <c r="R364" s="81"/>
      <c r="S364" s="81"/>
      <c r="T364" s="81" t="s">
        <v>711</v>
      </c>
      <c r="U364" s="81"/>
      <c r="V364" s="84" t="str">
        <f>HYPERLINK("http://pbs.twimg.com/profile_images/1265674261802475521/76Ior4hy_normal.jpg")</f>
        <v>http://pbs.twimg.com/profile_images/1265674261802475521/76Ior4hy_normal.jpg</v>
      </c>
      <c r="W364" s="83">
        <v>44005.26027777778</v>
      </c>
      <c r="X364" s="87">
        <v>44005</v>
      </c>
      <c r="Y364" s="89" t="s">
        <v>904</v>
      </c>
      <c r="Z364" s="84" t="str">
        <f>HYPERLINK("https://twitter.com/elenavardon/status/1275311325657346048")</f>
        <v>https://twitter.com/elenavardon/status/1275311325657346048</v>
      </c>
      <c r="AA364" s="81"/>
      <c r="AB364" s="81"/>
      <c r="AC364" s="89" t="s">
        <v>1114</v>
      </c>
      <c r="AD364" s="81"/>
      <c r="AE364" s="81" t="b">
        <v>0</v>
      </c>
      <c r="AF364" s="81">
        <v>0</v>
      </c>
      <c r="AG364" s="89" t="s">
        <v>1149</v>
      </c>
      <c r="AH364" s="81" t="b">
        <v>0</v>
      </c>
      <c r="AI364" s="81" t="s">
        <v>1150</v>
      </c>
      <c r="AJ364" s="81"/>
      <c r="AK364" s="89" t="s">
        <v>1149</v>
      </c>
      <c r="AL364" s="81" t="b">
        <v>0</v>
      </c>
      <c r="AM364" s="81">
        <v>23</v>
      </c>
      <c r="AN364" s="89" t="s">
        <v>1139</v>
      </c>
      <c r="AO364" s="81" t="s">
        <v>1165</v>
      </c>
      <c r="AP364" s="81" t="b">
        <v>0</v>
      </c>
      <c r="AQ364" s="89" t="s">
        <v>1139</v>
      </c>
      <c r="AR364" s="81" t="s">
        <v>325</v>
      </c>
      <c r="AS364" s="81">
        <v>0</v>
      </c>
      <c r="AT364" s="81">
        <v>0</v>
      </c>
      <c r="AU364" s="81"/>
      <c r="AV364" s="81"/>
      <c r="AW364" s="81"/>
      <c r="AX364" s="81"/>
      <c r="AY364" s="81"/>
      <c r="AZ364" s="81"/>
      <c r="BA364" s="81"/>
      <c r="BB364" s="81"/>
      <c r="BC364">
        <v>1</v>
      </c>
      <c r="BD364" s="80" t="str">
        <f>REPLACE(INDEX(GroupVertices[Group],MATCH(Edges[[#This Row],[Vertex 1]],GroupVertices[Vertex],0)),1,1,"")</f>
        <v>4</v>
      </c>
      <c r="BE364" s="80" t="str">
        <f>REPLACE(INDEX(GroupVertices[Group],MATCH(Edges[[#This Row],[Vertex 2]],GroupVertices[Vertex],0)),1,1,"")</f>
        <v>4</v>
      </c>
      <c r="BF364" s="48">
        <v>1</v>
      </c>
      <c r="BG364" s="49">
        <v>3.125</v>
      </c>
      <c r="BH364" s="48">
        <v>1</v>
      </c>
      <c r="BI364" s="49">
        <v>3.125</v>
      </c>
      <c r="BJ364" s="48">
        <v>0</v>
      </c>
      <c r="BK364" s="49">
        <v>0</v>
      </c>
      <c r="BL364" s="48">
        <v>30</v>
      </c>
      <c r="BM364" s="49">
        <v>93.75</v>
      </c>
      <c r="BN364" s="48">
        <v>32</v>
      </c>
    </row>
    <row r="365" spans="1:66" ht="15">
      <c r="A365" s="66" t="s">
        <v>493</v>
      </c>
      <c r="B365" s="66" t="s">
        <v>582</v>
      </c>
      <c r="C365" s="67" t="s">
        <v>3149</v>
      </c>
      <c r="D365" s="68">
        <v>4</v>
      </c>
      <c r="E365" s="69" t="s">
        <v>132</v>
      </c>
      <c r="F365" s="70">
        <v>30</v>
      </c>
      <c r="G365" s="67"/>
      <c r="H365" s="71"/>
      <c r="I365" s="72"/>
      <c r="J365" s="72"/>
      <c r="K365" s="34" t="s">
        <v>65</v>
      </c>
      <c r="L365" s="79">
        <v>365</v>
      </c>
      <c r="M365" s="79"/>
      <c r="N365" s="74"/>
      <c r="O365" s="81" t="s">
        <v>587</v>
      </c>
      <c r="P365" s="83">
        <v>44005.26042824074</v>
      </c>
      <c r="Q365" s="81" t="s">
        <v>669</v>
      </c>
      <c r="R365" s="84" t="str">
        <f>HYPERLINK("https://interactive.aljazeera.com/aje/2020/saving-the-nile/index.html")</f>
        <v>https://interactive.aljazeera.com/aje/2020/saving-the-nile/index.html</v>
      </c>
      <c r="S365" s="81" t="s">
        <v>678</v>
      </c>
      <c r="T365" s="81" t="s">
        <v>703</v>
      </c>
      <c r="U365" s="81"/>
      <c r="V365" s="84" t="str">
        <f>HYPERLINK("http://pbs.twimg.com/profile_images/1268719629620228096/h56NNtWK_normal.jpg")</f>
        <v>http://pbs.twimg.com/profile_images/1268719629620228096/h56NNtWK_normal.jpg</v>
      </c>
      <c r="W365" s="83">
        <v>44005.26042824074</v>
      </c>
      <c r="X365" s="87">
        <v>44005</v>
      </c>
      <c r="Y365" s="89" t="s">
        <v>905</v>
      </c>
      <c r="Z365" s="84" t="str">
        <f>HYPERLINK("https://twitter.com/kendimalibot/status/1275311379143110659")</f>
        <v>https://twitter.com/kendimalibot/status/1275311379143110659</v>
      </c>
      <c r="AA365" s="81"/>
      <c r="AB365" s="81"/>
      <c r="AC365" s="89" t="s">
        <v>1115</v>
      </c>
      <c r="AD365" s="81"/>
      <c r="AE365" s="81" t="b">
        <v>0</v>
      </c>
      <c r="AF365" s="81">
        <v>0</v>
      </c>
      <c r="AG365" s="89" t="s">
        <v>1149</v>
      </c>
      <c r="AH365" s="81" t="b">
        <v>0</v>
      </c>
      <c r="AI365" s="81" t="s">
        <v>1150</v>
      </c>
      <c r="AJ365" s="81"/>
      <c r="AK365" s="89" t="s">
        <v>1149</v>
      </c>
      <c r="AL365" s="81" t="b">
        <v>0</v>
      </c>
      <c r="AM365" s="81">
        <v>0</v>
      </c>
      <c r="AN365" s="89" t="s">
        <v>1149</v>
      </c>
      <c r="AO365" s="81" t="s">
        <v>1172</v>
      </c>
      <c r="AP365" s="81" t="b">
        <v>0</v>
      </c>
      <c r="AQ365" s="89" t="s">
        <v>1115</v>
      </c>
      <c r="AR365" s="81" t="s">
        <v>325</v>
      </c>
      <c r="AS365" s="81">
        <v>0</v>
      </c>
      <c r="AT365" s="81">
        <v>0</v>
      </c>
      <c r="AU365" s="81"/>
      <c r="AV365" s="81"/>
      <c r="AW365" s="81"/>
      <c r="AX365" s="81"/>
      <c r="AY365" s="81"/>
      <c r="AZ365" s="81"/>
      <c r="BA365" s="81"/>
      <c r="BB365" s="81"/>
      <c r="BC365">
        <v>1</v>
      </c>
      <c r="BD365" s="80" t="str">
        <f>REPLACE(INDEX(GroupVertices[Group],MATCH(Edges[[#This Row],[Vertex 1]],GroupVertices[Vertex],0)),1,1,"")</f>
        <v>3</v>
      </c>
      <c r="BE365" s="80" t="str">
        <f>REPLACE(INDEX(GroupVertices[Group],MATCH(Edges[[#This Row],[Vertex 2]],GroupVertices[Vertex],0)),1,1,"")</f>
        <v>3</v>
      </c>
      <c r="BF365" s="48"/>
      <c r="BG365" s="49"/>
      <c r="BH365" s="48"/>
      <c r="BI365" s="49"/>
      <c r="BJ365" s="48"/>
      <c r="BK365" s="49"/>
      <c r="BL365" s="48"/>
      <c r="BM365" s="49"/>
      <c r="BN365" s="48"/>
    </row>
    <row r="366" spans="1:66" ht="15">
      <c r="A366" s="66" t="s">
        <v>493</v>
      </c>
      <c r="B366" s="66" t="s">
        <v>583</v>
      </c>
      <c r="C366" s="67" t="s">
        <v>3149</v>
      </c>
      <c r="D366" s="68">
        <v>4</v>
      </c>
      <c r="E366" s="69" t="s">
        <v>132</v>
      </c>
      <c r="F366" s="70">
        <v>30</v>
      </c>
      <c r="G366" s="67"/>
      <c r="H366" s="71"/>
      <c r="I366" s="72"/>
      <c r="J366" s="72"/>
      <c r="K366" s="34" t="s">
        <v>65</v>
      </c>
      <c r="L366" s="79">
        <v>366</v>
      </c>
      <c r="M366" s="79"/>
      <c r="N366" s="74"/>
      <c r="O366" s="81" t="s">
        <v>587</v>
      </c>
      <c r="P366" s="83">
        <v>44005.26042824074</v>
      </c>
      <c r="Q366" s="81" t="s">
        <v>669</v>
      </c>
      <c r="R366" s="84" t="str">
        <f>HYPERLINK("https://interactive.aljazeera.com/aje/2020/saving-the-nile/index.html")</f>
        <v>https://interactive.aljazeera.com/aje/2020/saving-the-nile/index.html</v>
      </c>
      <c r="S366" s="81" t="s">
        <v>678</v>
      </c>
      <c r="T366" s="81" t="s">
        <v>703</v>
      </c>
      <c r="U366" s="81"/>
      <c r="V366" s="84" t="str">
        <f>HYPERLINK("http://pbs.twimg.com/profile_images/1268719629620228096/h56NNtWK_normal.jpg")</f>
        <v>http://pbs.twimg.com/profile_images/1268719629620228096/h56NNtWK_normal.jpg</v>
      </c>
      <c r="W366" s="83">
        <v>44005.26042824074</v>
      </c>
      <c r="X366" s="87">
        <v>44005</v>
      </c>
      <c r="Y366" s="89" t="s">
        <v>905</v>
      </c>
      <c r="Z366" s="84" t="str">
        <f>HYPERLINK("https://twitter.com/kendimalibot/status/1275311379143110659")</f>
        <v>https://twitter.com/kendimalibot/status/1275311379143110659</v>
      </c>
      <c r="AA366" s="81"/>
      <c r="AB366" s="81"/>
      <c r="AC366" s="89" t="s">
        <v>1115</v>
      </c>
      <c r="AD366" s="81"/>
      <c r="AE366" s="81" t="b">
        <v>0</v>
      </c>
      <c r="AF366" s="81">
        <v>0</v>
      </c>
      <c r="AG366" s="89" t="s">
        <v>1149</v>
      </c>
      <c r="AH366" s="81" t="b">
        <v>0</v>
      </c>
      <c r="AI366" s="81" t="s">
        <v>1150</v>
      </c>
      <c r="AJ366" s="81"/>
      <c r="AK366" s="89" t="s">
        <v>1149</v>
      </c>
      <c r="AL366" s="81" t="b">
        <v>0</v>
      </c>
      <c r="AM366" s="81">
        <v>0</v>
      </c>
      <c r="AN366" s="89" t="s">
        <v>1149</v>
      </c>
      <c r="AO366" s="81" t="s">
        <v>1172</v>
      </c>
      <c r="AP366" s="81" t="b">
        <v>0</v>
      </c>
      <c r="AQ366" s="89" t="s">
        <v>1115</v>
      </c>
      <c r="AR366" s="81" t="s">
        <v>325</v>
      </c>
      <c r="AS366" s="81">
        <v>0</v>
      </c>
      <c r="AT366" s="81">
        <v>0</v>
      </c>
      <c r="AU366" s="81"/>
      <c r="AV366" s="81"/>
      <c r="AW366" s="81"/>
      <c r="AX366" s="81"/>
      <c r="AY366" s="81"/>
      <c r="AZ366" s="81"/>
      <c r="BA366" s="81"/>
      <c r="BB366" s="81"/>
      <c r="BC366">
        <v>1</v>
      </c>
      <c r="BD366" s="80" t="str">
        <f>REPLACE(INDEX(GroupVertices[Group],MATCH(Edges[[#This Row],[Vertex 1]],GroupVertices[Vertex],0)),1,1,"")</f>
        <v>3</v>
      </c>
      <c r="BE366" s="80" t="str">
        <f>REPLACE(INDEX(GroupVertices[Group],MATCH(Edges[[#This Row],[Vertex 2]],GroupVertices[Vertex],0)),1,1,"")</f>
        <v>3</v>
      </c>
      <c r="BF366" s="48">
        <v>1</v>
      </c>
      <c r="BG366" s="49">
        <v>2.9411764705882355</v>
      </c>
      <c r="BH366" s="48">
        <v>0</v>
      </c>
      <c r="BI366" s="49">
        <v>0</v>
      </c>
      <c r="BJ366" s="48">
        <v>0</v>
      </c>
      <c r="BK366" s="49">
        <v>0</v>
      </c>
      <c r="BL366" s="48">
        <v>33</v>
      </c>
      <c r="BM366" s="49">
        <v>97.05882352941177</v>
      </c>
      <c r="BN366" s="48">
        <v>34</v>
      </c>
    </row>
    <row r="367" spans="1:66" ht="15">
      <c r="A367" s="66" t="s">
        <v>493</v>
      </c>
      <c r="B367" s="66" t="s">
        <v>526</v>
      </c>
      <c r="C367" s="67" t="s">
        <v>3149</v>
      </c>
      <c r="D367" s="68">
        <v>4</v>
      </c>
      <c r="E367" s="69" t="s">
        <v>132</v>
      </c>
      <c r="F367" s="70">
        <v>30</v>
      </c>
      <c r="G367" s="67"/>
      <c r="H367" s="71"/>
      <c r="I367" s="72"/>
      <c r="J367" s="72"/>
      <c r="K367" s="34" t="s">
        <v>65</v>
      </c>
      <c r="L367" s="79">
        <v>367</v>
      </c>
      <c r="M367" s="79"/>
      <c r="N367" s="74"/>
      <c r="O367" s="81" t="s">
        <v>587</v>
      </c>
      <c r="P367" s="83">
        <v>44005.26042824074</v>
      </c>
      <c r="Q367" s="81" t="s">
        <v>669</v>
      </c>
      <c r="R367" s="84" t="str">
        <f>HYPERLINK("https://interactive.aljazeera.com/aje/2020/saving-the-nile/index.html")</f>
        <v>https://interactive.aljazeera.com/aje/2020/saving-the-nile/index.html</v>
      </c>
      <c r="S367" s="81" t="s">
        <v>678</v>
      </c>
      <c r="T367" s="81" t="s">
        <v>703</v>
      </c>
      <c r="U367" s="81"/>
      <c r="V367" s="84" t="str">
        <f>HYPERLINK("http://pbs.twimg.com/profile_images/1268719629620228096/h56NNtWK_normal.jpg")</f>
        <v>http://pbs.twimg.com/profile_images/1268719629620228096/h56NNtWK_normal.jpg</v>
      </c>
      <c r="W367" s="83">
        <v>44005.26042824074</v>
      </c>
      <c r="X367" s="87">
        <v>44005</v>
      </c>
      <c r="Y367" s="89" t="s">
        <v>905</v>
      </c>
      <c r="Z367" s="84" t="str">
        <f>HYPERLINK("https://twitter.com/kendimalibot/status/1275311379143110659")</f>
        <v>https://twitter.com/kendimalibot/status/1275311379143110659</v>
      </c>
      <c r="AA367" s="81"/>
      <c r="AB367" s="81"/>
      <c r="AC367" s="89" t="s">
        <v>1115</v>
      </c>
      <c r="AD367" s="81"/>
      <c r="AE367" s="81" t="b">
        <v>0</v>
      </c>
      <c r="AF367" s="81">
        <v>0</v>
      </c>
      <c r="AG367" s="89" t="s">
        <v>1149</v>
      </c>
      <c r="AH367" s="81" t="b">
        <v>0</v>
      </c>
      <c r="AI367" s="81" t="s">
        <v>1150</v>
      </c>
      <c r="AJ367" s="81"/>
      <c r="AK367" s="89" t="s">
        <v>1149</v>
      </c>
      <c r="AL367" s="81" t="b">
        <v>0</v>
      </c>
      <c r="AM367" s="81">
        <v>0</v>
      </c>
      <c r="AN367" s="89" t="s">
        <v>1149</v>
      </c>
      <c r="AO367" s="81" t="s">
        <v>1172</v>
      </c>
      <c r="AP367" s="81" t="b">
        <v>0</v>
      </c>
      <c r="AQ367" s="89" t="s">
        <v>1115</v>
      </c>
      <c r="AR367" s="81" t="s">
        <v>325</v>
      </c>
      <c r="AS367" s="81">
        <v>0</v>
      </c>
      <c r="AT367" s="81">
        <v>0</v>
      </c>
      <c r="AU367" s="81"/>
      <c r="AV367" s="81"/>
      <c r="AW367" s="81"/>
      <c r="AX367" s="81"/>
      <c r="AY367" s="81"/>
      <c r="AZ367" s="81"/>
      <c r="BA367" s="81"/>
      <c r="BB367" s="81"/>
      <c r="BC367">
        <v>1</v>
      </c>
      <c r="BD367" s="80" t="str">
        <f>REPLACE(INDEX(GroupVertices[Group],MATCH(Edges[[#This Row],[Vertex 1]],GroupVertices[Vertex],0)),1,1,"")</f>
        <v>3</v>
      </c>
      <c r="BE367" s="80" t="str">
        <f>REPLACE(INDEX(GroupVertices[Group],MATCH(Edges[[#This Row],[Vertex 2]],GroupVertices[Vertex],0)),1,1,"")</f>
        <v>3</v>
      </c>
      <c r="BF367" s="48"/>
      <c r="BG367" s="49"/>
      <c r="BH367" s="48"/>
      <c r="BI367" s="49"/>
      <c r="BJ367" s="48"/>
      <c r="BK367" s="49"/>
      <c r="BL367" s="48"/>
      <c r="BM367" s="49"/>
      <c r="BN367" s="48"/>
    </row>
    <row r="368" spans="1:66" ht="15">
      <c r="A368" s="66" t="s">
        <v>493</v>
      </c>
      <c r="B368" s="66" t="s">
        <v>527</v>
      </c>
      <c r="C368" s="67" t="s">
        <v>3149</v>
      </c>
      <c r="D368" s="68">
        <v>4</v>
      </c>
      <c r="E368" s="69" t="s">
        <v>132</v>
      </c>
      <c r="F368" s="70">
        <v>30</v>
      </c>
      <c r="G368" s="67"/>
      <c r="H368" s="71"/>
      <c r="I368" s="72"/>
      <c r="J368" s="72"/>
      <c r="K368" s="34" t="s">
        <v>65</v>
      </c>
      <c r="L368" s="79">
        <v>368</v>
      </c>
      <c r="M368" s="79"/>
      <c r="N368" s="74"/>
      <c r="O368" s="81" t="s">
        <v>587</v>
      </c>
      <c r="P368" s="83">
        <v>44005.26042824074</v>
      </c>
      <c r="Q368" s="81" t="s">
        <v>669</v>
      </c>
      <c r="R368" s="84" t="str">
        <f>HYPERLINK("https://interactive.aljazeera.com/aje/2020/saving-the-nile/index.html")</f>
        <v>https://interactive.aljazeera.com/aje/2020/saving-the-nile/index.html</v>
      </c>
      <c r="S368" s="81" t="s">
        <v>678</v>
      </c>
      <c r="T368" s="81" t="s">
        <v>703</v>
      </c>
      <c r="U368" s="81"/>
      <c r="V368" s="84" t="str">
        <f>HYPERLINK("http://pbs.twimg.com/profile_images/1268719629620228096/h56NNtWK_normal.jpg")</f>
        <v>http://pbs.twimg.com/profile_images/1268719629620228096/h56NNtWK_normal.jpg</v>
      </c>
      <c r="W368" s="83">
        <v>44005.26042824074</v>
      </c>
      <c r="X368" s="87">
        <v>44005</v>
      </c>
      <c r="Y368" s="89" t="s">
        <v>905</v>
      </c>
      <c r="Z368" s="84" t="str">
        <f>HYPERLINK("https://twitter.com/kendimalibot/status/1275311379143110659")</f>
        <v>https://twitter.com/kendimalibot/status/1275311379143110659</v>
      </c>
      <c r="AA368" s="81"/>
      <c r="AB368" s="81"/>
      <c r="AC368" s="89" t="s">
        <v>1115</v>
      </c>
      <c r="AD368" s="81"/>
      <c r="AE368" s="81" t="b">
        <v>0</v>
      </c>
      <c r="AF368" s="81">
        <v>0</v>
      </c>
      <c r="AG368" s="89" t="s">
        <v>1149</v>
      </c>
      <c r="AH368" s="81" t="b">
        <v>0</v>
      </c>
      <c r="AI368" s="81" t="s">
        <v>1150</v>
      </c>
      <c r="AJ368" s="81"/>
      <c r="AK368" s="89" t="s">
        <v>1149</v>
      </c>
      <c r="AL368" s="81" t="b">
        <v>0</v>
      </c>
      <c r="AM368" s="81">
        <v>0</v>
      </c>
      <c r="AN368" s="89" t="s">
        <v>1149</v>
      </c>
      <c r="AO368" s="81" t="s">
        <v>1172</v>
      </c>
      <c r="AP368" s="81" t="b">
        <v>0</v>
      </c>
      <c r="AQ368" s="89" t="s">
        <v>1115</v>
      </c>
      <c r="AR368" s="81" t="s">
        <v>325</v>
      </c>
      <c r="AS368" s="81">
        <v>0</v>
      </c>
      <c r="AT368" s="81">
        <v>0</v>
      </c>
      <c r="AU368" s="81"/>
      <c r="AV368" s="81"/>
      <c r="AW368" s="81"/>
      <c r="AX368" s="81"/>
      <c r="AY368" s="81"/>
      <c r="AZ368" s="81"/>
      <c r="BA368" s="81"/>
      <c r="BB368" s="81"/>
      <c r="BC368">
        <v>1</v>
      </c>
      <c r="BD368" s="80" t="str">
        <f>REPLACE(INDEX(GroupVertices[Group],MATCH(Edges[[#This Row],[Vertex 1]],GroupVertices[Vertex],0)),1,1,"")</f>
        <v>3</v>
      </c>
      <c r="BE368" s="80" t="str">
        <f>REPLACE(INDEX(GroupVertices[Group],MATCH(Edges[[#This Row],[Vertex 2]],GroupVertices[Vertex],0)),1,1,"")</f>
        <v>3</v>
      </c>
      <c r="BF368" s="48"/>
      <c r="BG368" s="49"/>
      <c r="BH368" s="48"/>
      <c r="BI368" s="49"/>
      <c r="BJ368" s="48"/>
      <c r="BK368" s="49"/>
      <c r="BL368" s="48"/>
      <c r="BM368" s="49"/>
      <c r="BN368" s="48"/>
    </row>
    <row r="369" spans="1:66" ht="15">
      <c r="A369" s="66" t="s">
        <v>494</v>
      </c>
      <c r="B369" s="66" t="s">
        <v>482</v>
      </c>
      <c r="C369" s="67" t="s">
        <v>3149</v>
      </c>
      <c r="D369" s="68">
        <v>4</v>
      </c>
      <c r="E369" s="69" t="s">
        <v>132</v>
      </c>
      <c r="F369" s="70">
        <v>30</v>
      </c>
      <c r="G369" s="67"/>
      <c r="H369" s="71"/>
      <c r="I369" s="72"/>
      <c r="J369" s="72"/>
      <c r="K369" s="34" t="s">
        <v>65</v>
      </c>
      <c r="L369" s="79">
        <v>369</v>
      </c>
      <c r="M369" s="79"/>
      <c r="N369" s="74"/>
      <c r="O369" s="81" t="s">
        <v>586</v>
      </c>
      <c r="P369" s="83">
        <v>44005.27125</v>
      </c>
      <c r="Q369" s="81" t="s">
        <v>666</v>
      </c>
      <c r="R369" s="81"/>
      <c r="S369" s="81"/>
      <c r="T369" s="81" t="s">
        <v>482</v>
      </c>
      <c r="U369" s="81"/>
      <c r="V369" s="84" t="str">
        <f>HYPERLINK("http://pbs.twimg.com/profile_images/480165263250178048/fUMzCTBW_normal.jpeg")</f>
        <v>http://pbs.twimg.com/profile_images/480165263250178048/fUMzCTBW_normal.jpeg</v>
      </c>
      <c r="W369" s="83">
        <v>44005.27125</v>
      </c>
      <c r="X369" s="87">
        <v>44005</v>
      </c>
      <c r="Y369" s="89" t="s">
        <v>906</v>
      </c>
      <c r="Z369" s="84" t="str">
        <f>HYPERLINK("https://twitter.com/dwatchnews/status/1275315300074807297")</f>
        <v>https://twitter.com/dwatchnews/status/1275315300074807297</v>
      </c>
      <c r="AA369" s="81"/>
      <c r="AB369" s="81"/>
      <c r="AC369" s="89" t="s">
        <v>1116</v>
      </c>
      <c r="AD369" s="81"/>
      <c r="AE369" s="81" t="b">
        <v>0</v>
      </c>
      <c r="AF369" s="81">
        <v>0</v>
      </c>
      <c r="AG369" s="89" t="s">
        <v>1149</v>
      </c>
      <c r="AH369" s="81" t="b">
        <v>0</v>
      </c>
      <c r="AI369" s="81" t="s">
        <v>1150</v>
      </c>
      <c r="AJ369" s="81"/>
      <c r="AK369" s="89" t="s">
        <v>1149</v>
      </c>
      <c r="AL369" s="81" t="b">
        <v>0</v>
      </c>
      <c r="AM369" s="81">
        <v>4</v>
      </c>
      <c r="AN369" s="89" t="s">
        <v>1126</v>
      </c>
      <c r="AO369" s="81" t="s">
        <v>1165</v>
      </c>
      <c r="AP369" s="81" t="b">
        <v>0</v>
      </c>
      <c r="AQ369" s="89" t="s">
        <v>1126</v>
      </c>
      <c r="AR369" s="81" t="s">
        <v>325</v>
      </c>
      <c r="AS369" s="81">
        <v>0</v>
      </c>
      <c r="AT369" s="81">
        <v>0</v>
      </c>
      <c r="AU369" s="81"/>
      <c r="AV369" s="81"/>
      <c r="AW369" s="81"/>
      <c r="AX369" s="81"/>
      <c r="AY369" s="81"/>
      <c r="AZ369" s="81"/>
      <c r="BA369" s="81"/>
      <c r="BB369" s="81"/>
      <c r="BC369">
        <v>1</v>
      </c>
      <c r="BD369" s="80" t="str">
        <f>REPLACE(INDEX(GroupVertices[Group],MATCH(Edges[[#This Row],[Vertex 1]],GroupVertices[Vertex],0)),1,1,"")</f>
        <v>5</v>
      </c>
      <c r="BE369" s="80" t="str">
        <f>REPLACE(INDEX(GroupVertices[Group],MATCH(Edges[[#This Row],[Vertex 2]],GroupVertices[Vertex],0)),1,1,"")</f>
        <v>5</v>
      </c>
      <c r="BF369" s="48">
        <v>1</v>
      </c>
      <c r="BG369" s="49">
        <v>3.7037037037037037</v>
      </c>
      <c r="BH369" s="48">
        <v>0</v>
      </c>
      <c r="BI369" s="49">
        <v>0</v>
      </c>
      <c r="BJ369" s="48">
        <v>0</v>
      </c>
      <c r="BK369" s="49">
        <v>0</v>
      </c>
      <c r="BL369" s="48">
        <v>26</v>
      </c>
      <c r="BM369" s="49">
        <v>96.29629629629629</v>
      </c>
      <c r="BN369" s="48">
        <v>27</v>
      </c>
    </row>
    <row r="370" spans="1:66" ht="15">
      <c r="A370" s="66" t="s">
        <v>495</v>
      </c>
      <c r="B370" s="66" t="s">
        <v>534</v>
      </c>
      <c r="C370" s="67" t="s">
        <v>3149</v>
      </c>
      <c r="D370" s="68">
        <v>4</v>
      </c>
      <c r="E370" s="69" t="s">
        <v>132</v>
      </c>
      <c r="F370" s="70">
        <v>30</v>
      </c>
      <c r="G370" s="67"/>
      <c r="H370" s="71"/>
      <c r="I370" s="72"/>
      <c r="J370" s="72"/>
      <c r="K370" s="34" t="s">
        <v>65</v>
      </c>
      <c r="L370" s="79">
        <v>370</v>
      </c>
      <c r="M370" s="79"/>
      <c r="N370" s="74"/>
      <c r="O370" s="81" t="s">
        <v>588</v>
      </c>
      <c r="P370" s="83">
        <v>44005.28126157408</v>
      </c>
      <c r="Q370" s="81" t="s">
        <v>611</v>
      </c>
      <c r="R370" s="81"/>
      <c r="S370" s="81"/>
      <c r="T370" s="81" t="s">
        <v>711</v>
      </c>
      <c r="U370" s="81"/>
      <c r="V370" s="84" t="str">
        <f>HYPERLINK("http://pbs.twimg.com/profile_images/1098027402712809473/pA1-hELU_normal.jpg")</f>
        <v>http://pbs.twimg.com/profile_images/1098027402712809473/pA1-hELU_normal.jpg</v>
      </c>
      <c r="W370" s="83">
        <v>44005.28126157408</v>
      </c>
      <c r="X370" s="87">
        <v>44005</v>
      </c>
      <c r="Y370" s="89" t="s">
        <v>907</v>
      </c>
      <c r="Z370" s="84" t="str">
        <f>HYPERLINK("https://twitter.com/omaakatugba/status/1275318927271305217")</f>
        <v>https://twitter.com/omaakatugba/status/1275318927271305217</v>
      </c>
      <c r="AA370" s="81"/>
      <c r="AB370" s="81"/>
      <c r="AC370" s="89" t="s">
        <v>1117</v>
      </c>
      <c r="AD370" s="81"/>
      <c r="AE370" s="81" t="b">
        <v>0</v>
      </c>
      <c r="AF370" s="81">
        <v>0</v>
      </c>
      <c r="AG370" s="89" t="s">
        <v>1149</v>
      </c>
      <c r="AH370" s="81" t="b">
        <v>0</v>
      </c>
      <c r="AI370" s="81" t="s">
        <v>1150</v>
      </c>
      <c r="AJ370" s="81"/>
      <c r="AK370" s="89" t="s">
        <v>1149</v>
      </c>
      <c r="AL370" s="81" t="b">
        <v>0</v>
      </c>
      <c r="AM370" s="81">
        <v>23</v>
      </c>
      <c r="AN370" s="89" t="s">
        <v>1139</v>
      </c>
      <c r="AO370" s="81" t="s">
        <v>1165</v>
      </c>
      <c r="AP370" s="81" t="b">
        <v>0</v>
      </c>
      <c r="AQ370" s="89" t="s">
        <v>1139</v>
      </c>
      <c r="AR370" s="81" t="s">
        <v>325</v>
      </c>
      <c r="AS370" s="81">
        <v>0</v>
      </c>
      <c r="AT370" s="81">
        <v>0</v>
      </c>
      <c r="AU370" s="81"/>
      <c r="AV370" s="81"/>
      <c r="AW370" s="81"/>
      <c r="AX370" s="81"/>
      <c r="AY370" s="81"/>
      <c r="AZ370" s="81"/>
      <c r="BA370" s="81"/>
      <c r="BB370" s="81"/>
      <c r="BC370">
        <v>1</v>
      </c>
      <c r="BD370" s="80" t="str">
        <f>REPLACE(INDEX(GroupVertices[Group],MATCH(Edges[[#This Row],[Vertex 1]],GroupVertices[Vertex],0)),1,1,"")</f>
        <v>4</v>
      </c>
      <c r="BE370" s="80" t="str">
        <f>REPLACE(INDEX(GroupVertices[Group],MATCH(Edges[[#This Row],[Vertex 2]],GroupVertices[Vertex],0)),1,1,"")</f>
        <v>4</v>
      </c>
      <c r="BF370" s="48"/>
      <c r="BG370" s="49"/>
      <c r="BH370" s="48"/>
      <c r="BI370" s="49"/>
      <c r="BJ370" s="48"/>
      <c r="BK370" s="49"/>
      <c r="BL370" s="48"/>
      <c r="BM370" s="49"/>
      <c r="BN370" s="48"/>
    </row>
    <row r="371" spans="1:66" ht="15">
      <c r="A371" s="66" t="s">
        <v>495</v>
      </c>
      <c r="B371" s="66" t="s">
        <v>511</v>
      </c>
      <c r="C371" s="67" t="s">
        <v>3149</v>
      </c>
      <c r="D371" s="68">
        <v>4</v>
      </c>
      <c r="E371" s="69" t="s">
        <v>132</v>
      </c>
      <c r="F371" s="70">
        <v>30</v>
      </c>
      <c r="G371" s="67"/>
      <c r="H371" s="71"/>
      <c r="I371" s="72"/>
      <c r="J371" s="72"/>
      <c r="K371" s="34" t="s">
        <v>65</v>
      </c>
      <c r="L371" s="79">
        <v>371</v>
      </c>
      <c r="M371" s="79"/>
      <c r="N371" s="74"/>
      <c r="O371" s="81" t="s">
        <v>586</v>
      </c>
      <c r="P371" s="83">
        <v>44005.28126157408</v>
      </c>
      <c r="Q371" s="81" t="s">
        <v>611</v>
      </c>
      <c r="R371" s="81"/>
      <c r="S371" s="81"/>
      <c r="T371" s="81" t="s">
        <v>711</v>
      </c>
      <c r="U371" s="81"/>
      <c r="V371" s="84" t="str">
        <f>HYPERLINK("http://pbs.twimg.com/profile_images/1098027402712809473/pA1-hELU_normal.jpg")</f>
        <v>http://pbs.twimg.com/profile_images/1098027402712809473/pA1-hELU_normal.jpg</v>
      </c>
      <c r="W371" s="83">
        <v>44005.28126157408</v>
      </c>
      <c r="X371" s="87">
        <v>44005</v>
      </c>
      <c r="Y371" s="89" t="s">
        <v>907</v>
      </c>
      <c r="Z371" s="84" t="str">
        <f>HYPERLINK("https://twitter.com/omaakatugba/status/1275318927271305217")</f>
        <v>https://twitter.com/omaakatugba/status/1275318927271305217</v>
      </c>
      <c r="AA371" s="81"/>
      <c r="AB371" s="81"/>
      <c r="AC371" s="89" t="s">
        <v>1117</v>
      </c>
      <c r="AD371" s="81"/>
      <c r="AE371" s="81" t="b">
        <v>0</v>
      </c>
      <c r="AF371" s="81">
        <v>0</v>
      </c>
      <c r="AG371" s="89" t="s">
        <v>1149</v>
      </c>
      <c r="AH371" s="81" t="b">
        <v>0</v>
      </c>
      <c r="AI371" s="81" t="s">
        <v>1150</v>
      </c>
      <c r="AJ371" s="81"/>
      <c r="AK371" s="89" t="s">
        <v>1149</v>
      </c>
      <c r="AL371" s="81" t="b">
        <v>0</v>
      </c>
      <c r="AM371" s="81">
        <v>23</v>
      </c>
      <c r="AN371" s="89" t="s">
        <v>1139</v>
      </c>
      <c r="AO371" s="81" t="s">
        <v>1165</v>
      </c>
      <c r="AP371" s="81" t="b">
        <v>0</v>
      </c>
      <c r="AQ371" s="89" t="s">
        <v>1139</v>
      </c>
      <c r="AR371" s="81" t="s">
        <v>325</v>
      </c>
      <c r="AS371" s="81">
        <v>0</v>
      </c>
      <c r="AT371" s="81">
        <v>0</v>
      </c>
      <c r="AU371" s="81"/>
      <c r="AV371" s="81"/>
      <c r="AW371" s="81"/>
      <c r="AX371" s="81"/>
      <c r="AY371" s="81"/>
      <c r="AZ371" s="81"/>
      <c r="BA371" s="81"/>
      <c r="BB371" s="81"/>
      <c r="BC371">
        <v>1</v>
      </c>
      <c r="BD371" s="80" t="str">
        <f>REPLACE(INDEX(GroupVertices[Group],MATCH(Edges[[#This Row],[Vertex 1]],GroupVertices[Vertex],0)),1,1,"")</f>
        <v>4</v>
      </c>
      <c r="BE371" s="80" t="str">
        <f>REPLACE(INDEX(GroupVertices[Group],MATCH(Edges[[#This Row],[Vertex 2]],GroupVertices[Vertex],0)),1,1,"")</f>
        <v>4</v>
      </c>
      <c r="BF371" s="48">
        <v>1</v>
      </c>
      <c r="BG371" s="49">
        <v>3.125</v>
      </c>
      <c r="BH371" s="48">
        <v>1</v>
      </c>
      <c r="BI371" s="49">
        <v>3.125</v>
      </c>
      <c r="BJ371" s="48">
        <v>0</v>
      </c>
      <c r="BK371" s="49">
        <v>0</v>
      </c>
      <c r="BL371" s="48">
        <v>30</v>
      </c>
      <c r="BM371" s="49">
        <v>93.75</v>
      </c>
      <c r="BN371" s="48">
        <v>32</v>
      </c>
    </row>
    <row r="372" spans="1:66" ht="15">
      <c r="A372" s="66" t="s">
        <v>496</v>
      </c>
      <c r="B372" s="66" t="s">
        <v>534</v>
      </c>
      <c r="C372" s="67" t="s">
        <v>3149</v>
      </c>
      <c r="D372" s="68">
        <v>4</v>
      </c>
      <c r="E372" s="69" t="s">
        <v>132</v>
      </c>
      <c r="F372" s="70">
        <v>30</v>
      </c>
      <c r="G372" s="67"/>
      <c r="H372" s="71"/>
      <c r="I372" s="72"/>
      <c r="J372" s="72"/>
      <c r="K372" s="34" t="s">
        <v>65</v>
      </c>
      <c r="L372" s="79">
        <v>372</v>
      </c>
      <c r="M372" s="79"/>
      <c r="N372" s="74"/>
      <c r="O372" s="81" t="s">
        <v>588</v>
      </c>
      <c r="P372" s="83">
        <v>44005.33219907407</v>
      </c>
      <c r="Q372" s="81" t="s">
        <v>611</v>
      </c>
      <c r="R372" s="81"/>
      <c r="S372" s="81"/>
      <c r="T372" s="81" t="s">
        <v>711</v>
      </c>
      <c r="U372" s="81"/>
      <c r="V372" s="84" t="str">
        <f>HYPERLINK("http://pbs.twimg.com/profile_images/655921082080202753/PakNF7k6_normal.jpg")</f>
        <v>http://pbs.twimg.com/profile_images/655921082080202753/PakNF7k6_normal.jpg</v>
      </c>
      <c r="W372" s="83">
        <v>44005.33219907407</v>
      </c>
      <c r="X372" s="87">
        <v>44005</v>
      </c>
      <c r="Y372" s="89" t="s">
        <v>908</v>
      </c>
      <c r="Z372" s="84" t="str">
        <f>HYPERLINK("https://twitter.com/tmbriceno/status/1275337387191742464")</f>
        <v>https://twitter.com/tmbriceno/status/1275337387191742464</v>
      </c>
      <c r="AA372" s="81"/>
      <c r="AB372" s="81"/>
      <c r="AC372" s="89" t="s">
        <v>1118</v>
      </c>
      <c r="AD372" s="81"/>
      <c r="AE372" s="81" t="b">
        <v>0</v>
      </c>
      <c r="AF372" s="81">
        <v>0</v>
      </c>
      <c r="AG372" s="89" t="s">
        <v>1149</v>
      </c>
      <c r="AH372" s="81" t="b">
        <v>0</v>
      </c>
      <c r="AI372" s="81" t="s">
        <v>1150</v>
      </c>
      <c r="AJ372" s="81"/>
      <c r="AK372" s="89" t="s">
        <v>1149</v>
      </c>
      <c r="AL372" s="81" t="b">
        <v>0</v>
      </c>
      <c r="AM372" s="81">
        <v>23</v>
      </c>
      <c r="AN372" s="89" t="s">
        <v>1139</v>
      </c>
      <c r="AO372" s="81" t="s">
        <v>1172</v>
      </c>
      <c r="AP372" s="81" t="b">
        <v>0</v>
      </c>
      <c r="AQ372" s="89" t="s">
        <v>1139</v>
      </c>
      <c r="AR372" s="81" t="s">
        <v>325</v>
      </c>
      <c r="AS372" s="81">
        <v>0</v>
      </c>
      <c r="AT372" s="81">
        <v>0</v>
      </c>
      <c r="AU372" s="81"/>
      <c r="AV372" s="81"/>
      <c r="AW372" s="81"/>
      <c r="AX372" s="81"/>
      <c r="AY372" s="81"/>
      <c r="AZ372" s="81"/>
      <c r="BA372" s="81"/>
      <c r="BB372" s="81"/>
      <c r="BC372">
        <v>1</v>
      </c>
      <c r="BD372" s="80" t="str">
        <f>REPLACE(INDEX(GroupVertices[Group],MATCH(Edges[[#This Row],[Vertex 1]],GroupVertices[Vertex],0)),1,1,"")</f>
        <v>4</v>
      </c>
      <c r="BE372" s="80" t="str">
        <f>REPLACE(INDEX(GroupVertices[Group],MATCH(Edges[[#This Row],[Vertex 2]],GroupVertices[Vertex],0)),1,1,"")</f>
        <v>4</v>
      </c>
      <c r="BF372" s="48"/>
      <c r="BG372" s="49"/>
      <c r="BH372" s="48"/>
      <c r="BI372" s="49"/>
      <c r="BJ372" s="48"/>
      <c r="BK372" s="49"/>
      <c r="BL372" s="48"/>
      <c r="BM372" s="49"/>
      <c r="BN372" s="48"/>
    </row>
    <row r="373" spans="1:66" ht="15">
      <c r="A373" s="66" t="s">
        <v>496</v>
      </c>
      <c r="B373" s="66" t="s">
        <v>511</v>
      </c>
      <c r="C373" s="67" t="s">
        <v>3149</v>
      </c>
      <c r="D373" s="68">
        <v>4</v>
      </c>
      <c r="E373" s="69" t="s">
        <v>132</v>
      </c>
      <c r="F373" s="70">
        <v>30</v>
      </c>
      <c r="G373" s="67"/>
      <c r="H373" s="71"/>
      <c r="I373" s="72"/>
      <c r="J373" s="72"/>
      <c r="K373" s="34" t="s">
        <v>65</v>
      </c>
      <c r="L373" s="79">
        <v>373</v>
      </c>
      <c r="M373" s="79"/>
      <c r="N373" s="74"/>
      <c r="O373" s="81" t="s">
        <v>586</v>
      </c>
      <c r="P373" s="83">
        <v>44005.33219907407</v>
      </c>
      <c r="Q373" s="81" t="s">
        <v>611</v>
      </c>
      <c r="R373" s="81"/>
      <c r="S373" s="81"/>
      <c r="T373" s="81" t="s">
        <v>711</v>
      </c>
      <c r="U373" s="81"/>
      <c r="V373" s="84" t="str">
        <f>HYPERLINK("http://pbs.twimg.com/profile_images/655921082080202753/PakNF7k6_normal.jpg")</f>
        <v>http://pbs.twimg.com/profile_images/655921082080202753/PakNF7k6_normal.jpg</v>
      </c>
      <c r="W373" s="83">
        <v>44005.33219907407</v>
      </c>
      <c r="X373" s="87">
        <v>44005</v>
      </c>
      <c r="Y373" s="89" t="s">
        <v>908</v>
      </c>
      <c r="Z373" s="84" t="str">
        <f>HYPERLINK("https://twitter.com/tmbriceno/status/1275337387191742464")</f>
        <v>https://twitter.com/tmbriceno/status/1275337387191742464</v>
      </c>
      <c r="AA373" s="81"/>
      <c r="AB373" s="81"/>
      <c r="AC373" s="89" t="s">
        <v>1118</v>
      </c>
      <c r="AD373" s="81"/>
      <c r="AE373" s="81" t="b">
        <v>0</v>
      </c>
      <c r="AF373" s="81">
        <v>0</v>
      </c>
      <c r="AG373" s="89" t="s">
        <v>1149</v>
      </c>
      <c r="AH373" s="81" t="b">
        <v>0</v>
      </c>
      <c r="AI373" s="81" t="s">
        <v>1150</v>
      </c>
      <c r="AJ373" s="81"/>
      <c r="AK373" s="89" t="s">
        <v>1149</v>
      </c>
      <c r="AL373" s="81" t="b">
        <v>0</v>
      </c>
      <c r="AM373" s="81">
        <v>23</v>
      </c>
      <c r="AN373" s="89" t="s">
        <v>1139</v>
      </c>
      <c r="AO373" s="81" t="s">
        <v>1172</v>
      </c>
      <c r="AP373" s="81" t="b">
        <v>0</v>
      </c>
      <c r="AQ373" s="89" t="s">
        <v>1139</v>
      </c>
      <c r="AR373" s="81" t="s">
        <v>325</v>
      </c>
      <c r="AS373" s="81">
        <v>0</v>
      </c>
      <c r="AT373" s="81">
        <v>0</v>
      </c>
      <c r="AU373" s="81"/>
      <c r="AV373" s="81"/>
      <c r="AW373" s="81"/>
      <c r="AX373" s="81"/>
      <c r="AY373" s="81"/>
      <c r="AZ373" s="81"/>
      <c r="BA373" s="81"/>
      <c r="BB373" s="81"/>
      <c r="BC373">
        <v>1</v>
      </c>
      <c r="BD373" s="80" t="str">
        <f>REPLACE(INDEX(GroupVertices[Group],MATCH(Edges[[#This Row],[Vertex 1]],GroupVertices[Vertex],0)),1,1,"")</f>
        <v>4</v>
      </c>
      <c r="BE373" s="80" t="str">
        <f>REPLACE(INDEX(GroupVertices[Group],MATCH(Edges[[#This Row],[Vertex 2]],GroupVertices[Vertex],0)),1,1,"")</f>
        <v>4</v>
      </c>
      <c r="BF373" s="48">
        <v>1</v>
      </c>
      <c r="BG373" s="49">
        <v>3.125</v>
      </c>
      <c r="BH373" s="48">
        <v>1</v>
      </c>
      <c r="BI373" s="49">
        <v>3.125</v>
      </c>
      <c r="BJ373" s="48">
        <v>0</v>
      </c>
      <c r="BK373" s="49">
        <v>0</v>
      </c>
      <c r="BL373" s="48">
        <v>30</v>
      </c>
      <c r="BM373" s="49">
        <v>93.75</v>
      </c>
      <c r="BN373" s="48">
        <v>32</v>
      </c>
    </row>
    <row r="374" spans="1:66" ht="15">
      <c r="A374" s="66" t="s">
        <v>497</v>
      </c>
      <c r="B374" s="66" t="s">
        <v>497</v>
      </c>
      <c r="C374" s="67" t="s">
        <v>3149</v>
      </c>
      <c r="D374" s="68">
        <v>4</v>
      </c>
      <c r="E374" s="69" t="s">
        <v>132</v>
      </c>
      <c r="F374" s="70">
        <v>30</v>
      </c>
      <c r="G374" s="67"/>
      <c r="H374" s="71"/>
      <c r="I374" s="72"/>
      <c r="J374" s="72"/>
      <c r="K374" s="34" t="s">
        <v>65</v>
      </c>
      <c r="L374" s="79">
        <v>374</v>
      </c>
      <c r="M374" s="79"/>
      <c r="N374" s="74"/>
      <c r="O374" s="81" t="s">
        <v>325</v>
      </c>
      <c r="P374" s="83">
        <v>44004.16232638889</v>
      </c>
      <c r="Q374" s="81" t="s">
        <v>592</v>
      </c>
      <c r="R374" s="84" t="str">
        <f>HYPERLINK("https://twitter.com/basole/status/1274853316758036481")</f>
        <v>https://twitter.com/basole/status/1274853316758036481</v>
      </c>
      <c r="S374" s="81" t="s">
        <v>676</v>
      </c>
      <c r="T374" s="81" t="s">
        <v>698</v>
      </c>
      <c r="U374" s="81"/>
      <c r="V374" s="84" t="str">
        <f>HYPERLINK("http://pbs.twimg.com/profile_images/1069593505553633281/hoG3VcMt_normal.jpg")</f>
        <v>http://pbs.twimg.com/profile_images/1069593505553633281/hoG3VcMt_normal.jpg</v>
      </c>
      <c r="W374" s="83">
        <v>44004.16232638889</v>
      </c>
      <c r="X374" s="87">
        <v>44004</v>
      </c>
      <c r="Y374" s="89" t="s">
        <v>909</v>
      </c>
      <c r="Z374" s="84" t="str">
        <f>HYPERLINK("https://twitter.com/albertocairo/status/1274913441057251333")</f>
        <v>https://twitter.com/albertocairo/status/1274913441057251333</v>
      </c>
      <c r="AA374" s="81"/>
      <c r="AB374" s="81"/>
      <c r="AC374" s="89" t="s">
        <v>1119</v>
      </c>
      <c r="AD374" s="81"/>
      <c r="AE374" s="81" t="b">
        <v>0</v>
      </c>
      <c r="AF374" s="81">
        <v>83</v>
      </c>
      <c r="AG374" s="89" t="s">
        <v>1149</v>
      </c>
      <c r="AH374" s="81" t="b">
        <v>1</v>
      </c>
      <c r="AI374" s="81" t="s">
        <v>1150</v>
      </c>
      <c r="AJ374" s="81"/>
      <c r="AK374" s="89" t="s">
        <v>1160</v>
      </c>
      <c r="AL374" s="81" t="b">
        <v>0</v>
      </c>
      <c r="AM374" s="81">
        <v>7</v>
      </c>
      <c r="AN374" s="89" t="s">
        <v>1149</v>
      </c>
      <c r="AO374" s="81" t="s">
        <v>1172</v>
      </c>
      <c r="AP374" s="81" t="b">
        <v>0</v>
      </c>
      <c r="AQ374" s="89" t="s">
        <v>1119</v>
      </c>
      <c r="AR374" s="81" t="s">
        <v>325</v>
      </c>
      <c r="AS374" s="81">
        <v>0</v>
      </c>
      <c r="AT374" s="81">
        <v>0</v>
      </c>
      <c r="AU374" s="81"/>
      <c r="AV374" s="81"/>
      <c r="AW374" s="81"/>
      <c r="AX374" s="81"/>
      <c r="AY374" s="81"/>
      <c r="AZ374" s="81"/>
      <c r="BA374" s="81"/>
      <c r="BB374" s="81"/>
      <c r="BC374">
        <v>1</v>
      </c>
      <c r="BD374" s="80" t="str">
        <f>REPLACE(INDEX(GroupVertices[Group],MATCH(Edges[[#This Row],[Vertex 1]],GroupVertices[Vertex],0)),1,1,"")</f>
        <v>9</v>
      </c>
      <c r="BE374" s="80" t="str">
        <f>REPLACE(INDEX(GroupVertices[Group],MATCH(Edges[[#This Row],[Vertex 2]],GroupVertices[Vertex],0)),1,1,"")</f>
        <v>9</v>
      </c>
      <c r="BF374" s="48">
        <v>1</v>
      </c>
      <c r="BG374" s="49">
        <v>16.666666666666668</v>
      </c>
      <c r="BH374" s="48">
        <v>0</v>
      </c>
      <c r="BI374" s="49">
        <v>0</v>
      </c>
      <c r="BJ374" s="48">
        <v>0</v>
      </c>
      <c r="BK374" s="49">
        <v>0</v>
      </c>
      <c r="BL374" s="48">
        <v>5</v>
      </c>
      <c r="BM374" s="49">
        <v>83.33333333333333</v>
      </c>
      <c r="BN374" s="48">
        <v>6</v>
      </c>
    </row>
    <row r="375" spans="1:66" ht="15">
      <c r="A375" s="66" t="s">
        <v>498</v>
      </c>
      <c r="B375" s="66" t="s">
        <v>497</v>
      </c>
      <c r="C375" s="67" t="s">
        <v>3149</v>
      </c>
      <c r="D375" s="68">
        <v>4</v>
      </c>
      <c r="E375" s="69" t="s">
        <v>132</v>
      </c>
      <c r="F375" s="70">
        <v>30</v>
      </c>
      <c r="G375" s="67"/>
      <c r="H375" s="71"/>
      <c r="I375" s="72"/>
      <c r="J375" s="72"/>
      <c r="K375" s="34" t="s">
        <v>65</v>
      </c>
      <c r="L375" s="79">
        <v>375</v>
      </c>
      <c r="M375" s="79"/>
      <c r="N375" s="74"/>
      <c r="O375" s="81" t="s">
        <v>586</v>
      </c>
      <c r="P375" s="83">
        <v>44005.33673611111</v>
      </c>
      <c r="Q375" s="81" t="s">
        <v>592</v>
      </c>
      <c r="R375" s="81"/>
      <c r="S375" s="81"/>
      <c r="T375" s="81" t="s">
        <v>698</v>
      </c>
      <c r="U375" s="81"/>
      <c r="V375" s="84" t="str">
        <f>HYPERLINK("http://pbs.twimg.com/profile_images/1056716278340222976/dLW3RH5g_normal.jpg")</f>
        <v>http://pbs.twimg.com/profile_images/1056716278340222976/dLW3RH5g_normal.jpg</v>
      </c>
      <c r="W375" s="83">
        <v>44005.33673611111</v>
      </c>
      <c r="X375" s="87">
        <v>44005</v>
      </c>
      <c r="Y375" s="89" t="s">
        <v>910</v>
      </c>
      <c r="Z375" s="84" t="str">
        <f>HYPERLINK("https://twitter.com/ignasialcalde/status/1275339032998936576")</f>
        <v>https://twitter.com/ignasialcalde/status/1275339032998936576</v>
      </c>
      <c r="AA375" s="81"/>
      <c r="AB375" s="81"/>
      <c r="AC375" s="89" t="s">
        <v>1120</v>
      </c>
      <c r="AD375" s="81"/>
      <c r="AE375" s="81" t="b">
        <v>0</v>
      </c>
      <c r="AF375" s="81">
        <v>0</v>
      </c>
      <c r="AG375" s="89" t="s">
        <v>1149</v>
      </c>
      <c r="AH375" s="81" t="b">
        <v>1</v>
      </c>
      <c r="AI375" s="81" t="s">
        <v>1150</v>
      </c>
      <c r="AJ375" s="81"/>
      <c r="AK375" s="89" t="s">
        <v>1160</v>
      </c>
      <c r="AL375" s="81" t="b">
        <v>0</v>
      </c>
      <c r="AM375" s="81">
        <v>7</v>
      </c>
      <c r="AN375" s="89" t="s">
        <v>1119</v>
      </c>
      <c r="AO375" s="81" t="s">
        <v>1165</v>
      </c>
      <c r="AP375" s="81" t="b">
        <v>0</v>
      </c>
      <c r="AQ375" s="89" t="s">
        <v>1119</v>
      </c>
      <c r="AR375" s="81" t="s">
        <v>325</v>
      </c>
      <c r="AS375" s="81">
        <v>0</v>
      </c>
      <c r="AT375" s="81">
        <v>0</v>
      </c>
      <c r="AU375" s="81"/>
      <c r="AV375" s="81"/>
      <c r="AW375" s="81"/>
      <c r="AX375" s="81"/>
      <c r="AY375" s="81"/>
      <c r="AZ375" s="81"/>
      <c r="BA375" s="81"/>
      <c r="BB375" s="81"/>
      <c r="BC375">
        <v>1</v>
      </c>
      <c r="BD375" s="80" t="str">
        <f>REPLACE(INDEX(GroupVertices[Group],MATCH(Edges[[#This Row],[Vertex 1]],GroupVertices[Vertex],0)),1,1,"")</f>
        <v>9</v>
      </c>
      <c r="BE375" s="80" t="str">
        <f>REPLACE(INDEX(GroupVertices[Group],MATCH(Edges[[#This Row],[Vertex 2]],GroupVertices[Vertex],0)),1,1,"")</f>
        <v>9</v>
      </c>
      <c r="BF375" s="48">
        <v>1</v>
      </c>
      <c r="BG375" s="49">
        <v>16.666666666666668</v>
      </c>
      <c r="BH375" s="48">
        <v>0</v>
      </c>
      <c r="BI375" s="49">
        <v>0</v>
      </c>
      <c r="BJ375" s="48">
        <v>0</v>
      </c>
      <c r="BK375" s="49">
        <v>0</v>
      </c>
      <c r="BL375" s="48">
        <v>5</v>
      </c>
      <c r="BM375" s="49">
        <v>83.33333333333333</v>
      </c>
      <c r="BN375" s="48">
        <v>6</v>
      </c>
    </row>
    <row r="376" spans="1:66" ht="15">
      <c r="A376" s="66" t="s">
        <v>499</v>
      </c>
      <c r="B376" s="66" t="s">
        <v>526</v>
      </c>
      <c r="C376" s="67" t="s">
        <v>3149</v>
      </c>
      <c r="D376" s="68">
        <v>4</v>
      </c>
      <c r="E376" s="69" t="s">
        <v>132</v>
      </c>
      <c r="F376" s="70">
        <v>30</v>
      </c>
      <c r="G376" s="67"/>
      <c r="H376" s="71"/>
      <c r="I376" s="72"/>
      <c r="J376" s="72"/>
      <c r="K376" s="34" t="s">
        <v>65</v>
      </c>
      <c r="L376" s="79">
        <v>376</v>
      </c>
      <c r="M376" s="79"/>
      <c r="N376" s="74"/>
      <c r="O376" s="81" t="s">
        <v>588</v>
      </c>
      <c r="P376" s="83">
        <v>44005.34050925926</v>
      </c>
      <c r="Q376" s="81" t="s">
        <v>612</v>
      </c>
      <c r="R376" s="81"/>
      <c r="S376" s="81"/>
      <c r="T376" s="81" t="s">
        <v>703</v>
      </c>
      <c r="U376" s="81"/>
      <c r="V376" s="84" t="str">
        <f>HYPERLINK("http://abs.twimg.com/sticky/default_profile_images/default_profile_normal.png")</f>
        <v>http://abs.twimg.com/sticky/default_profile_images/default_profile_normal.png</v>
      </c>
      <c r="W376" s="83">
        <v>44005.34050925926</v>
      </c>
      <c r="X376" s="87">
        <v>44005</v>
      </c>
      <c r="Y376" s="89" t="s">
        <v>911</v>
      </c>
      <c r="Z376" s="84" t="str">
        <f>HYPERLINK("https://twitter.com/bartongeography/status/1275340399712886785")</f>
        <v>https://twitter.com/bartongeography/status/1275340399712886785</v>
      </c>
      <c r="AA376" s="81"/>
      <c r="AB376" s="81"/>
      <c r="AC376" s="89" t="s">
        <v>1121</v>
      </c>
      <c r="AD376" s="81"/>
      <c r="AE376" s="81" t="b">
        <v>0</v>
      </c>
      <c r="AF376" s="81">
        <v>0</v>
      </c>
      <c r="AG376" s="89" t="s">
        <v>1149</v>
      </c>
      <c r="AH376" s="81" t="b">
        <v>0</v>
      </c>
      <c r="AI376" s="81" t="s">
        <v>1150</v>
      </c>
      <c r="AJ376" s="81"/>
      <c r="AK376" s="89" t="s">
        <v>1149</v>
      </c>
      <c r="AL376" s="81" t="b">
        <v>0</v>
      </c>
      <c r="AM376" s="81">
        <v>16</v>
      </c>
      <c r="AN376" s="89" t="s">
        <v>1137</v>
      </c>
      <c r="AO376" s="81" t="s">
        <v>1172</v>
      </c>
      <c r="AP376" s="81" t="b">
        <v>0</v>
      </c>
      <c r="AQ376" s="89" t="s">
        <v>1137</v>
      </c>
      <c r="AR376" s="81" t="s">
        <v>325</v>
      </c>
      <c r="AS376" s="81">
        <v>0</v>
      </c>
      <c r="AT376" s="81">
        <v>0</v>
      </c>
      <c r="AU376" s="81"/>
      <c r="AV376" s="81"/>
      <c r="AW376" s="81"/>
      <c r="AX376" s="81"/>
      <c r="AY376" s="81"/>
      <c r="AZ376" s="81"/>
      <c r="BA376" s="81"/>
      <c r="BB376" s="81"/>
      <c r="BC376">
        <v>1</v>
      </c>
      <c r="BD376" s="80" t="str">
        <f>REPLACE(INDEX(GroupVertices[Group],MATCH(Edges[[#This Row],[Vertex 1]],GroupVertices[Vertex],0)),1,1,"")</f>
        <v>3</v>
      </c>
      <c r="BE376" s="80" t="str">
        <f>REPLACE(INDEX(GroupVertices[Group],MATCH(Edges[[#This Row],[Vertex 2]],GroupVertices[Vertex],0)),1,1,"")</f>
        <v>3</v>
      </c>
      <c r="BF376" s="48"/>
      <c r="BG376" s="49"/>
      <c r="BH376" s="48"/>
      <c r="BI376" s="49"/>
      <c r="BJ376" s="48"/>
      <c r="BK376" s="49"/>
      <c r="BL376" s="48"/>
      <c r="BM376" s="49"/>
      <c r="BN376" s="48"/>
    </row>
    <row r="377" spans="1:66" ht="15">
      <c r="A377" s="66" t="s">
        <v>499</v>
      </c>
      <c r="B377" s="66" t="s">
        <v>527</v>
      </c>
      <c r="C377" s="67" t="s">
        <v>3149</v>
      </c>
      <c r="D377" s="68">
        <v>4</v>
      </c>
      <c r="E377" s="69" t="s">
        <v>132</v>
      </c>
      <c r="F377" s="70">
        <v>30</v>
      </c>
      <c r="G377" s="67"/>
      <c r="H377" s="71"/>
      <c r="I377" s="72"/>
      <c r="J377" s="72"/>
      <c r="K377" s="34" t="s">
        <v>65</v>
      </c>
      <c r="L377" s="79">
        <v>377</v>
      </c>
      <c r="M377" s="79"/>
      <c r="N377" s="74"/>
      <c r="O377" s="81" t="s">
        <v>588</v>
      </c>
      <c r="P377" s="83">
        <v>44005.34050925926</v>
      </c>
      <c r="Q377" s="81" t="s">
        <v>612</v>
      </c>
      <c r="R377" s="81"/>
      <c r="S377" s="81"/>
      <c r="T377" s="81" t="s">
        <v>703</v>
      </c>
      <c r="U377" s="81"/>
      <c r="V377" s="84" t="str">
        <f>HYPERLINK("http://abs.twimg.com/sticky/default_profile_images/default_profile_normal.png")</f>
        <v>http://abs.twimg.com/sticky/default_profile_images/default_profile_normal.png</v>
      </c>
      <c r="W377" s="83">
        <v>44005.34050925926</v>
      </c>
      <c r="X377" s="87">
        <v>44005</v>
      </c>
      <c r="Y377" s="89" t="s">
        <v>911</v>
      </c>
      <c r="Z377" s="84" t="str">
        <f>HYPERLINK("https://twitter.com/bartongeography/status/1275340399712886785")</f>
        <v>https://twitter.com/bartongeography/status/1275340399712886785</v>
      </c>
      <c r="AA377" s="81"/>
      <c r="AB377" s="81"/>
      <c r="AC377" s="89" t="s">
        <v>1121</v>
      </c>
      <c r="AD377" s="81"/>
      <c r="AE377" s="81" t="b">
        <v>0</v>
      </c>
      <c r="AF377" s="81">
        <v>0</v>
      </c>
      <c r="AG377" s="89" t="s">
        <v>1149</v>
      </c>
      <c r="AH377" s="81" t="b">
        <v>0</v>
      </c>
      <c r="AI377" s="81" t="s">
        <v>1150</v>
      </c>
      <c r="AJ377" s="81"/>
      <c r="AK377" s="89" t="s">
        <v>1149</v>
      </c>
      <c r="AL377" s="81" t="b">
        <v>0</v>
      </c>
      <c r="AM377" s="81">
        <v>16</v>
      </c>
      <c r="AN377" s="89" t="s">
        <v>1137</v>
      </c>
      <c r="AO377" s="81" t="s">
        <v>1172</v>
      </c>
      <c r="AP377" s="81" t="b">
        <v>0</v>
      </c>
      <c r="AQ377" s="89" t="s">
        <v>1137</v>
      </c>
      <c r="AR377" s="81" t="s">
        <v>325</v>
      </c>
      <c r="AS377" s="81">
        <v>0</v>
      </c>
      <c r="AT377" s="81">
        <v>0</v>
      </c>
      <c r="AU377" s="81"/>
      <c r="AV377" s="81"/>
      <c r="AW377" s="81"/>
      <c r="AX377" s="81"/>
      <c r="AY377" s="81"/>
      <c r="AZ377" s="81"/>
      <c r="BA377" s="81"/>
      <c r="BB377" s="81"/>
      <c r="BC377">
        <v>1</v>
      </c>
      <c r="BD377" s="80" t="str">
        <f>REPLACE(INDEX(GroupVertices[Group],MATCH(Edges[[#This Row],[Vertex 1]],GroupVertices[Vertex],0)),1,1,"")</f>
        <v>3</v>
      </c>
      <c r="BE377" s="80" t="str">
        <f>REPLACE(INDEX(GroupVertices[Group],MATCH(Edges[[#This Row],[Vertex 2]],GroupVertices[Vertex],0)),1,1,"")</f>
        <v>3</v>
      </c>
      <c r="BF377" s="48"/>
      <c r="BG377" s="49"/>
      <c r="BH377" s="48"/>
      <c r="BI377" s="49"/>
      <c r="BJ377" s="48"/>
      <c r="BK377" s="49"/>
      <c r="BL377" s="48"/>
      <c r="BM377" s="49"/>
      <c r="BN377" s="48"/>
    </row>
    <row r="378" spans="1:66" ht="15">
      <c r="A378" s="66" t="s">
        <v>499</v>
      </c>
      <c r="B378" s="66" t="s">
        <v>509</v>
      </c>
      <c r="C378" s="67" t="s">
        <v>3149</v>
      </c>
      <c r="D378" s="68">
        <v>4</v>
      </c>
      <c r="E378" s="69" t="s">
        <v>132</v>
      </c>
      <c r="F378" s="70">
        <v>30</v>
      </c>
      <c r="G378" s="67"/>
      <c r="H378" s="71"/>
      <c r="I378" s="72"/>
      <c r="J378" s="72"/>
      <c r="K378" s="34" t="s">
        <v>65</v>
      </c>
      <c r="L378" s="79">
        <v>378</v>
      </c>
      <c r="M378" s="79"/>
      <c r="N378" s="74"/>
      <c r="O378" s="81" t="s">
        <v>586</v>
      </c>
      <c r="P378" s="83">
        <v>44005.34050925926</v>
      </c>
      <c r="Q378" s="81" t="s">
        <v>612</v>
      </c>
      <c r="R378" s="81"/>
      <c r="S378" s="81"/>
      <c r="T378" s="81" t="s">
        <v>703</v>
      </c>
      <c r="U378" s="81"/>
      <c r="V378" s="84" t="str">
        <f>HYPERLINK("http://abs.twimg.com/sticky/default_profile_images/default_profile_normal.png")</f>
        <v>http://abs.twimg.com/sticky/default_profile_images/default_profile_normal.png</v>
      </c>
      <c r="W378" s="83">
        <v>44005.34050925926</v>
      </c>
      <c r="X378" s="87">
        <v>44005</v>
      </c>
      <c r="Y378" s="89" t="s">
        <v>911</v>
      </c>
      <c r="Z378" s="84" t="str">
        <f>HYPERLINK("https://twitter.com/bartongeography/status/1275340399712886785")</f>
        <v>https://twitter.com/bartongeography/status/1275340399712886785</v>
      </c>
      <c r="AA378" s="81"/>
      <c r="AB378" s="81"/>
      <c r="AC378" s="89" t="s">
        <v>1121</v>
      </c>
      <c r="AD378" s="81"/>
      <c r="AE378" s="81" t="b">
        <v>0</v>
      </c>
      <c r="AF378" s="81">
        <v>0</v>
      </c>
      <c r="AG378" s="89" t="s">
        <v>1149</v>
      </c>
      <c r="AH378" s="81" t="b">
        <v>0</v>
      </c>
      <c r="AI378" s="81" t="s">
        <v>1150</v>
      </c>
      <c r="AJ378" s="81"/>
      <c r="AK378" s="89" t="s">
        <v>1149</v>
      </c>
      <c r="AL378" s="81" t="b">
        <v>0</v>
      </c>
      <c r="AM378" s="81">
        <v>16</v>
      </c>
      <c r="AN378" s="89" t="s">
        <v>1137</v>
      </c>
      <c r="AO378" s="81" t="s">
        <v>1172</v>
      </c>
      <c r="AP378" s="81" t="b">
        <v>0</v>
      </c>
      <c r="AQ378" s="89" t="s">
        <v>1137</v>
      </c>
      <c r="AR378" s="81" t="s">
        <v>325</v>
      </c>
      <c r="AS378" s="81">
        <v>0</v>
      </c>
      <c r="AT378" s="81">
        <v>0</v>
      </c>
      <c r="AU378" s="81"/>
      <c r="AV378" s="81"/>
      <c r="AW378" s="81"/>
      <c r="AX378" s="81"/>
      <c r="AY378" s="81"/>
      <c r="AZ378" s="81"/>
      <c r="BA378" s="81"/>
      <c r="BB378" s="81"/>
      <c r="BC378">
        <v>1</v>
      </c>
      <c r="BD378" s="80" t="str">
        <f>REPLACE(INDEX(GroupVertices[Group],MATCH(Edges[[#This Row],[Vertex 1]],GroupVertices[Vertex],0)),1,1,"")</f>
        <v>3</v>
      </c>
      <c r="BE378" s="80" t="str">
        <f>REPLACE(INDEX(GroupVertices[Group],MATCH(Edges[[#This Row],[Vertex 2]],GroupVertices[Vertex],0)),1,1,"")</f>
        <v>3</v>
      </c>
      <c r="BF378" s="48">
        <v>1</v>
      </c>
      <c r="BG378" s="49">
        <v>4.761904761904762</v>
      </c>
      <c r="BH378" s="48">
        <v>0</v>
      </c>
      <c r="BI378" s="49">
        <v>0</v>
      </c>
      <c r="BJ378" s="48">
        <v>0</v>
      </c>
      <c r="BK378" s="49">
        <v>0</v>
      </c>
      <c r="BL378" s="48">
        <v>20</v>
      </c>
      <c r="BM378" s="49">
        <v>95.23809523809524</v>
      </c>
      <c r="BN378" s="48">
        <v>21</v>
      </c>
    </row>
    <row r="379" spans="1:66" ht="15">
      <c r="A379" s="66" t="s">
        <v>500</v>
      </c>
      <c r="B379" s="66" t="s">
        <v>534</v>
      </c>
      <c r="C379" s="67" t="s">
        <v>3149</v>
      </c>
      <c r="D379" s="68">
        <v>4</v>
      </c>
      <c r="E379" s="69" t="s">
        <v>132</v>
      </c>
      <c r="F379" s="70">
        <v>30</v>
      </c>
      <c r="G379" s="67"/>
      <c r="H379" s="71"/>
      <c r="I379" s="72"/>
      <c r="J379" s="72"/>
      <c r="K379" s="34" t="s">
        <v>65</v>
      </c>
      <c r="L379" s="79">
        <v>379</v>
      </c>
      <c r="M379" s="79"/>
      <c r="N379" s="74"/>
      <c r="O379" s="81" t="s">
        <v>588</v>
      </c>
      <c r="P379" s="83">
        <v>44005.341319444444</v>
      </c>
      <c r="Q379" s="81" t="s">
        <v>611</v>
      </c>
      <c r="R379" s="81"/>
      <c r="S379" s="81"/>
      <c r="T379" s="81" t="s">
        <v>711</v>
      </c>
      <c r="U379" s="81"/>
      <c r="V379" s="84" t="str">
        <f>HYPERLINK("http://pbs.twimg.com/profile_images/1244906928192606208/wCdVOodt_normal.jpg")</f>
        <v>http://pbs.twimg.com/profile_images/1244906928192606208/wCdVOodt_normal.jpg</v>
      </c>
      <c r="W379" s="83">
        <v>44005.341319444444</v>
      </c>
      <c r="X379" s="87">
        <v>44005</v>
      </c>
      <c r="Y379" s="89" t="s">
        <v>912</v>
      </c>
      <c r="Z379" s="84" t="str">
        <f>HYPERLINK("https://twitter.com/asashaelizabeth/status/1275340694094319616")</f>
        <v>https://twitter.com/asashaelizabeth/status/1275340694094319616</v>
      </c>
      <c r="AA379" s="81"/>
      <c r="AB379" s="81"/>
      <c r="AC379" s="89" t="s">
        <v>1122</v>
      </c>
      <c r="AD379" s="81"/>
      <c r="AE379" s="81" t="b">
        <v>0</v>
      </c>
      <c r="AF379" s="81">
        <v>0</v>
      </c>
      <c r="AG379" s="89" t="s">
        <v>1149</v>
      </c>
      <c r="AH379" s="81" t="b">
        <v>0</v>
      </c>
      <c r="AI379" s="81" t="s">
        <v>1150</v>
      </c>
      <c r="AJ379" s="81"/>
      <c r="AK379" s="89" t="s">
        <v>1149</v>
      </c>
      <c r="AL379" s="81" t="b">
        <v>0</v>
      </c>
      <c r="AM379" s="81">
        <v>23</v>
      </c>
      <c r="AN379" s="89" t="s">
        <v>1139</v>
      </c>
      <c r="AO379" s="81" t="s">
        <v>1176</v>
      </c>
      <c r="AP379" s="81" t="b">
        <v>0</v>
      </c>
      <c r="AQ379" s="89" t="s">
        <v>1139</v>
      </c>
      <c r="AR379" s="81" t="s">
        <v>325</v>
      </c>
      <c r="AS379" s="81">
        <v>0</v>
      </c>
      <c r="AT379" s="81">
        <v>0</v>
      </c>
      <c r="AU379" s="81"/>
      <c r="AV379" s="81"/>
      <c r="AW379" s="81"/>
      <c r="AX379" s="81"/>
      <c r="AY379" s="81"/>
      <c r="AZ379" s="81"/>
      <c r="BA379" s="81"/>
      <c r="BB379" s="81"/>
      <c r="BC379">
        <v>1</v>
      </c>
      <c r="BD379" s="80" t="str">
        <f>REPLACE(INDEX(GroupVertices[Group],MATCH(Edges[[#This Row],[Vertex 1]],GroupVertices[Vertex],0)),1,1,"")</f>
        <v>4</v>
      </c>
      <c r="BE379" s="80" t="str">
        <f>REPLACE(INDEX(GroupVertices[Group],MATCH(Edges[[#This Row],[Vertex 2]],GroupVertices[Vertex],0)),1,1,"")</f>
        <v>4</v>
      </c>
      <c r="BF379" s="48"/>
      <c r="BG379" s="49"/>
      <c r="BH379" s="48"/>
      <c r="BI379" s="49"/>
      <c r="BJ379" s="48"/>
      <c r="BK379" s="49"/>
      <c r="BL379" s="48"/>
      <c r="BM379" s="49"/>
      <c r="BN379" s="48"/>
    </row>
    <row r="380" spans="1:66" ht="15">
      <c r="A380" s="66" t="s">
        <v>500</v>
      </c>
      <c r="B380" s="66" t="s">
        <v>511</v>
      </c>
      <c r="C380" s="67" t="s">
        <v>3149</v>
      </c>
      <c r="D380" s="68">
        <v>4</v>
      </c>
      <c r="E380" s="69" t="s">
        <v>132</v>
      </c>
      <c r="F380" s="70">
        <v>30</v>
      </c>
      <c r="G380" s="67"/>
      <c r="H380" s="71"/>
      <c r="I380" s="72"/>
      <c r="J380" s="72"/>
      <c r="K380" s="34" t="s">
        <v>65</v>
      </c>
      <c r="L380" s="79">
        <v>380</v>
      </c>
      <c r="M380" s="79"/>
      <c r="N380" s="74"/>
      <c r="O380" s="81" t="s">
        <v>586</v>
      </c>
      <c r="P380" s="83">
        <v>44005.341319444444</v>
      </c>
      <c r="Q380" s="81" t="s">
        <v>611</v>
      </c>
      <c r="R380" s="81"/>
      <c r="S380" s="81"/>
      <c r="T380" s="81" t="s">
        <v>711</v>
      </c>
      <c r="U380" s="81"/>
      <c r="V380" s="84" t="str">
        <f>HYPERLINK("http://pbs.twimg.com/profile_images/1244906928192606208/wCdVOodt_normal.jpg")</f>
        <v>http://pbs.twimg.com/profile_images/1244906928192606208/wCdVOodt_normal.jpg</v>
      </c>
      <c r="W380" s="83">
        <v>44005.341319444444</v>
      </c>
      <c r="X380" s="87">
        <v>44005</v>
      </c>
      <c r="Y380" s="89" t="s">
        <v>912</v>
      </c>
      <c r="Z380" s="84" t="str">
        <f>HYPERLINK("https://twitter.com/asashaelizabeth/status/1275340694094319616")</f>
        <v>https://twitter.com/asashaelizabeth/status/1275340694094319616</v>
      </c>
      <c r="AA380" s="81"/>
      <c r="AB380" s="81"/>
      <c r="AC380" s="89" t="s">
        <v>1122</v>
      </c>
      <c r="AD380" s="81"/>
      <c r="AE380" s="81" t="b">
        <v>0</v>
      </c>
      <c r="AF380" s="81">
        <v>0</v>
      </c>
      <c r="AG380" s="89" t="s">
        <v>1149</v>
      </c>
      <c r="AH380" s="81" t="b">
        <v>0</v>
      </c>
      <c r="AI380" s="81" t="s">
        <v>1150</v>
      </c>
      <c r="AJ380" s="81"/>
      <c r="AK380" s="89" t="s">
        <v>1149</v>
      </c>
      <c r="AL380" s="81" t="b">
        <v>0</v>
      </c>
      <c r="AM380" s="81">
        <v>23</v>
      </c>
      <c r="AN380" s="89" t="s">
        <v>1139</v>
      </c>
      <c r="AO380" s="81" t="s">
        <v>1176</v>
      </c>
      <c r="AP380" s="81" t="b">
        <v>0</v>
      </c>
      <c r="AQ380" s="89" t="s">
        <v>1139</v>
      </c>
      <c r="AR380" s="81" t="s">
        <v>325</v>
      </c>
      <c r="AS380" s="81">
        <v>0</v>
      </c>
      <c r="AT380" s="81">
        <v>0</v>
      </c>
      <c r="AU380" s="81"/>
      <c r="AV380" s="81"/>
      <c r="AW380" s="81"/>
      <c r="AX380" s="81"/>
      <c r="AY380" s="81"/>
      <c r="AZ380" s="81"/>
      <c r="BA380" s="81"/>
      <c r="BB380" s="81"/>
      <c r="BC380">
        <v>1</v>
      </c>
      <c r="BD380" s="80" t="str">
        <f>REPLACE(INDEX(GroupVertices[Group],MATCH(Edges[[#This Row],[Vertex 1]],GroupVertices[Vertex],0)),1,1,"")</f>
        <v>4</v>
      </c>
      <c r="BE380" s="80" t="str">
        <f>REPLACE(INDEX(GroupVertices[Group],MATCH(Edges[[#This Row],[Vertex 2]],GroupVertices[Vertex],0)),1,1,"")</f>
        <v>4</v>
      </c>
      <c r="BF380" s="48">
        <v>1</v>
      </c>
      <c r="BG380" s="49">
        <v>3.125</v>
      </c>
      <c r="BH380" s="48">
        <v>1</v>
      </c>
      <c r="BI380" s="49">
        <v>3.125</v>
      </c>
      <c r="BJ380" s="48">
        <v>0</v>
      </c>
      <c r="BK380" s="49">
        <v>0</v>
      </c>
      <c r="BL380" s="48">
        <v>30</v>
      </c>
      <c r="BM380" s="49">
        <v>93.75</v>
      </c>
      <c r="BN380" s="48">
        <v>32</v>
      </c>
    </row>
    <row r="381" spans="1:66" ht="15">
      <c r="A381" s="66" t="s">
        <v>501</v>
      </c>
      <c r="B381" s="66" t="s">
        <v>526</v>
      </c>
      <c r="C381" s="67" t="s">
        <v>3149</v>
      </c>
      <c r="D381" s="68">
        <v>4</v>
      </c>
      <c r="E381" s="69" t="s">
        <v>132</v>
      </c>
      <c r="F381" s="70">
        <v>30</v>
      </c>
      <c r="G381" s="67"/>
      <c r="H381" s="71"/>
      <c r="I381" s="72"/>
      <c r="J381" s="72"/>
      <c r="K381" s="34" t="s">
        <v>65</v>
      </c>
      <c r="L381" s="79">
        <v>381</v>
      </c>
      <c r="M381" s="79"/>
      <c r="N381" s="74"/>
      <c r="O381" s="81" t="s">
        <v>588</v>
      </c>
      <c r="P381" s="83">
        <v>44005.34388888889</v>
      </c>
      <c r="Q381" s="81" t="s">
        <v>612</v>
      </c>
      <c r="R381" s="81"/>
      <c r="S381" s="81"/>
      <c r="T381" s="81" t="s">
        <v>703</v>
      </c>
      <c r="U381" s="81"/>
      <c r="V381" s="84" t="str">
        <f>HYPERLINK("http://pbs.twimg.com/profile_images/1250894489142640640/SGPTHHwM_normal.jpg")</f>
        <v>http://pbs.twimg.com/profile_images/1250894489142640640/SGPTHHwM_normal.jpg</v>
      </c>
      <c r="W381" s="83">
        <v>44005.34388888889</v>
      </c>
      <c r="X381" s="87">
        <v>44005</v>
      </c>
      <c r="Y381" s="89" t="s">
        <v>913</v>
      </c>
      <c r="Z381" s="84" t="str">
        <f>HYPERLINK("https://twitter.com/mrs_geog/status/1275341624063729665")</f>
        <v>https://twitter.com/mrs_geog/status/1275341624063729665</v>
      </c>
      <c r="AA381" s="81"/>
      <c r="AB381" s="81"/>
      <c r="AC381" s="89" t="s">
        <v>1123</v>
      </c>
      <c r="AD381" s="81"/>
      <c r="AE381" s="81" t="b">
        <v>0</v>
      </c>
      <c r="AF381" s="81">
        <v>0</v>
      </c>
      <c r="AG381" s="89" t="s">
        <v>1149</v>
      </c>
      <c r="AH381" s="81" t="b">
        <v>0</v>
      </c>
      <c r="AI381" s="81" t="s">
        <v>1150</v>
      </c>
      <c r="AJ381" s="81"/>
      <c r="AK381" s="89" t="s">
        <v>1149</v>
      </c>
      <c r="AL381" s="81" t="b">
        <v>0</v>
      </c>
      <c r="AM381" s="81">
        <v>16</v>
      </c>
      <c r="AN381" s="89" t="s">
        <v>1137</v>
      </c>
      <c r="AO381" s="81" t="s">
        <v>1165</v>
      </c>
      <c r="AP381" s="81" t="b">
        <v>0</v>
      </c>
      <c r="AQ381" s="89" t="s">
        <v>1137</v>
      </c>
      <c r="AR381" s="81" t="s">
        <v>325</v>
      </c>
      <c r="AS381" s="81">
        <v>0</v>
      </c>
      <c r="AT381" s="81">
        <v>0</v>
      </c>
      <c r="AU381" s="81"/>
      <c r="AV381" s="81"/>
      <c r="AW381" s="81"/>
      <c r="AX381" s="81"/>
      <c r="AY381" s="81"/>
      <c r="AZ381" s="81"/>
      <c r="BA381" s="81"/>
      <c r="BB381" s="81"/>
      <c r="BC381">
        <v>1</v>
      </c>
      <c r="BD381" s="80" t="str">
        <f>REPLACE(INDEX(GroupVertices[Group],MATCH(Edges[[#This Row],[Vertex 1]],GroupVertices[Vertex],0)),1,1,"")</f>
        <v>3</v>
      </c>
      <c r="BE381" s="80" t="str">
        <f>REPLACE(INDEX(GroupVertices[Group],MATCH(Edges[[#This Row],[Vertex 2]],GroupVertices[Vertex],0)),1,1,"")</f>
        <v>3</v>
      </c>
      <c r="BF381" s="48"/>
      <c r="BG381" s="49"/>
      <c r="BH381" s="48"/>
      <c r="BI381" s="49"/>
      <c r="BJ381" s="48"/>
      <c r="BK381" s="49"/>
      <c r="BL381" s="48"/>
      <c r="BM381" s="49"/>
      <c r="BN381" s="48"/>
    </row>
    <row r="382" spans="1:66" ht="15">
      <c r="A382" s="66" t="s">
        <v>501</v>
      </c>
      <c r="B382" s="66" t="s">
        <v>527</v>
      </c>
      <c r="C382" s="67" t="s">
        <v>3149</v>
      </c>
      <c r="D382" s="68">
        <v>4</v>
      </c>
      <c r="E382" s="69" t="s">
        <v>132</v>
      </c>
      <c r="F382" s="70">
        <v>30</v>
      </c>
      <c r="G382" s="67"/>
      <c r="H382" s="71"/>
      <c r="I382" s="72"/>
      <c r="J382" s="72"/>
      <c r="K382" s="34" t="s">
        <v>65</v>
      </c>
      <c r="L382" s="79">
        <v>382</v>
      </c>
      <c r="M382" s="79"/>
      <c r="N382" s="74"/>
      <c r="O382" s="81" t="s">
        <v>588</v>
      </c>
      <c r="P382" s="83">
        <v>44005.34388888889</v>
      </c>
      <c r="Q382" s="81" t="s">
        <v>612</v>
      </c>
      <c r="R382" s="81"/>
      <c r="S382" s="81"/>
      <c r="T382" s="81" t="s">
        <v>703</v>
      </c>
      <c r="U382" s="81"/>
      <c r="V382" s="84" t="str">
        <f>HYPERLINK("http://pbs.twimg.com/profile_images/1250894489142640640/SGPTHHwM_normal.jpg")</f>
        <v>http://pbs.twimg.com/profile_images/1250894489142640640/SGPTHHwM_normal.jpg</v>
      </c>
      <c r="W382" s="83">
        <v>44005.34388888889</v>
      </c>
      <c r="X382" s="87">
        <v>44005</v>
      </c>
      <c r="Y382" s="89" t="s">
        <v>913</v>
      </c>
      <c r="Z382" s="84" t="str">
        <f>HYPERLINK("https://twitter.com/mrs_geog/status/1275341624063729665")</f>
        <v>https://twitter.com/mrs_geog/status/1275341624063729665</v>
      </c>
      <c r="AA382" s="81"/>
      <c r="AB382" s="81"/>
      <c r="AC382" s="89" t="s">
        <v>1123</v>
      </c>
      <c r="AD382" s="81"/>
      <c r="AE382" s="81" t="b">
        <v>0</v>
      </c>
      <c r="AF382" s="81">
        <v>0</v>
      </c>
      <c r="AG382" s="89" t="s">
        <v>1149</v>
      </c>
      <c r="AH382" s="81" t="b">
        <v>0</v>
      </c>
      <c r="AI382" s="81" t="s">
        <v>1150</v>
      </c>
      <c r="AJ382" s="81"/>
      <c r="AK382" s="89" t="s">
        <v>1149</v>
      </c>
      <c r="AL382" s="81" t="b">
        <v>0</v>
      </c>
      <c r="AM382" s="81">
        <v>16</v>
      </c>
      <c r="AN382" s="89" t="s">
        <v>1137</v>
      </c>
      <c r="AO382" s="81" t="s">
        <v>1165</v>
      </c>
      <c r="AP382" s="81" t="b">
        <v>0</v>
      </c>
      <c r="AQ382" s="89" t="s">
        <v>1137</v>
      </c>
      <c r="AR382" s="81" t="s">
        <v>325</v>
      </c>
      <c r="AS382" s="81">
        <v>0</v>
      </c>
      <c r="AT382" s="81">
        <v>0</v>
      </c>
      <c r="AU382" s="81"/>
      <c r="AV382" s="81"/>
      <c r="AW382" s="81"/>
      <c r="AX382" s="81"/>
      <c r="AY382" s="81"/>
      <c r="AZ382" s="81"/>
      <c r="BA382" s="81"/>
      <c r="BB382" s="81"/>
      <c r="BC382">
        <v>1</v>
      </c>
      <c r="BD382" s="80" t="str">
        <f>REPLACE(INDEX(GroupVertices[Group],MATCH(Edges[[#This Row],[Vertex 1]],GroupVertices[Vertex],0)),1,1,"")</f>
        <v>3</v>
      </c>
      <c r="BE382" s="80" t="str">
        <f>REPLACE(INDEX(GroupVertices[Group],MATCH(Edges[[#This Row],[Vertex 2]],GroupVertices[Vertex],0)),1,1,"")</f>
        <v>3</v>
      </c>
      <c r="BF382" s="48"/>
      <c r="BG382" s="49"/>
      <c r="BH382" s="48"/>
      <c r="BI382" s="49"/>
      <c r="BJ382" s="48"/>
      <c r="BK382" s="49"/>
      <c r="BL382" s="48"/>
      <c r="BM382" s="49"/>
      <c r="BN382" s="48"/>
    </row>
    <row r="383" spans="1:66" ht="15">
      <c r="A383" s="66" t="s">
        <v>501</v>
      </c>
      <c r="B383" s="66" t="s">
        <v>509</v>
      </c>
      <c r="C383" s="67" t="s">
        <v>3149</v>
      </c>
      <c r="D383" s="68">
        <v>4</v>
      </c>
      <c r="E383" s="69" t="s">
        <v>132</v>
      </c>
      <c r="F383" s="70">
        <v>30</v>
      </c>
      <c r="G383" s="67"/>
      <c r="H383" s="71"/>
      <c r="I383" s="72"/>
      <c r="J383" s="72"/>
      <c r="K383" s="34" t="s">
        <v>65</v>
      </c>
      <c r="L383" s="79">
        <v>383</v>
      </c>
      <c r="M383" s="79"/>
      <c r="N383" s="74"/>
      <c r="O383" s="81" t="s">
        <v>586</v>
      </c>
      <c r="P383" s="83">
        <v>44005.34388888889</v>
      </c>
      <c r="Q383" s="81" t="s">
        <v>612</v>
      </c>
      <c r="R383" s="81"/>
      <c r="S383" s="81"/>
      <c r="T383" s="81" t="s">
        <v>703</v>
      </c>
      <c r="U383" s="81"/>
      <c r="V383" s="84" t="str">
        <f>HYPERLINK("http://pbs.twimg.com/profile_images/1250894489142640640/SGPTHHwM_normal.jpg")</f>
        <v>http://pbs.twimg.com/profile_images/1250894489142640640/SGPTHHwM_normal.jpg</v>
      </c>
      <c r="W383" s="83">
        <v>44005.34388888889</v>
      </c>
      <c r="X383" s="87">
        <v>44005</v>
      </c>
      <c r="Y383" s="89" t="s">
        <v>913</v>
      </c>
      <c r="Z383" s="84" t="str">
        <f>HYPERLINK("https://twitter.com/mrs_geog/status/1275341624063729665")</f>
        <v>https://twitter.com/mrs_geog/status/1275341624063729665</v>
      </c>
      <c r="AA383" s="81"/>
      <c r="AB383" s="81"/>
      <c r="AC383" s="89" t="s">
        <v>1123</v>
      </c>
      <c r="AD383" s="81"/>
      <c r="AE383" s="81" t="b">
        <v>0</v>
      </c>
      <c r="AF383" s="81">
        <v>0</v>
      </c>
      <c r="AG383" s="89" t="s">
        <v>1149</v>
      </c>
      <c r="AH383" s="81" t="b">
        <v>0</v>
      </c>
      <c r="AI383" s="81" t="s">
        <v>1150</v>
      </c>
      <c r="AJ383" s="81"/>
      <c r="AK383" s="89" t="s">
        <v>1149</v>
      </c>
      <c r="AL383" s="81" t="b">
        <v>0</v>
      </c>
      <c r="AM383" s="81">
        <v>16</v>
      </c>
      <c r="AN383" s="89" t="s">
        <v>1137</v>
      </c>
      <c r="AO383" s="81" t="s">
        <v>1165</v>
      </c>
      <c r="AP383" s="81" t="b">
        <v>0</v>
      </c>
      <c r="AQ383" s="89" t="s">
        <v>1137</v>
      </c>
      <c r="AR383" s="81" t="s">
        <v>325</v>
      </c>
      <c r="AS383" s="81">
        <v>0</v>
      </c>
      <c r="AT383" s="81">
        <v>0</v>
      </c>
      <c r="AU383" s="81"/>
      <c r="AV383" s="81"/>
      <c r="AW383" s="81"/>
      <c r="AX383" s="81"/>
      <c r="AY383" s="81"/>
      <c r="AZ383" s="81"/>
      <c r="BA383" s="81"/>
      <c r="BB383" s="81"/>
      <c r="BC383">
        <v>1</v>
      </c>
      <c r="BD383" s="80" t="str">
        <f>REPLACE(INDEX(GroupVertices[Group],MATCH(Edges[[#This Row],[Vertex 1]],GroupVertices[Vertex],0)),1,1,"")</f>
        <v>3</v>
      </c>
      <c r="BE383" s="80" t="str">
        <f>REPLACE(INDEX(GroupVertices[Group],MATCH(Edges[[#This Row],[Vertex 2]],GroupVertices[Vertex],0)),1,1,"")</f>
        <v>3</v>
      </c>
      <c r="BF383" s="48">
        <v>1</v>
      </c>
      <c r="BG383" s="49">
        <v>4.761904761904762</v>
      </c>
      <c r="BH383" s="48">
        <v>0</v>
      </c>
      <c r="BI383" s="49">
        <v>0</v>
      </c>
      <c r="BJ383" s="48">
        <v>0</v>
      </c>
      <c r="BK383" s="49">
        <v>0</v>
      </c>
      <c r="BL383" s="48">
        <v>20</v>
      </c>
      <c r="BM383" s="49">
        <v>95.23809523809524</v>
      </c>
      <c r="BN383" s="48">
        <v>21</v>
      </c>
    </row>
    <row r="384" spans="1:66" ht="15">
      <c r="A384" s="66" t="s">
        <v>482</v>
      </c>
      <c r="B384" s="66" t="s">
        <v>524</v>
      </c>
      <c r="C384" s="67" t="s">
        <v>3149</v>
      </c>
      <c r="D384" s="68">
        <v>4</v>
      </c>
      <c r="E384" s="69" t="s">
        <v>132</v>
      </c>
      <c r="F384" s="70">
        <v>30</v>
      </c>
      <c r="G384" s="67"/>
      <c r="H384" s="71"/>
      <c r="I384" s="72"/>
      <c r="J384" s="72"/>
      <c r="K384" s="34" t="s">
        <v>65</v>
      </c>
      <c r="L384" s="79">
        <v>384</v>
      </c>
      <c r="M384" s="79"/>
      <c r="N384" s="74"/>
      <c r="O384" s="81" t="s">
        <v>587</v>
      </c>
      <c r="P384" s="83">
        <v>44004.5056712963</v>
      </c>
      <c r="Q384" s="81" t="s">
        <v>597</v>
      </c>
      <c r="R384" s="84" t="str">
        <f>HYPERLINK("https://datajournalism.com/read/longreads/data-journalism-a-guide-for-editors")</f>
        <v>https://datajournalism.com/read/longreads/data-journalism-a-guide-for-editors</v>
      </c>
      <c r="S384" s="81" t="s">
        <v>685</v>
      </c>
      <c r="T384" s="81" t="s">
        <v>724</v>
      </c>
      <c r="U384" s="84" t="str">
        <f>HYPERLINK("https://pbs.twimg.com/media/EbHQWCaXsAAOpuH.jpg")</f>
        <v>https://pbs.twimg.com/media/EbHQWCaXsAAOpuH.jpg</v>
      </c>
      <c r="V384" s="84" t="str">
        <f>HYPERLINK("https://pbs.twimg.com/media/EbHQWCaXsAAOpuH.jpg")</f>
        <v>https://pbs.twimg.com/media/EbHQWCaXsAAOpuH.jpg</v>
      </c>
      <c r="W384" s="83">
        <v>44004.5056712963</v>
      </c>
      <c r="X384" s="87">
        <v>44004</v>
      </c>
      <c r="Y384" s="89" t="s">
        <v>914</v>
      </c>
      <c r="Z384" s="84" t="str">
        <f>HYPERLINK("https://twitter.com/datajournalism/status/1275037865118965761")</f>
        <v>https://twitter.com/datajournalism/status/1275037865118965761</v>
      </c>
      <c r="AA384" s="81"/>
      <c r="AB384" s="81"/>
      <c r="AC384" s="89" t="s">
        <v>1124</v>
      </c>
      <c r="AD384" s="81"/>
      <c r="AE384" s="81" t="b">
        <v>0</v>
      </c>
      <c r="AF384" s="81">
        <v>22</v>
      </c>
      <c r="AG384" s="89" t="s">
        <v>1149</v>
      </c>
      <c r="AH384" s="81" t="b">
        <v>0</v>
      </c>
      <c r="AI384" s="81" t="s">
        <v>1150</v>
      </c>
      <c r="AJ384" s="81"/>
      <c r="AK384" s="89" t="s">
        <v>1149</v>
      </c>
      <c r="AL384" s="81" t="b">
        <v>0</v>
      </c>
      <c r="AM384" s="81">
        <v>6</v>
      </c>
      <c r="AN384" s="89" t="s">
        <v>1149</v>
      </c>
      <c r="AO384" s="81" t="s">
        <v>1172</v>
      </c>
      <c r="AP384" s="81" t="b">
        <v>0</v>
      </c>
      <c r="AQ384" s="89" t="s">
        <v>1124</v>
      </c>
      <c r="AR384" s="81" t="s">
        <v>325</v>
      </c>
      <c r="AS384" s="81">
        <v>0</v>
      </c>
      <c r="AT384" s="81">
        <v>0</v>
      </c>
      <c r="AU384" s="81"/>
      <c r="AV384" s="81"/>
      <c r="AW384" s="81"/>
      <c r="AX384" s="81"/>
      <c r="AY384" s="81"/>
      <c r="AZ384" s="81"/>
      <c r="BA384" s="81"/>
      <c r="BB384" s="81"/>
      <c r="BC384">
        <v>1</v>
      </c>
      <c r="BD384" s="80" t="str">
        <f>REPLACE(INDEX(GroupVertices[Group],MATCH(Edges[[#This Row],[Vertex 1]],GroupVertices[Vertex],0)),1,1,"")</f>
        <v>5</v>
      </c>
      <c r="BE384" s="80" t="str">
        <f>REPLACE(INDEX(GroupVertices[Group],MATCH(Edges[[#This Row],[Vertex 2]],GroupVertices[Vertex],0)),1,1,"")</f>
        <v>5</v>
      </c>
      <c r="BF384" s="48"/>
      <c r="BG384" s="49"/>
      <c r="BH384" s="48"/>
      <c r="BI384" s="49"/>
      <c r="BJ384" s="48"/>
      <c r="BK384" s="49"/>
      <c r="BL384" s="48"/>
      <c r="BM384" s="49"/>
      <c r="BN384" s="48"/>
    </row>
    <row r="385" spans="1:66" ht="15">
      <c r="A385" s="66" t="s">
        <v>502</v>
      </c>
      <c r="B385" s="66" t="s">
        <v>524</v>
      </c>
      <c r="C385" s="67" t="s">
        <v>3149</v>
      </c>
      <c r="D385" s="68">
        <v>4</v>
      </c>
      <c r="E385" s="69" t="s">
        <v>132</v>
      </c>
      <c r="F385" s="70">
        <v>30</v>
      </c>
      <c r="G385" s="67"/>
      <c r="H385" s="71"/>
      <c r="I385" s="72"/>
      <c r="J385" s="72"/>
      <c r="K385" s="34" t="s">
        <v>65</v>
      </c>
      <c r="L385" s="79">
        <v>385</v>
      </c>
      <c r="M385" s="79"/>
      <c r="N385" s="74"/>
      <c r="O385" s="81" t="s">
        <v>588</v>
      </c>
      <c r="P385" s="83">
        <v>44005.35103009259</v>
      </c>
      <c r="Q385" s="81" t="s">
        <v>597</v>
      </c>
      <c r="R385" s="81"/>
      <c r="S385" s="81"/>
      <c r="T385" s="81" t="s">
        <v>699</v>
      </c>
      <c r="U385" s="81"/>
      <c r="V385" s="84" t="str">
        <f>HYPERLINK("http://pbs.twimg.com/profile_images/989588955376037888/bOy3ja6W_normal.jpg")</f>
        <v>http://pbs.twimg.com/profile_images/989588955376037888/bOy3ja6W_normal.jpg</v>
      </c>
      <c r="W385" s="83">
        <v>44005.35103009259</v>
      </c>
      <c r="X385" s="87">
        <v>44005</v>
      </c>
      <c r="Y385" s="89" t="s">
        <v>915</v>
      </c>
      <c r="Z385" s="84" t="str">
        <f>HYPERLINK("https://twitter.com/c_aguilargarcia/status/1275344211341172736")</f>
        <v>https://twitter.com/c_aguilargarcia/status/1275344211341172736</v>
      </c>
      <c r="AA385" s="81"/>
      <c r="AB385" s="81"/>
      <c r="AC385" s="89" t="s">
        <v>1125</v>
      </c>
      <c r="AD385" s="81"/>
      <c r="AE385" s="81" t="b">
        <v>0</v>
      </c>
      <c r="AF385" s="81">
        <v>0</v>
      </c>
      <c r="AG385" s="89" t="s">
        <v>1149</v>
      </c>
      <c r="AH385" s="81" t="b">
        <v>0</v>
      </c>
      <c r="AI385" s="81" t="s">
        <v>1150</v>
      </c>
      <c r="AJ385" s="81"/>
      <c r="AK385" s="89" t="s">
        <v>1149</v>
      </c>
      <c r="AL385" s="81" t="b">
        <v>0</v>
      </c>
      <c r="AM385" s="81">
        <v>6</v>
      </c>
      <c r="AN385" s="89" t="s">
        <v>1124</v>
      </c>
      <c r="AO385" s="81" t="s">
        <v>1176</v>
      </c>
      <c r="AP385" s="81" t="b">
        <v>0</v>
      </c>
      <c r="AQ385" s="89" t="s">
        <v>1124</v>
      </c>
      <c r="AR385" s="81" t="s">
        <v>325</v>
      </c>
      <c r="AS385" s="81">
        <v>0</v>
      </c>
      <c r="AT385" s="81">
        <v>0</v>
      </c>
      <c r="AU385" s="81"/>
      <c r="AV385" s="81"/>
      <c r="AW385" s="81"/>
      <c r="AX385" s="81"/>
      <c r="AY385" s="81"/>
      <c r="AZ385" s="81"/>
      <c r="BA385" s="81"/>
      <c r="BB385" s="81"/>
      <c r="BC385">
        <v>1</v>
      </c>
      <c r="BD385" s="80" t="str">
        <f>REPLACE(INDEX(GroupVertices[Group],MATCH(Edges[[#This Row],[Vertex 1]],GroupVertices[Vertex],0)),1,1,"")</f>
        <v>5</v>
      </c>
      <c r="BE385" s="80" t="str">
        <f>REPLACE(INDEX(GroupVertices[Group],MATCH(Edges[[#This Row],[Vertex 2]],GroupVertices[Vertex],0)),1,1,"")</f>
        <v>5</v>
      </c>
      <c r="BF385" s="48"/>
      <c r="BG385" s="49"/>
      <c r="BH385" s="48"/>
      <c r="BI385" s="49"/>
      <c r="BJ385" s="48"/>
      <c r="BK385" s="49"/>
      <c r="BL385" s="48"/>
      <c r="BM385" s="49"/>
      <c r="BN385" s="48"/>
    </row>
    <row r="386" spans="1:66" ht="15">
      <c r="A386" s="66" t="s">
        <v>482</v>
      </c>
      <c r="B386" s="66" t="s">
        <v>525</v>
      </c>
      <c r="C386" s="67" t="s">
        <v>3149</v>
      </c>
      <c r="D386" s="68">
        <v>4</v>
      </c>
      <c r="E386" s="69" t="s">
        <v>132</v>
      </c>
      <c r="F386" s="70">
        <v>30</v>
      </c>
      <c r="G386" s="67"/>
      <c r="H386" s="71"/>
      <c r="I386" s="72"/>
      <c r="J386" s="72"/>
      <c r="K386" s="34" t="s">
        <v>65</v>
      </c>
      <c r="L386" s="79">
        <v>386</v>
      </c>
      <c r="M386" s="79"/>
      <c r="N386" s="74"/>
      <c r="O386" s="81" t="s">
        <v>587</v>
      </c>
      <c r="P386" s="83">
        <v>44004.5056712963</v>
      </c>
      <c r="Q386" s="81" t="s">
        <v>597</v>
      </c>
      <c r="R386" s="84" t="str">
        <f>HYPERLINK("https://datajournalism.com/read/longreads/data-journalism-a-guide-for-editors")</f>
        <v>https://datajournalism.com/read/longreads/data-journalism-a-guide-for-editors</v>
      </c>
      <c r="S386" s="81" t="s">
        <v>685</v>
      </c>
      <c r="T386" s="81" t="s">
        <v>724</v>
      </c>
      <c r="U386" s="84" t="str">
        <f>HYPERLINK("https://pbs.twimg.com/media/EbHQWCaXsAAOpuH.jpg")</f>
        <v>https://pbs.twimg.com/media/EbHQWCaXsAAOpuH.jpg</v>
      </c>
      <c r="V386" s="84" t="str">
        <f>HYPERLINK("https://pbs.twimg.com/media/EbHQWCaXsAAOpuH.jpg")</f>
        <v>https://pbs.twimg.com/media/EbHQWCaXsAAOpuH.jpg</v>
      </c>
      <c r="W386" s="83">
        <v>44004.5056712963</v>
      </c>
      <c r="X386" s="87">
        <v>44004</v>
      </c>
      <c r="Y386" s="89" t="s">
        <v>914</v>
      </c>
      <c r="Z386" s="84" t="str">
        <f>HYPERLINK("https://twitter.com/datajournalism/status/1275037865118965761")</f>
        <v>https://twitter.com/datajournalism/status/1275037865118965761</v>
      </c>
      <c r="AA386" s="81"/>
      <c r="AB386" s="81"/>
      <c r="AC386" s="89" t="s">
        <v>1124</v>
      </c>
      <c r="AD386" s="81"/>
      <c r="AE386" s="81" t="b">
        <v>0</v>
      </c>
      <c r="AF386" s="81">
        <v>22</v>
      </c>
      <c r="AG386" s="89" t="s">
        <v>1149</v>
      </c>
      <c r="AH386" s="81" t="b">
        <v>0</v>
      </c>
      <c r="AI386" s="81" t="s">
        <v>1150</v>
      </c>
      <c r="AJ386" s="81"/>
      <c r="AK386" s="89" t="s">
        <v>1149</v>
      </c>
      <c r="AL386" s="81" t="b">
        <v>0</v>
      </c>
      <c r="AM386" s="81">
        <v>6</v>
      </c>
      <c r="AN386" s="89" t="s">
        <v>1149</v>
      </c>
      <c r="AO386" s="81" t="s">
        <v>1172</v>
      </c>
      <c r="AP386" s="81" t="b">
        <v>0</v>
      </c>
      <c r="AQ386" s="89" t="s">
        <v>1124</v>
      </c>
      <c r="AR386" s="81" t="s">
        <v>325</v>
      </c>
      <c r="AS386" s="81">
        <v>0</v>
      </c>
      <c r="AT386" s="81">
        <v>0</v>
      </c>
      <c r="AU386" s="81"/>
      <c r="AV386" s="81"/>
      <c r="AW386" s="81"/>
      <c r="AX386" s="81"/>
      <c r="AY386" s="81"/>
      <c r="AZ386" s="81"/>
      <c r="BA386" s="81"/>
      <c r="BB386" s="81"/>
      <c r="BC386">
        <v>1</v>
      </c>
      <c r="BD386" s="80" t="str">
        <f>REPLACE(INDEX(GroupVertices[Group],MATCH(Edges[[#This Row],[Vertex 1]],GroupVertices[Vertex],0)),1,1,"")</f>
        <v>5</v>
      </c>
      <c r="BE386" s="80" t="str">
        <f>REPLACE(INDEX(GroupVertices[Group],MATCH(Edges[[#This Row],[Vertex 2]],GroupVertices[Vertex],0)),1,1,"")</f>
        <v>5</v>
      </c>
      <c r="BF386" s="48">
        <v>2</v>
      </c>
      <c r="BG386" s="49">
        <v>5.555555555555555</v>
      </c>
      <c r="BH386" s="48">
        <v>0</v>
      </c>
      <c r="BI386" s="49">
        <v>0</v>
      </c>
      <c r="BJ386" s="48">
        <v>0</v>
      </c>
      <c r="BK386" s="49">
        <v>0</v>
      </c>
      <c r="BL386" s="48">
        <v>34</v>
      </c>
      <c r="BM386" s="49">
        <v>94.44444444444444</v>
      </c>
      <c r="BN386" s="48">
        <v>36</v>
      </c>
    </row>
    <row r="387" spans="1:66" ht="15">
      <c r="A387" s="66" t="s">
        <v>502</v>
      </c>
      <c r="B387" s="66" t="s">
        <v>525</v>
      </c>
      <c r="C387" s="67" t="s">
        <v>3149</v>
      </c>
      <c r="D387" s="68">
        <v>4</v>
      </c>
      <c r="E387" s="69" t="s">
        <v>132</v>
      </c>
      <c r="F387" s="70">
        <v>30</v>
      </c>
      <c r="G387" s="67"/>
      <c r="H387" s="71"/>
      <c r="I387" s="72"/>
      <c r="J387" s="72"/>
      <c r="K387" s="34" t="s">
        <v>65</v>
      </c>
      <c r="L387" s="79">
        <v>387</v>
      </c>
      <c r="M387" s="79"/>
      <c r="N387" s="74"/>
      <c r="O387" s="81" t="s">
        <v>588</v>
      </c>
      <c r="P387" s="83">
        <v>44005.35103009259</v>
      </c>
      <c r="Q387" s="81" t="s">
        <v>597</v>
      </c>
      <c r="R387" s="81"/>
      <c r="S387" s="81"/>
      <c r="T387" s="81" t="s">
        <v>699</v>
      </c>
      <c r="U387" s="81"/>
      <c r="V387" s="84" t="str">
        <f>HYPERLINK("http://pbs.twimg.com/profile_images/989588955376037888/bOy3ja6W_normal.jpg")</f>
        <v>http://pbs.twimg.com/profile_images/989588955376037888/bOy3ja6W_normal.jpg</v>
      </c>
      <c r="W387" s="83">
        <v>44005.35103009259</v>
      </c>
      <c r="X387" s="87">
        <v>44005</v>
      </c>
      <c r="Y387" s="89" t="s">
        <v>915</v>
      </c>
      <c r="Z387" s="84" t="str">
        <f>HYPERLINK("https://twitter.com/c_aguilargarcia/status/1275344211341172736")</f>
        <v>https://twitter.com/c_aguilargarcia/status/1275344211341172736</v>
      </c>
      <c r="AA387" s="81"/>
      <c r="AB387" s="81"/>
      <c r="AC387" s="89" t="s">
        <v>1125</v>
      </c>
      <c r="AD387" s="81"/>
      <c r="AE387" s="81" t="b">
        <v>0</v>
      </c>
      <c r="AF387" s="81">
        <v>0</v>
      </c>
      <c r="AG387" s="89" t="s">
        <v>1149</v>
      </c>
      <c r="AH387" s="81" t="b">
        <v>0</v>
      </c>
      <c r="AI387" s="81" t="s">
        <v>1150</v>
      </c>
      <c r="AJ387" s="81"/>
      <c r="AK387" s="89" t="s">
        <v>1149</v>
      </c>
      <c r="AL387" s="81" t="b">
        <v>0</v>
      </c>
      <c r="AM387" s="81">
        <v>6</v>
      </c>
      <c r="AN387" s="89" t="s">
        <v>1124</v>
      </c>
      <c r="AO387" s="81" t="s">
        <v>1176</v>
      </c>
      <c r="AP387" s="81" t="b">
        <v>0</v>
      </c>
      <c r="AQ387" s="89" t="s">
        <v>1124</v>
      </c>
      <c r="AR387" s="81" t="s">
        <v>325</v>
      </c>
      <c r="AS387" s="81">
        <v>0</v>
      </c>
      <c r="AT387" s="81">
        <v>0</v>
      </c>
      <c r="AU387" s="81"/>
      <c r="AV387" s="81"/>
      <c r="AW387" s="81"/>
      <c r="AX387" s="81"/>
      <c r="AY387" s="81"/>
      <c r="AZ387" s="81"/>
      <c r="BA387" s="81"/>
      <c r="BB387" s="81"/>
      <c r="BC387">
        <v>1</v>
      </c>
      <c r="BD387" s="80" t="str">
        <f>REPLACE(INDEX(GroupVertices[Group],MATCH(Edges[[#This Row],[Vertex 1]],GroupVertices[Vertex],0)),1,1,"")</f>
        <v>5</v>
      </c>
      <c r="BE387" s="80" t="str">
        <f>REPLACE(INDEX(GroupVertices[Group],MATCH(Edges[[#This Row],[Vertex 2]],GroupVertices[Vertex],0)),1,1,"")</f>
        <v>5</v>
      </c>
      <c r="BF387" s="48"/>
      <c r="BG387" s="49"/>
      <c r="BH387" s="48"/>
      <c r="BI387" s="49"/>
      <c r="BJ387" s="48"/>
      <c r="BK387" s="49"/>
      <c r="BL387" s="48"/>
      <c r="BM387" s="49"/>
      <c r="BN387" s="48"/>
    </row>
    <row r="388" spans="1:66" ht="15">
      <c r="A388" s="66" t="s">
        <v>482</v>
      </c>
      <c r="B388" s="66" t="s">
        <v>482</v>
      </c>
      <c r="C388" s="67" t="s">
        <v>3149</v>
      </c>
      <c r="D388" s="68">
        <v>4</v>
      </c>
      <c r="E388" s="69" t="s">
        <v>132</v>
      </c>
      <c r="F388" s="70">
        <v>30</v>
      </c>
      <c r="G388" s="67"/>
      <c r="H388" s="71"/>
      <c r="I388" s="72"/>
      <c r="J388" s="72"/>
      <c r="K388" s="34" t="s">
        <v>65</v>
      </c>
      <c r="L388" s="79">
        <v>388</v>
      </c>
      <c r="M388" s="79"/>
      <c r="N388" s="74"/>
      <c r="O388" s="81" t="s">
        <v>325</v>
      </c>
      <c r="P388" s="83">
        <v>44005.249918981484</v>
      </c>
      <c r="Q388" s="81" t="s">
        <v>666</v>
      </c>
      <c r="R388" s="84" t="str">
        <f>HYPERLINK("https://datajournalism.com/listen")</f>
        <v>https://datajournalism.com/listen</v>
      </c>
      <c r="S388" s="81" t="s">
        <v>685</v>
      </c>
      <c r="T388" s="81" t="s">
        <v>725</v>
      </c>
      <c r="U388" s="84" t="str">
        <f>HYPERLINK("https://pbs.twimg.com/media/EbLLSVpWoAAFv5o.jpg")</f>
        <v>https://pbs.twimg.com/media/EbLLSVpWoAAFv5o.jpg</v>
      </c>
      <c r="V388" s="84" t="str">
        <f>HYPERLINK("https://pbs.twimg.com/media/EbLLSVpWoAAFv5o.jpg")</f>
        <v>https://pbs.twimg.com/media/EbLLSVpWoAAFv5o.jpg</v>
      </c>
      <c r="W388" s="83">
        <v>44005.249918981484</v>
      </c>
      <c r="X388" s="87">
        <v>44005</v>
      </c>
      <c r="Y388" s="89" t="s">
        <v>916</v>
      </c>
      <c r="Z388" s="84" t="str">
        <f>HYPERLINK("https://twitter.com/datajournalism/status/1275307568768921607")</f>
        <v>https://twitter.com/datajournalism/status/1275307568768921607</v>
      </c>
      <c r="AA388" s="81"/>
      <c r="AB388" s="81"/>
      <c r="AC388" s="89" t="s">
        <v>1126</v>
      </c>
      <c r="AD388" s="81"/>
      <c r="AE388" s="81" t="b">
        <v>0</v>
      </c>
      <c r="AF388" s="81">
        <v>13</v>
      </c>
      <c r="AG388" s="89" t="s">
        <v>1149</v>
      </c>
      <c r="AH388" s="81" t="b">
        <v>0</v>
      </c>
      <c r="AI388" s="81" t="s">
        <v>1150</v>
      </c>
      <c r="AJ388" s="81"/>
      <c r="AK388" s="89" t="s">
        <v>1149</v>
      </c>
      <c r="AL388" s="81" t="b">
        <v>0</v>
      </c>
      <c r="AM388" s="81">
        <v>4</v>
      </c>
      <c r="AN388" s="89" t="s">
        <v>1149</v>
      </c>
      <c r="AO388" s="81" t="s">
        <v>1172</v>
      </c>
      <c r="AP388" s="81" t="b">
        <v>0</v>
      </c>
      <c r="AQ388" s="89" t="s">
        <v>1126</v>
      </c>
      <c r="AR388" s="81" t="s">
        <v>325</v>
      </c>
      <c r="AS388" s="81">
        <v>0</v>
      </c>
      <c r="AT388" s="81">
        <v>0</v>
      </c>
      <c r="AU388" s="81"/>
      <c r="AV388" s="81"/>
      <c r="AW388" s="81"/>
      <c r="AX388" s="81"/>
      <c r="AY388" s="81"/>
      <c r="AZ388" s="81"/>
      <c r="BA388" s="81"/>
      <c r="BB388" s="81"/>
      <c r="BC388">
        <v>1</v>
      </c>
      <c r="BD388" s="80" t="str">
        <f>REPLACE(INDEX(GroupVertices[Group],MATCH(Edges[[#This Row],[Vertex 1]],GroupVertices[Vertex],0)),1,1,"")</f>
        <v>5</v>
      </c>
      <c r="BE388" s="80" t="str">
        <f>REPLACE(INDEX(GroupVertices[Group],MATCH(Edges[[#This Row],[Vertex 2]],GroupVertices[Vertex],0)),1,1,"")</f>
        <v>5</v>
      </c>
      <c r="BF388" s="48">
        <v>1</v>
      </c>
      <c r="BG388" s="49">
        <v>3.7037037037037037</v>
      </c>
      <c r="BH388" s="48">
        <v>0</v>
      </c>
      <c r="BI388" s="49">
        <v>0</v>
      </c>
      <c r="BJ388" s="48">
        <v>0</v>
      </c>
      <c r="BK388" s="49">
        <v>0</v>
      </c>
      <c r="BL388" s="48">
        <v>26</v>
      </c>
      <c r="BM388" s="49">
        <v>96.29629629629629</v>
      </c>
      <c r="BN388" s="48">
        <v>27</v>
      </c>
    </row>
    <row r="389" spans="1:66" ht="15">
      <c r="A389" s="66" t="s">
        <v>502</v>
      </c>
      <c r="B389" s="66" t="s">
        <v>482</v>
      </c>
      <c r="C389" s="67" t="s">
        <v>3149</v>
      </c>
      <c r="D389" s="68">
        <v>4</v>
      </c>
      <c r="E389" s="69" t="s">
        <v>132</v>
      </c>
      <c r="F389" s="70">
        <v>30</v>
      </c>
      <c r="G389" s="67"/>
      <c r="H389" s="71"/>
      <c r="I389" s="72"/>
      <c r="J389" s="72"/>
      <c r="K389" s="34" t="s">
        <v>65</v>
      </c>
      <c r="L389" s="79">
        <v>389</v>
      </c>
      <c r="M389" s="79"/>
      <c r="N389" s="74"/>
      <c r="O389" s="81" t="s">
        <v>586</v>
      </c>
      <c r="P389" s="83">
        <v>44005.35103009259</v>
      </c>
      <c r="Q389" s="81" t="s">
        <v>597</v>
      </c>
      <c r="R389" s="81"/>
      <c r="S389" s="81"/>
      <c r="T389" s="81" t="s">
        <v>699</v>
      </c>
      <c r="U389" s="81"/>
      <c r="V389" s="84" t="str">
        <f>HYPERLINK("http://pbs.twimg.com/profile_images/989588955376037888/bOy3ja6W_normal.jpg")</f>
        <v>http://pbs.twimg.com/profile_images/989588955376037888/bOy3ja6W_normal.jpg</v>
      </c>
      <c r="W389" s="83">
        <v>44005.35103009259</v>
      </c>
      <c r="X389" s="87">
        <v>44005</v>
      </c>
      <c r="Y389" s="89" t="s">
        <v>915</v>
      </c>
      <c r="Z389" s="84" t="str">
        <f>HYPERLINK("https://twitter.com/c_aguilargarcia/status/1275344211341172736")</f>
        <v>https://twitter.com/c_aguilargarcia/status/1275344211341172736</v>
      </c>
      <c r="AA389" s="81"/>
      <c r="AB389" s="81"/>
      <c r="AC389" s="89" t="s">
        <v>1125</v>
      </c>
      <c r="AD389" s="81"/>
      <c r="AE389" s="81" t="b">
        <v>0</v>
      </c>
      <c r="AF389" s="81">
        <v>0</v>
      </c>
      <c r="AG389" s="89" t="s">
        <v>1149</v>
      </c>
      <c r="AH389" s="81" t="b">
        <v>0</v>
      </c>
      <c r="AI389" s="81" t="s">
        <v>1150</v>
      </c>
      <c r="AJ389" s="81"/>
      <c r="AK389" s="89" t="s">
        <v>1149</v>
      </c>
      <c r="AL389" s="81" t="b">
        <v>0</v>
      </c>
      <c r="AM389" s="81">
        <v>6</v>
      </c>
      <c r="AN389" s="89" t="s">
        <v>1124</v>
      </c>
      <c r="AO389" s="81" t="s">
        <v>1176</v>
      </c>
      <c r="AP389" s="81" t="b">
        <v>0</v>
      </c>
      <c r="AQ389" s="89" t="s">
        <v>1124</v>
      </c>
      <c r="AR389" s="81" t="s">
        <v>325</v>
      </c>
      <c r="AS389" s="81">
        <v>0</v>
      </c>
      <c r="AT389" s="81">
        <v>0</v>
      </c>
      <c r="AU389" s="81"/>
      <c r="AV389" s="81"/>
      <c r="AW389" s="81"/>
      <c r="AX389" s="81"/>
      <c r="AY389" s="81"/>
      <c r="AZ389" s="81"/>
      <c r="BA389" s="81"/>
      <c r="BB389" s="81"/>
      <c r="BC389">
        <v>1</v>
      </c>
      <c r="BD389" s="80" t="str">
        <f>REPLACE(INDEX(GroupVertices[Group],MATCH(Edges[[#This Row],[Vertex 1]],GroupVertices[Vertex],0)),1,1,"")</f>
        <v>5</v>
      </c>
      <c r="BE389" s="80" t="str">
        <f>REPLACE(INDEX(GroupVertices[Group],MATCH(Edges[[#This Row],[Vertex 2]],GroupVertices[Vertex],0)),1,1,"")</f>
        <v>5</v>
      </c>
      <c r="BF389" s="48">
        <v>2</v>
      </c>
      <c r="BG389" s="49">
        <v>5.555555555555555</v>
      </c>
      <c r="BH389" s="48">
        <v>0</v>
      </c>
      <c r="BI389" s="49">
        <v>0</v>
      </c>
      <c r="BJ389" s="48">
        <v>0</v>
      </c>
      <c r="BK389" s="49">
        <v>0</v>
      </c>
      <c r="BL389" s="48">
        <v>34</v>
      </c>
      <c r="BM389" s="49">
        <v>94.44444444444444</v>
      </c>
      <c r="BN389" s="48">
        <v>36</v>
      </c>
    </row>
    <row r="390" spans="1:66" ht="15">
      <c r="A390" s="66" t="s">
        <v>503</v>
      </c>
      <c r="B390" s="66" t="s">
        <v>534</v>
      </c>
      <c r="C390" s="67" t="s">
        <v>3149</v>
      </c>
      <c r="D390" s="68">
        <v>4</v>
      </c>
      <c r="E390" s="69" t="s">
        <v>132</v>
      </c>
      <c r="F390" s="70">
        <v>30</v>
      </c>
      <c r="G390" s="67"/>
      <c r="H390" s="71"/>
      <c r="I390" s="72"/>
      <c r="J390" s="72"/>
      <c r="K390" s="34" t="s">
        <v>65</v>
      </c>
      <c r="L390" s="79">
        <v>390</v>
      </c>
      <c r="M390" s="79"/>
      <c r="N390" s="74"/>
      <c r="O390" s="81" t="s">
        <v>588</v>
      </c>
      <c r="P390" s="83">
        <v>44005.35376157407</v>
      </c>
      <c r="Q390" s="81" t="s">
        <v>611</v>
      </c>
      <c r="R390" s="81"/>
      <c r="S390" s="81"/>
      <c r="T390" s="81" t="s">
        <v>711</v>
      </c>
      <c r="U390" s="81"/>
      <c r="V390" s="84" t="str">
        <f>HYPERLINK("http://pbs.twimg.com/profile_images/1194697938620035072/G9LxzJ-7_normal.jpg")</f>
        <v>http://pbs.twimg.com/profile_images/1194697938620035072/G9LxzJ-7_normal.jpg</v>
      </c>
      <c r="W390" s="83">
        <v>44005.35376157407</v>
      </c>
      <c r="X390" s="87">
        <v>44005</v>
      </c>
      <c r="Y390" s="89" t="s">
        <v>917</v>
      </c>
      <c r="Z390" s="84" t="str">
        <f>HYPERLINK("https://twitter.com/margueritesall4/status/1275345202815938564")</f>
        <v>https://twitter.com/margueritesall4/status/1275345202815938564</v>
      </c>
      <c r="AA390" s="81"/>
      <c r="AB390" s="81"/>
      <c r="AC390" s="89" t="s">
        <v>1127</v>
      </c>
      <c r="AD390" s="81"/>
      <c r="AE390" s="81" t="b">
        <v>0</v>
      </c>
      <c r="AF390" s="81">
        <v>0</v>
      </c>
      <c r="AG390" s="89" t="s">
        <v>1149</v>
      </c>
      <c r="AH390" s="81" t="b">
        <v>0</v>
      </c>
      <c r="AI390" s="81" t="s">
        <v>1150</v>
      </c>
      <c r="AJ390" s="81"/>
      <c r="AK390" s="89" t="s">
        <v>1149</v>
      </c>
      <c r="AL390" s="81" t="b">
        <v>0</v>
      </c>
      <c r="AM390" s="81">
        <v>23</v>
      </c>
      <c r="AN390" s="89" t="s">
        <v>1139</v>
      </c>
      <c r="AO390" s="81" t="s">
        <v>1165</v>
      </c>
      <c r="AP390" s="81" t="b">
        <v>0</v>
      </c>
      <c r="AQ390" s="89" t="s">
        <v>1139</v>
      </c>
      <c r="AR390" s="81" t="s">
        <v>325</v>
      </c>
      <c r="AS390" s="81">
        <v>0</v>
      </c>
      <c r="AT390" s="81">
        <v>0</v>
      </c>
      <c r="AU390" s="81"/>
      <c r="AV390" s="81"/>
      <c r="AW390" s="81"/>
      <c r="AX390" s="81"/>
      <c r="AY390" s="81"/>
      <c r="AZ390" s="81"/>
      <c r="BA390" s="81"/>
      <c r="BB390" s="81"/>
      <c r="BC390">
        <v>1</v>
      </c>
      <c r="BD390" s="80" t="str">
        <f>REPLACE(INDEX(GroupVertices[Group],MATCH(Edges[[#This Row],[Vertex 1]],GroupVertices[Vertex],0)),1,1,"")</f>
        <v>4</v>
      </c>
      <c r="BE390" s="80" t="str">
        <f>REPLACE(INDEX(GroupVertices[Group],MATCH(Edges[[#This Row],[Vertex 2]],GroupVertices[Vertex],0)),1,1,"")</f>
        <v>4</v>
      </c>
      <c r="BF390" s="48"/>
      <c r="BG390" s="49"/>
      <c r="BH390" s="48"/>
      <c r="BI390" s="49"/>
      <c r="BJ390" s="48"/>
      <c r="BK390" s="49"/>
      <c r="BL390" s="48"/>
      <c r="BM390" s="49"/>
      <c r="BN390" s="48"/>
    </row>
    <row r="391" spans="1:66" ht="15">
      <c r="A391" s="66" t="s">
        <v>503</v>
      </c>
      <c r="B391" s="66" t="s">
        <v>511</v>
      </c>
      <c r="C391" s="67" t="s">
        <v>3149</v>
      </c>
      <c r="D391" s="68">
        <v>4</v>
      </c>
      <c r="E391" s="69" t="s">
        <v>132</v>
      </c>
      <c r="F391" s="70">
        <v>30</v>
      </c>
      <c r="G391" s="67"/>
      <c r="H391" s="71"/>
      <c r="I391" s="72"/>
      <c r="J391" s="72"/>
      <c r="K391" s="34" t="s">
        <v>65</v>
      </c>
      <c r="L391" s="79">
        <v>391</v>
      </c>
      <c r="M391" s="79"/>
      <c r="N391" s="74"/>
      <c r="O391" s="81" t="s">
        <v>586</v>
      </c>
      <c r="P391" s="83">
        <v>44005.35376157407</v>
      </c>
      <c r="Q391" s="81" t="s">
        <v>611</v>
      </c>
      <c r="R391" s="81"/>
      <c r="S391" s="81"/>
      <c r="T391" s="81" t="s">
        <v>711</v>
      </c>
      <c r="U391" s="81"/>
      <c r="V391" s="84" t="str">
        <f>HYPERLINK("http://pbs.twimg.com/profile_images/1194697938620035072/G9LxzJ-7_normal.jpg")</f>
        <v>http://pbs.twimg.com/profile_images/1194697938620035072/G9LxzJ-7_normal.jpg</v>
      </c>
      <c r="W391" s="83">
        <v>44005.35376157407</v>
      </c>
      <c r="X391" s="87">
        <v>44005</v>
      </c>
      <c r="Y391" s="89" t="s">
        <v>917</v>
      </c>
      <c r="Z391" s="84" t="str">
        <f>HYPERLINK("https://twitter.com/margueritesall4/status/1275345202815938564")</f>
        <v>https://twitter.com/margueritesall4/status/1275345202815938564</v>
      </c>
      <c r="AA391" s="81"/>
      <c r="AB391" s="81"/>
      <c r="AC391" s="89" t="s">
        <v>1127</v>
      </c>
      <c r="AD391" s="81"/>
      <c r="AE391" s="81" t="b">
        <v>0</v>
      </c>
      <c r="AF391" s="81">
        <v>0</v>
      </c>
      <c r="AG391" s="89" t="s">
        <v>1149</v>
      </c>
      <c r="AH391" s="81" t="b">
        <v>0</v>
      </c>
      <c r="AI391" s="81" t="s">
        <v>1150</v>
      </c>
      <c r="AJ391" s="81"/>
      <c r="AK391" s="89" t="s">
        <v>1149</v>
      </c>
      <c r="AL391" s="81" t="b">
        <v>0</v>
      </c>
      <c r="AM391" s="81">
        <v>23</v>
      </c>
      <c r="AN391" s="89" t="s">
        <v>1139</v>
      </c>
      <c r="AO391" s="81" t="s">
        <v>1165</v>
      </c>
      <c r="AP391" s="81" t="b">
        <v>0</v>
      </c>
      <c r="AQ391" s="89" t="s">
        <v>1139</v>
      </c>
      <c r="AR391" s="81" t="s">
        <v>325</v>
      </c>
      <c r="AS391" s="81">
        <v>0</v>
      </c>
      <c r="AT391" s="81">
        <v>0</v>
      </c>
      <c r="AU391" s="81"/>
      <c r="AV391" s="81"/>
      <c r="AW391" s="81"/>
      <c r="AX391" s="81"/>
      <c r="AY391" s="81"/>
      <c r="AZ391" s="81"/>
      <c r="BA391" s="81"/>
      <c r="BB391" s="81"/>
      <c r="BC391">
        <v>1</v>
      </c>
      <c r="BD391" s="80" t="str">
        <f>REPLACE(INDEX(GroupVertices[Group],MATCH(Edges[[#This Row],[Vertex 1]],GroupVertices[Vertex],0)),1,1,"")</f>
        <v>4</v>
      </c>
      <c r="BE391" s="80" t="str">
        <f>REPLACE(INDEX(GroupVertices[Group],MATCH(Edges[[#This Row],[Vertex 2]],GroupVertices[Vertex],0)),1,1,"")</f>
        <v>4</v>
      </c>
      <c r="BF391" s="48">
        <v>1</v>
      </c>
      <c r="BG391" s="49">
        <v>3.125</v>
      </c>
      <c r="BH391" s="48">
        <v>1</v>
      </c>
      <c r="BI391" s="49">
        <v>3.125</v>
      </c>
      <c r="BJ391" s="48">
        <v>0</v>
      </c>
      <c r="BK391" s="49">
        <v>0</v>
      </c>
      <c r="BL391" s="48">
        <v>30</v>
      </c>
      <c r="BM391" s="49">
        <v>93.75</v>
      </c>
      <c r="BN391" s="48">
        <v>32</v>
      </c>
    </row>
    <row r="392" spans="1:66" ht="15">
      <c r="A392" s="66" t="s">
        <v>504</v>
      </c>
      <c r="B392" s="66" t="s">
        <v>584</v>
      </c>
      <c r="C392" s="67" t="s">
        <v>3149</v>
      </c>
      <c r="D392" s="68">
        <v>4</v>
      </c>
      <c r="E392" s="69" t="s">
        <v>132</v>
      </c>
      <c r="F392" s="70">
        <v>30</v>
      </c>
      <c r="G392" s="67"/>
      <c r="H392" s="71"/>
      <c r="I392" s="72"/>
      <c r="J392" s="72"/>
      <c r="K392" s="34" t="s">
        <v>65</v>
      </c>
      <c r="L392" s="79">
        <v>392</v>
      </c>
      <c r="M392" s="79"/>
      <c r="N392" s="74"/>
      <c r="O392" s="81" t="s">
        <v>587</v>
      </c>
      <c r="P392" s="83">
        <v>43984.491006944445</v>
      </c>
      <c r="Q392" s="81" t="s">
        <v>670</v>
      </c>
      <c r="R392" s="84" t="str">
        <f>HYPERLINK("https://dansmonlabo.com/2020/06/01/jai-repris-la-chasse-aux-cliches-dans-les-medias-et-voila-ce-que-jai-appris-1969/")</f>
        <v>https://dansmonlabo.com/2020/06/01/jai-repris-la-chasse-aux-cliches-dans-les-medias-et-voila-ce-que-jai-appris-1969/</v>
      </c>
      <c r="S392" s="81" t="s">
        <v>687</v>
      </c>
      <c r="T392" s="81" t="s">
        <v>726</v>
      </c>
      <c r="U392" s="84" t="str">
        <f>HYPERLINK("https://pbs.twimg.com/media/EZgTjC_WkAIvWLA.jpg")</f>
        <v>https://pbs.twimg.com/media/EZgTjC_WkAIvWLA.jpg</v>
      </c>
      <c r="V392" s="84" t="str">
        <f>HYPERLINK("https://pbs.twimg.com/media/EZgTjC_WkAIvWLA.jpg")</f>
        <v>https://pbs.twimg.com/media/EZgTjC_WkAIvWLA.jpg</v>
      </c>
      <c r="W392" s="83">
        <v>43984.491006944445</v>
      </c>
      <c r="X392" s="87">
        <v>43984</v>
      </c>
      <c r="Y392" s="89" t="s">
        <v>918</v>
      </c>
      <c r="Z392" s="84" t="str">
        <f>HYPERLINK("https://twitter.com/gijnfr/status/1267784790511693824")</f>
        <v>https://twitter.com/gijnfr/status/1267784790511693824</v>
      </c>
      <c r="AA392" s="81"/>
      <c r="AB392" s="81"/>
      <c r="AC392" s="89" t="s">
        <v>1128</v>
      </c>
      <c r="AD392" s="81"/>
      <c r="AE392" s="81" t="b">
        <v>0</v>
      </c>
      <c r="AF392" s="81">
        <v>5</v>
      </c>
      <c r="AG392" s="89" t="s">
        <v>1149</v>
      </c>
      <c r="AH392" s="81" t="b">
        <v>0</v>
      </c>
      <c r="AI392" s="81" t="s">
        <v>1158</v>
      </c>
      <c r="AJ392" s="81"/>
      <c r="AK392" s="89" t="s">
        <v>1149</v>
      </c>
      <c r="AL392" s="81" t="b">
        <v>0</v>
      </c>
      <c r="AM392" s="81">
        <v>8</v>
      </c>
      <c r="AN392" s="89" t="s">
        <v>1149</v>
      </c>
      <c r="AO392" s="81" t="s">
        <v>1174</v>
      </c>
      <c r="AP392" s="81" t="b">
        <v>0</v>
      </c>
      <c r="AQ392" s="89" t="s">
        <v>1128</v>
      </c>
      <c r="AR392" s="81" t="s">
        <v>586</v>
      </c>
      <c r="AS392" s="81">
        <v>0</v>
      </c>
      <c r="AT392" s="81">
        <v>0</v>
      </c>
      <c r="AU392" s="81"/>
      <c r="AV392" s="81"/>
      <c r="AW392" s="81"/>
      <c r="AX392" s="81"/>
      <c r="AY392" s="81"/>
      <c r="AZ392" s="81"/>
      <c r="BA392" s="81"/>
      <c r="BB392" s="81"/>
      <c r="BC392">
        <v>1</v>
      </c>
      <c r="BD392" s="80" t="str">
        <f>REPLACE(INDEX(GroupVertices[Group],MATCH(Edges[[#This Row],[Vertex 1]],GroupVertices[Vertex],0)),1,1,"")</f>
        <v>17</v>
      </c>
      <c r="BE392" s="80" t="str">
        <f>REPLACE(INDEX(GroupVertices[Group],MATCH(Edges[[#This Row],[Vertex 2]],GroupVertices[Vertex],0)),1,1,"")</f>
        <v>17</v>
      </c>
      <c r="BF392" s="48">
        <v>0</v>
      </c>
      <c r="BG392" s="49">
        <v>0</v>
      </c>
      <c r="BH392" s="48">
        <v>0</v>
      </c>
      <c r="BI392" s="49">
        <v>0</v>
      </c>
      <c r="BJ392" s="48">
        <v>0</v>
      </c>
      <c r="BK392" s="49">
        <v>0</v>
      </c>
      <c r="BL392" s="48">
        <v>34</v>
      </c>
      <c r="BM392" s="49">
        <v>100</v>
      </c>
      <c r="BN392" s="48">
        <v>34</v>
      </c>
    </row>
    <row r="393" spans="1:66" ht="15">
      <c r="A393" s="66" t="s">
        <v>505</v>
      </c>
      <c r="B393" s="66" t="s">
        <v>584</v>
      </c>
      <c r="C393" s="67" t="s">
        <v>3149</v>
      </c>
      <c r="D393" s="68">
        <v>4</v>
      </c>
      <c r="E393" s="69" t="s">
        <v>132</v>
      </c>
      <c r="F393" s="70">
        <v>30</v>
      </c>
      <c r="G393" s="67"/>
      <c r="H393" s="71"/>
      <c r="I393" s="72"/>
      <c r="J393" s="72"/>
      <c r="K393" s="34" t="s">
        <v>65</v>
      </c>
      <c r="L393" s="79">
        <v>393</v>
      </c>
      <c r="M393" s="79"/>
      <c r="N393" s="74"/>
      <c r="O393" s="81" t="s">
        <v>588</v>
      </c>
      <c r="P393" s="83">
        <v>44005.363020833334</v>
      </c>
      <c r="Q393" s="81" t="s">
        <v>670</v>
      </c>
      <c r="R393" s="81"/>
      <c r="S393" s="81"/>
      <c r="T393" s="81"/>
      <c r="U393" s="81"/>
      <c r="V393" s="84" t="str">
        <f>HYPERLINK("http://pbs.twimg.com/profile_images/1256574435877892097/ZvJj6ylD_normal.jpg")</f>
        <v>http://pbs.twimg.com/profile_images/1256574435877892097/ZvJj6ylD_normal.jpg</v>
      </c>
      <c r="W393" s="83">
        <v>44005.363020833334</v>
      </c>
      <c r="X393" s="87">
        <v>44005</v>
      </c>
      <c r="Y393" s="89" t="s">
        <v>919</v>
      </c>
      <c r="Z393" s="84" t="str">
        <f>HYPERLINK("https://twitter.com/yerimzwxrhjsky/status/1275348556992229376")</f>
        <v>https://twitter.com/yerimzwxrhjsky/status/1275348556992229376</v>
      </c>
      <c r="AA393" s="81"/>
      <c r="AB393" s="81"/>
      <c r="AC393" s="89" t="s">
        <v>1129</v>
      </c>
      <c r="AD393" s="81"/>
      <c r="AE393" s="81" t="b">
        <v>0</v>
      </c>
      <c r="AF393" s="81">
        <v>0</v>
      </c>
      <c r="AG393" s="89" t="s">
        <v>1149</v>
      </c>
      <c r="AH393" s="81" t="b">
        <v>0</v>
      </c>
      <c r="AI393" s="81" t="s">
        <v>1158</v>
      </c>
      <c r="AJ393" s="81"/>
      <c r="AK393" s="89" t="s">
        <v>1149</v>
      </c>
      <c r="AL393" s="81" t="b">
        <v>0</v>
      </c>
      <c r="AM393" s="81">
        <v>8</v>
      </c>
      <c r="AN393" s="89" t="s">
        <v>1128</v>
      </c>
      <c r="AO393" s="81" t="s">
        <v>1176</v>
      </c>
      <c r="AP393" s="81" t="b">
        <v>0</v>
      </c>
      <c r="AQ393" s="89" t="s">
        <v>1128</v>
      </c>
      <c r="AR393" s="81" t="s">
        <v>325</v>
      </c>
      <c r="AS393" s="81">
        <v>0</v>
      </c>
      <c r="AT393" s="81">
        <v>0</v>
      </c>
      <c r="AU393" s="81"/>
      <c r="AV393" s="81"/>
      <c r="AW393" s="81"/>
      <c r="AX393" s="81"/>
      <c r="AY393" s="81"/>
      <c r="AZ393" s="81"/>
      <c r="BA393" s="81"/>
      <c r="BB393" s="81"/>
      <c r="BC393">
        <v>1</v>
      </c>
      <c r="BD393" s="80" t="str">
        <f>REPLACE(INDEX(GroupVertices[Group],MATCH(Edges[[#This Row],[Vertex 1]],GroupVertices[Vertex],0)),1,1,"")</f>
        <v>17</v>
      </c>
      <c r="BE393" s="80" t="str">
        <f>REPLACE(INDEX(GroupVertices[Group],MATCH(Edges[[#This Row],[Vertex 2]],GroupVertices[Vertex],0)),1,1,"")</f>
        <v>17</v>
      </c>
      <c r="BF393" s="48"/>
      <c r="BG393" s="49"/>
      <c r="BH393" s="48"/>
      <c r="BI393" s="49"/>
      <c r="BJ393" s="48"/>
      <c r="BK393" s="49"/>
      <c r="BL393" s="48"/>
      <c r="BM393" s="49"/>
      <c r="BN393" s="48"/>
    </row>
    <row r="394" spans="1:66" ht="15">
      <c r="A394" s="66" t="s">
        <v>504</v>
      </c>
      <c r="B394" s="66" t="s">
        <v>504</v>
      </c>
      <c r="C394" s="67" t="s">
        <v>3151</v>
      </c>
      <c r="D394" s="68">
        <v>6</v>
      </c>
      <c r="E394" s="69" t="s">
        <v>132</v>
      </c>
      <c r="F394" s="70">
        <v>23.333333333333332</v>
      </c>
      <c r="G394" s="67"/>
      <c r="H394" s="71"/>
      <c r="I394" s="72"/>
      <c r="J394" s="72"/>
      <c r="K394" s="34" t="s">
        <v>65</v>
      </c>
      <c r="L394" s="79">
        <v>394</v>
      </c>
      <c r="M394" s="79"/>
      <c r="N394" s="74"/>
      <c r="O394" s="81" t="s">
        <v>325</v>
      </c>
      <c r="P394" s="83">
        <v>43983.60418981482</v>
      </c>
      <c r="Q394" s="81" t="s">
        <v>671</v>
      </c>
      <c r="R394" s="84" t="str">
        <f>HYPERLINK("https://gijn.org/2019/10/08/les-meilleurs-outils-pour-collecter-des-donnees-exclusives/")</f>
        <v>https://gijn.org/2019/10/08/les-meilleurs-outils-pour-collecter-des-donnees-exclusives/</v>
      </c>
      <c r="S394" s="81" t="s">
        <v>688</v>
      </c>
      <c r="T394" s="81" t="s">
        <v>707</v>
      </c>
      <c r="U394" s="84" t="str">
        <f>HYPERLINK("https://pbs.twimg.com/media/EZbvQ9PXgAAwWlN.jpg")</f>
        <v>https://pbs.twimg.com/media/EZbvQ9PXgAAwWlN.jpg</v>
      </c>
      <c r="V394" s="84" t="str">
        <f>HYPERLINK("https://pbs.twimg.com/media/EZbvQ9PXgAAwWlN.jpg")</f>
        <v>https://pbs.twimg.com/media/EZbvQ9PXgAAwWlN.jpg</v>
      </c>
      <c r="W394" s="83">
        <v>43983.60418981482</v>
      </c>
      <c r="X394" s="87">
        <v>43983</v>
      </c>
      <c r="Y394" s="89" t="s">
        <v>920</v>
      </c>
      <c r="Z394" s="84" t="str">
        <f>HYPERLINK("https://twitter.com/gijnfr/status/1267463422045798401")</f>
        <v>https://twitter.com/gijnfr/status/1267463422045798401</v>
      </c>
      <c r="AA394" s="81"/>
      <c r="AB394" s="81"/>
      <c r="AC394" s="89" t="s">
        <v>1130</v>
      </c>
      <c r="AD394" s="81"/>
      <c r="AE394" s="81" t="b">
        <v>0</v>
      </c>
      <c r="AF394" s="81">
        <v>4</v>
      </c>
      <c r="AG394" s="89" t="s">
        <v>1149</v>
      </c>
      <c r="AH394" s="81" t="b">
        <v>0</v>
      </c>
      <c r="AI394" s="81" t="s">
        <v>1158</v>
      </c>
      <c r="AJ394" s="81"/>
      <c r="AK394" s="89" t="s">
        <v>1149</v>
      </c>
      <c r="AL394" s="81" t="b">
        <v>0</v>
      </c>
      <c r="AM394" s="81">
        <v>3</v>
      </c>
      <c r="AN394" s="89" t="s">
        <v>1149</v>
      </c>
      <c r="AO394" s="81" t="s">
        <v>1174</v>
      </c>
      <c r="AP394" s="81" t="b">
        <v>0</v>
      </c>
      <c r="AQ394" s="89" t="s">
        <v>1130</v>
      </c>
      <c r="AR394" s="81" t="s">
        <v>586</v>
      </c>
      <c r="AS394" s="81">
        <v>0</v>
      </c>
      <c r="AT394" s="81">
        <v>0</v>
      </c>
      <c r="AU394" s="81"/>
      <c r="AV394" s="81"/>
      <c r="AW394" s="81"/>
      <c r="AX394" s="81"/>
      <c r="AY394" s="81"/>
      <c r="AZ394" s="81"/>
      <c r="BA394" s="81"/>
      <c r="BB394" s="81"/>
      <c r="BC394">
        <v>2</v>
      </c>
      <c r="BD394" s="80" t="str">
        <f>REPLACE(INDEX(GroupVertices[Group],MATCH(Edges[[#This Row],[Vertex 1]],GroupVertices[Vertex],0)),1,1,"")</f>
        <v>17</v>
      </c>
      <c r="BE394" s="80" t="str">
        <f>REPLACE(INDEX(GroupVertices[Group],MATCH(Edges[[#This Row],[Vertex 2]],GroupVertices[Vertex],0)),1,1,"")</f>
        <v>17</v>
      </c>
      <c r="BF394" s="48">
        <v>0</v>
      </c>
      <c r="BG394" s="49">
        <v>0</v>
      </c>
      <c r="BH394" s="48">
        <v>0</v>
      </c>
      <c r="BI394" s="49">
        <v>0</v>
      </c>
      <c r="BJ394" s="48">
        <v>0</v>
      </c>
      <c r="BK394" s="49">
        <v>0</v>
      </c>
      <c r="BL394" s="48">
        <v>17</v>
      </c>
      <c r="BM394" s="49">
        <v>100</v>
      </c>
      <c r="BN394" s="48">
        <v>17</v>
      </c>
    </row>
    <row r="395" spans="1:66" ht="15">
      <c r="A395" s="66" t="s">
        <v>504</v>
      </c>
      <c r="B395" s="66" t="s">
        <v>504</v>
      </c>
      <c r="C395" s="67" t="s">
        <v>3151</v>
      </c>
      <c r="D395" s="68">
        <v>6</v>
      </c>
      <c r="E395" s="69" t="s">
        <v>132</v>
      </c>
      <c r="F395" s="70">
        <v>23.333333333333332</v>
      </c>
      <c r="G395" s="67"/>
      <c r="H395" s="71"/>
      <c r="I395" s="72"/>
      <c r="J395" s="72"/>
      <c r="K395" s="34" t="s">
        <v>65</v>
      </c>
      <c r="L395" s="79">
        <v>395</v>
      </c>
      <c r="M395" s="79"/>
      <c r="N395" s="74"/>
      <c r="O395" s="81" t="s">
        <v>325</v>
      </c>
      <c r="P395" s="83">
        <v>43996.39586805556</v>
      </c>
      <c r="Q395" s="81" t="s">
        <v>672</v>
      </c>
      <c r="R395" s="84" t="str">
        <f>HYPERLINK("https://gijn.org/2020/06/11/data-journalism-top-10-black-lives-matter-protests-police-shootings-questions-on-covid-19-research-site-russian-orphans/")</f>
        <v>https://gijn.org/2020/06/11/data-journalism-top-10-black-lives-matter-protests-police-shootings-questions-on-covid-19-research-site-russian-orphans/</v>
      </c>
      <c r="S395" s="81" t="s">
        <v>688</v>
      </c>
      <c r="T395" s="81" t="s">
        <v>707</v>
      </c>
      <c r="U395" s="84" t="str">
        <f>HYPERLINK("https://pbs.twimg.com/media/EadnRXEWoAMi0pT.jpg")</f>
        <v>https://pbs.twimg.com/media/EadnRXEWoAMi0pT.jpg</v>
      </c>
      <c r="V395" s="84" t="str">
        <f>HYPERLINK("https://pbs.twimg.com/media/EadnRXEWoAMi0pT.jpg")</f>
        <v>https://pbs.twimg.com/media/EadnRXEWoAMi0pT.jpg</v>
      </c>
      <c r="W395" s="83">
        <v>43996.39586805556</v>
      </c>
      <c r="X395" s="87">
        <v>43996</v>
      </c>
      <c r="Y395" s="89" t="s">
        <v>921</v>
      </c>
      <c r="Z395" s="84" t="str">
        <f>HYPERLINK("https://twitter.com/gijnfr/status/1272098969204785159")</f>
        <v>https://twitter.com/gijnfr/status/1272098969204785159</v>
      </c>
      <c r="AA395" s="81"/>
      <c r="AB395" s="81"/>
      <c r="AC395" s="89" t="s">
        <v>1131</v>
      </c>
      <c r="AD395" s="81"/>
      <c r="AE395" s="81" t="b">
        <v>0</v>
      </c>
      <c r="AF395" s="81">
        <v>1</v>
      </c>
      <c r="AG395" s="89" t="s">
        <v>1149</v>
      </c>
      <c r="AH395" s="81" t="b">
        <v>0</v>
      </c>
      <c r="AI395" s="81" t="s">
        <v>1158</v>
      </c>
      <c r="AJ395" s="81"/>
      <c r="AK395" s="89" t="s">
        <v>1149</v>
      </c>
      <c r="AL395" s="81" t="b">
        <v>0</v>
      </c>
      <c r="AM395" s="81">
        <v>1</v>
      </c>
      <c r="AN395" s="89" t="s">
        <v>1149</v>
      </c>
      <c r="AO395" s="81" t="s">
        <v>1174</v>
      </c>
      <c r="AP395" s="81" t="b">
        <v>0</v>
      </c>
      <c r="AQ395" s="89" t="s">
        <v>1131</v>
      </c>
      <c r="AR395" s="81" t="s">
        <v>586</v>
      </c>
      <c r="AS395" s="81">
        <v>0</v>
      </c>
      <c r="AT395" s="81">
        <v>0</v>
      </c>
      <c r="AU395" s="81"/>
      <c r="AV395" s="81"/>
      <c r="AW395" s="81"/>
      <c r="AX395" s="81"/>
      <c r="AY395" s="81"/>
      <c r="AZ395" s="81"/>
      <c r="BA395" s="81"/>
      <c r="BB395" s="81"/>
      <c r="BC395">
        <v>2</v>
      </c>
      <c r="BD395" s="80" t="str">
        <f>REPLACE(INDEX(GroupVertices[Group],MATCH(Edges[[#This Row],[Vertex 1]],GroupVertices[Vertex],0)),1,1,"")</f>
        <v>17</v>
      </c>
      <c r="BE395" s="80" t="str">
        <f>REPLACE(INDEX(GroupVertices[Group],MATCH(Edges[[#This Row],[Vertex 2]],GroupVertices[Vertex],0)),1,1,"")</f>
        <v>17</v>
      </c>
      <c r="BF395" s="48">
        <v>1</v>
      </c>
      <c r="BG395" s="49">
        <v>5.555555555555555</v>
      </c>
      <c r="BH395" s="48">
        <v>0</v>
      </c>
      <c r="BI395" s="49">
        <v>0</v>
      </c>
      <c r="BJ395" s="48">
        <v>0</v>
      </c>
      <c r="BK395" s="49">
        <v>0</v>
      </c>
      <c r="BL395" s="48">
        <v>17</v>
      </c>
      <c r="BM395" s="49">
        <v>94.44444444444444</v>
      </c>
      <c r="BN395" s="48">
        <v>18</v>
      </c>
    </row>
    <row r="396" spans="1:66" ht="15">
      <c r="A396" s="66" t="s">
        <v>505</v>
      </c>
      <c r="B396" s="66" t="s">
        <v>504</v>
      </c>
      <c r="C396" s="67" t="s">
        <v>3152</v>
      </c>
      <c r="D396" s="68">
        <v>8</v>
      </c>
      <c r="E396" s="69" t="s">
        <v>132</v>
      </c>
      <c r="F396" s="70">
        <v>16.666666666666664</v>
      </c>
      <c r="G396" s="67"/>
      <c r="H396" s="71"/>
      <c r="I396" s="72"/>
      <c r="J396" s="72"/>
      <c r="K396" s="34" t="s">
        <v>65</v>
      </c>
      <c r="L396" s="79">
        <v>396</v>
      </c>
      <c r="M396" s="79"/>
      <c r="N396" s="74"/>
      <c r="O396" s="81" t="s">
        <v>586</v>
      </c>
      <c r="P396" s="83">
        <v>44005.36300925926</v>
      </c>
      <c r="Q396" s="81" t="s">
        <v>671</v>
      </c>
      <c r="R396" s="81"/>
      <c r="S396" s="81"/>
      <c r="T396" s="81"/>
      <c r="U396" s="81"/>
      <c r="V396" s="84" t="str">
        <f>HYPERLINK("http://pbs.twimg.com/profile_images/1256574435877892097/ZvJj6ylD_normal.jpg")</f>
        <v>http://pbs.twimg.com/profile_images/1256574435877892097/ZvJj6ylD_normal.jpg</v>
      </c>
      <c r="W396" s="83">
        <v>44005.36300925926</v>
      </c>
      <c r="X396" s="87">
        <v>44005</v>
      </c>
      <c r="Y396" s="89" t="s">
        <v>922</v>
      </c>
      <c r="Z396" s="84" t="str">
        <f>HYPERLINK("https://twitter.com/yerimzwxrhjsky/status/1275348554173812736")</f>
        <v>https://twitter.com/yerimzwxrhjsky/status/1275348554173812736</v>
      </c>
      <c r="AA396" s="81"/>
      <c r="AB396" s="81"/>
      <c r="AC396" s="89" t="s">
        <v>1132</v>
      </c>
      <c r="AD396" s="81"/>
      <c r="AE396" s="81" t="b">
        <v>0</v>
      </c>
      <c r="AF396" s="81">
        <v>0</v>
      </c>
      <c r="AG396" s="89" t="s">
        <v>1149</v>
      </c>
      <c r="AH396" s="81" t="b">
        <v>0</v>
      </c>
      <c r="AI396" s="81" t="s">
        <v>1158</v>
      </c>
      <c r="AJ396" s="81"/>
      <c r="AK396" s="89" t="s">
        <v>1149</v>
      </c>
      <c r="AL396" s="81" t="b">
        <v>0</v>
      </c>
      <c r="AM396" s="81">
        <v>3</v>
      </c>
      <c r="AN396" s="89" t="s">
        <v>1130</v>
      </c>
      <c r="AO396" s="81" t="s">
        <v>1176</v>
      </c>
      <c r="AP396" s="81" t="b">
        <v>0</v>
      </c>
      <c r="AQ396" s="89" t="s">
        <v>1130</v>
      </c>
      <c r="AR396" s="81" t="s">
        <v>325</v>
      </c>
      <c r="AS396" s="81">
        <v>0</v>
      </c>
      <c r="AT396" s="81">
        <v>0</v>
      </c>
      <c r="AU396" s="81"/>
      <c r="AV396" s="81"/>
      <c r="AW396" s="81"/>
      <c r="AX396" s="81"/>
      <c r="AY396" s="81"/>
      <c r="AZ396" s="81"/>
      <c r="BA396" s="81"/>
      <c r="BB396" s="81"/>
      <c r="BC396">
        <v>3</v>
      </c>
      <c r="BD396" s="80" t="str">
        <f>REPLACE(INDEX(GroupVertices[Group],MATCH(Edges[[#This Row],[Vertex 1]],GroupVertices[Vertex],0)),1,1,"")</f>
        <v>17</v>
      </c>
      <c r="BE396" s="80" t="str">
        <f>REPLACE(INDEX(GroupVertices[Group],MATCH(Edges[[#This Row],[Vertex 2]],GroupVertices[Vertex],0)),1,1,"")</f>
        <v>17</v>
      </c>
      <c r="BF396" s="48">
        <v>0</v>
      </c>
      <c r="BG396" s="49">
        <v>0</v>
      </c>
      <c r="BH396" s="48">
        <v>0</v>
      </c>
      <c r="BI396" s="49">
        <v>0</v>
      </c>
      <c r="BJ396" s="48">
        <v>0</v>
      </c>
      <c r="BK396" s="49">
        <v>0</v>
      </c>
      <c r="BL396" s="48">
        <v>17</v>
      </c>
      <c r="BM396" s="49">
        <v>100</v>
      </c>
      <c r="BN396" s="48">
        <v>17</v>
      </c>
    </row>
    <row r="397" spans="1:66" ht="15">
      <c r="A397" s="66" t="s">
        <v>505</v>
      </c>
      <c r="B397" s="66" t="s">
        <v>504</v>
      </c>
      <c r="C397" s="67" t="s">
        <v>3152</v>
      </c>
      <c r="D397" s="68">
        <v>8</v>
      </c>
      <c r="E397" s="69" t="s">
        <v>132</v>
      </c>
      <c r="F397" s="70">
        <v>16.666666666666664</v>
      </c>
      <c r="G397" s="67"/>
      <c r="H397" s="71"/>
      <c r="I397" s="72"/>
      <c r="J397" s="72"/>
      <c r="K397" s="34" t="s">
        <v>65</v>
      </c>
      <c r="L397" s="79">
        <v>397</v>
      </c>
      <c r="M397" s="79"/>
      <c r="N397" s="74"/>
      <c r="O397" s="81" t="s">
        <v>586</v>
      </c>
      <c r="P397" s="83">
        <v>44005.363020833334</v>
      </c>
      <c r="Q397" s="81" t="s">
        <v>670</v>
      </c>
      <c r="R397" s="81"/>
      <c r="S397" s="81"/>
      <c r="T397" s="81"/>
      <c r="U397" s="81"/>
      <c r="V397" s="84" t="str">
        <f>HYPERLINK("http://pbs.twimg.com/profile_images/1256574435877892097/ZvJj6ylD_normal.jpg")</f>
        <v>http://pbs.twimg.com/profile_images/1256574435877892097/ZvJj6ylD_normal.jpg</v>
      </c>
      <c r="W397" s="83">
        <v>44005.363020833334</v>
      </c>
      <c r="X397" s="87">
        <v>44005</v>
      </c>
      <c r="Y397" s="89" t="s">
        <v>919</v>
      </c>
      <c r="Z397" s="84" t="str">
        <f>HYPERLINK("https://twitter.com/yerimzwxrhjsky/status/1275348556992229376")</f>
        <v>https://twitter.com/yerimzwxrhjsky/status/1275348556992229376</v>
      </c>
      <c r="AA397" s="81"/>
      <c r="AB397" s="81"/>
      <c r="AC397" s="89" t="s">
        <v>1129</v>
      </c>
      <c r="AD397" s="81"/>
      <c r="AE397" s="81" t="b">
        <v>0</v>
      </c>
      <c r="AF397" s="81">
        <v>0</v>
      </c>
      <c r="AG397" s="89" t="s">
        <v>1149</v>
      </c>
      <c r="AH397" s="81" t="b">
        <v>0</v>
      </c>
      <c r="AI397" s="81" t="s">
        <v>1158</v>
      </c>
      <c r="AJ397" s="81"/>
      <c r="AK397" s="89" t="s">
        <v>1149</v>
      </c>
      <c r="AL397" s="81" t="b">
        <v>0</v>
      </c>
      <c r="AM397" s="81">
        <v>8</v>
      </c>
      <c r="AN397" s="89" t="s">
        <v>1128</v>
      </c>
      <c r="AO397" s="81" t="s">
        <v>1176</v>
      </c>
      <c r="AP397" s="81" t="b">
        <v>0</v>
      </c>
      <c r="AQ397" s="89" t="s">
        <v>1128</v>
      </c>
      <c r="AR397" s="81" t="s">
        <v>325</v>
      </c>
      <c r="AS397" s="81">
        <v>0</v>
      </c>
      <c r="AT397" s="81">
        <v>0</v>
      </c>
      <c r="AU397" s="81"/>
      <c r="AV397" s="81"/>
      <c r="AW397" s="81"/>
      <c r="AX397" s="81"/>
      <c r="AY397" s="81"/>
      <c r="AZ397" s="81"/>
      <c r="BA397" s="81"/>
      <c r="BB397" s="81"/>
      <c r="BC397">
        <v>3</v>
      </c>
      <c r="BD397" s="80" t="str">
        <f>REPLACE(INDEX(GroupVertices[Group],MATCH(Edges[[#This Row],[Vertex 1]],GroupVertices[Vertex],0)),1,1,"")</f>
        <v>17</v>
      </c>
      <c r="BE397" s="80" t="str">
        <f>REPLACE(INDEX(GroupVertices[Group],MATCH(Edges[[#This Row],[Vertex 2]],GroupVertices[Vertex],0)),1,1,"")</f>
        <v>17</v>
      </c>
      <c r="BF397" s="48">
        <v>0</v>
      </c>
      <c r="BG397" s="49">
        <v>0</v>
      </c>
      <c r="BH397" s="48">
        <v>0</v>
      </c>
      <c r="BI397" s="49">
        <v>0</v>
      </c>
      <c r="BJ397" s="48">
        <v>0</v>
      </c>
      <c r="BK397" s="49">
        <v>0</v>
      </c>
      <c r="BL397" s="48">
        <v>34</v>
      </c>
      <c r="BM397" s="49">
        <v>100</v>
      </c>
      <c r="BN397" s="48">
        <v>34</v>
      </c>
    </row>
    <row r="398" spans="1:66" ht="15">
      <c r="A398" s="66" t="s">
        <v>505</v>
      </c>
      <c r="B398" s="66" t="s">
        <v>504</v>
      </c>
      <c r="C398" s="67" t="s">
        <v>3152</v>
      </c>
      <c r="D398" s="68">
        <v>8</v>
      </c>
      <c r="E398" s="69" t="s">
        <v>132</v>
      </c>
      <c r="F398" s="70">
        <v>16.666666666666664</v>
      </c>
      <c r="G398" s="67"/>
      <c r="H398" s="71"/>
      <c r="I398" s="72"/>
      <c r="J398" s="72"/>
      <c r="K398" s="34" t="s">
        <v>65</v>
      </c>
      <c r="L398" s="79">
        <v>398</v>
      </c>
      <c r="M398" s="79"/>
      <c r="N398" s="74"/>
      <c r="O398" s="81" t="s">
        <v>586</v>
      </c>
      <c r="P398" s="83">
        <v>44005.36311342593</v>
      </c>
      <c r="Q398" s="81" t="s">
        <v>672</v>
      </c>
      <c r="R398" s="84" t="str">
        <f>HYPERLINK("https://gijn.org/2020/06/11/data-journalism-top-10-black-lives-matter-protests-police-shootings-questions-on-covid-19-research-site-russian-orphans/")</f>
        <v>https://gijn.org/2020/06/11/data-journalism-top-10-black-lives-matter-protests-police-shootings-questions-on-covid-19-research-site-russian-orphans/</v>
      </c>
      <c r="S398" s="81" t="s">
        <v>688</v>
      </c>
      <c r="T398" s="81" t="s">
        <v>707</v>
      </c>
      <c r="U398" s="81"/>
      <c r="V398" s="84" t="str">
        <f>HYPERLINK("http://pbs.twimg.com/profile_images/1256574435877892097/ZvJj6ylD_normal.jpg")</f>
        <v>http://pbs.twimg.com/profile_images/1256574435877892097/ZvJj6ylD_normal.jpg</v>
      </c>
      <c r="W398" s="83">
        <v>44005.36311342593</v>
      </c>
      <c r="X398" s="87">
        <v>44005</v>
      </c>
      <c r="Y398" s="89" t="s">
        <v>923</v>
      </c>
      <c r="Z398" s="84" t="str">
        <f>HYPERLINK("https://twitter.com/yerimzwxrhjsky/status/1275348591045824512")</f>
        <v>https://twitter.com/yerimzwxrhjsky/status/1275348591045824512</v>
      </c>
      <c r="AA398" s="81"/>
      <c r="AB398" s="81"/>
      <c r="AC398" s="89" t="s">
        <v>1133</v>
      </c>
      <c r="AD398" s="81"/>
      <c r="AE398" s="81" t="b">
        <v>0</v>
      </c>
      <c r="AF398" s="81">
        <v>0</v>
      </c>
      <c r="AG398" s="89" t="s">
        <v>1149</v>
      </c>
      <c r="AH398" s="81" t="b">
        <v>0</v>
      </c>
      <c r="AI398" s="81" t="s">
        <v>1158</v>
      </c>
      <c r="AJ398" s="81"/>
      <c r="AK398" s="89" t="s">
        <v>1149</v>
      </c>
      <c r="AL398" s="81" t="b">
        <v>0</v>
      </c>
      <c r="AM398" s="81">
        <v>1</v>
      </c>
      <c r="AN398" s="89" t="s">
        <v>1131</v>
      </c>
      <c r="AO398" s="81" t="s">
        <v>1176</v>
      </c>
      <c r="AP398" s="81" t="b">
        <v>0</v>
      </c>
      <c r="AQ398" s="89" t="s">
        <v>1131</v>
      </c>
      <c r="AR398" s="81" t="s">
        <v>325</v>
      </c>
      <c r="AS398" s="81">
        <v>0</v>
      </c>
      <c r="AT398" s="81">
        <v>0</v>
      </c>
      <c r="AU398" s="81"/>
      <c r="AV398" s="81"/>
      <c r="AW398" s="81"/>
      <c r="AX398" s="81"/>
      <c r="AY398" s="81"/>
      <c r="AZ398" s="81"/>
      <c r="BA398" s="81"/>
      <c r="BB398" s="81"/>
      <c r="BC398">
        <v>3</v>
      </c>
      <c r="BD398" s="80" t="str">
        <f>REPLACE(INDEX(GroupVertices[Group],MATCH(Edges[[#This Row],[Vertex 1]],GroupVertices[Vertex],0)),1,1,"")</f>
        <v>17</v>
      </c>
      <c r="BE398" s="80" t="str">
        <f>REPLACE(INDEX(GroupVertices[Group],MATCH(Edges[[#This Row],[Vertex 2]],GroupVertices[Vertex],0)),1,1,"")</f>
        <v>17</v>
      </c>
      <c r="BF398" s="48">
        <v>1</v>
      </c>
      <c r="BG398" s="49">
        <v>5.555555555555555</v>
      </c>
      <c r="BH398" s="48">
        <v>0</v>
      </c>
      <c r="BI398" s="49">
        <v>0</v>
      </c>
      <c r="BJ398" s="48">
        <v>0</v>
      </c>
      <c r="BK398" s="49">
        <v>0</v>
      </c>
      <c r="BL398" s="48">
        <v>17</v>
      </c>
      <c r="BM398" s="49">
        <v>94.44444444444444</v>
      </c>
      <c r="BN398" s="48">
        <v>18</v>
      </c>
    </row>
    <row r="399" spans="1:66" ht="15">
      <c r="A399" s="66" t="s">
        <v>506</v>
      </c>
      <c r="B399" s="66" t="s">
        <v>526</v>
      </c>
      <c r="C399" s="67" t="s">
        <v>3149</v>
      </c>
      <c r="D399" s="68">
        <v>4</v>
      </c>
      <c r="E399" s="69" t="s">
        <v>132</v>
      </c>
      <c r="F399" s="70">
        <v>30</v>
      </c>
      <c r="G399" s="67"/>
      <c r="H399" s="71"/>
      <c r="I399" s="72"/>
      <c r="J399" s="72"/>
      <c r="K399" s="34" t="s">
        <v>65</v>
      </c>
      <c r="L399" s="79">
        <v>399</v>
      </c>
      <c r="M399" s="79"/>
      <c r="N399" s="74"/>
      <c r="O399" s="81" t="s">
        <v>588</v>
      </c>
      <c r="P399" s="83">
        <v>44005.37815972222</v>
      </c>
      <c r="Q399" s="81" t="s">
        <v>612</v>
      </c>
      <c r="R399" s="81"/>
      <c r="S399" s="81"/>
      <c r="T399" s="81" t="s">
        <v>703</v>
      </c>
      <c r="U399" s="81"/>
      <c r="V399" s="84" t="str">
        <f>HYPERLINK("http://pbs.twimg.com/profile_images/796294771627229184/XdmrGDXr_normal.jpg")</f>
        <v>http://pbs.twimg.com/profile_images/796294771627229184/XdmrGDXr_normal.jpg</v>
      </c>
      <c r="W399" s="83">
        <v>44005.37815972222</v>
      </c>
      <c r="X399" s="87">
        <v>44005</v>
      </c>
      <c r="Y399" s="89" t="s">
        <v>924</v>
      </c>
      <c r="Z399" s="84" t="str">
        <f>HYPERLINK("https://twitter.com/bsp_sscgeo/status/1275354044882653184")</f>
        <v>https://twitter.com/bsp_sscgeo/status/1275354044882653184</v>
      </c>
      <c r="AA399" s="81"/>
      <c r="AB399" s="81"/>
      <c r="AC399" s="89" t="s">
        <v>1134</v>
      </c>
      <c r="AD399" s="81"/>
      <c r="AE399" s="81" t="b">
        <v>0</v>
      </c>
      <c r="AF399" s="81">
        <v>0</v>
      </c>
      <c r="AG399" s="89" t="s">
        <v>1149</v>
      </c>
      <c r="AH399" s="81" t="b">
        <v>0</v>
      </c>
      <c r="AI399" s="81" t="s">
        <v>1150</v>
      </c>
      <c r="AJ399" s="81"/>
      <c r="AK399" s="89" t="s">
        <v>1149</v>
      </c>
      <c r="AL399" s="81" t="b">
        <v>0</v>
      </c>
      <c r="AM399" s="81">
        <v>16</v>
      </c>
      <c r="AN399" s="89" t="s">
        <v>1137</v>
      </c>
      <c r="AO399" s="81" t="s">
        <v>1172</v>
      </c>
      <c r="AP399" s="81" t="b">
        <v>0</v>
      </c>
      <c r="AQ399" s="89" t="s">
        <v>1137</v>
      </c>
      <c r="AR399" s="81" t="s">
        <v>325</v>
      </c>
      <c r="AS399" s="81">
        <v>0</v>
      </c>
      <c r="AT399" s="81">
        <v>0</v>
      </c>
      <c r="AU399" s="81"/>
      <c r="AV399" s="81"/>
      <c r="AW399" s="81"/>
      <c r="AX399" s="81"/>
      <c r="AY399" s="81"/>
      <c r="AZ399" s="81"/>
      <c r="BA399" s="81"/>
      <c r="BB399" s="81"/>
      <c r="BC399">
        <v>1</v>
      </c>
      <c r="BD399" s="80" t="str">
        <f>REPLACE(INDEX(GroupVertices[Group],MATCH(Edges[[#This Row],[Vertex 1]],GroupVertices[Vertex],0)),1,1,"")</f>
        <v>3</v>
      </c>
      <c r="BE399" s="80" t="str">
        <f>REPLACE(INDEX(GroupVertices[Group],MATCH(Edges[[#This Row],[Vertex 2]],GroupVertices[Vertex],0)),1,1,"")</f>
        <v>3</v>
      </c>
      <c r="BF399" s="48"/>
      <c r="BG399" s="49"/>
      <c r="BH399" s="48"/>
      <c r="BI399" s="49"/>
      <c r="BJ399" s="48"/>
      <c r="BK399" s="49"/>
      <c r="BL399" s="48"/>
      <c r="BM399" s="49"/>
      <c r="BN399" s="48"/>
    </row>
    <row r="400" spans="1:66" ht="15">
      <c r="A400" s="66" t="s">
        <v>506</v>
      </c>
      <c r="B400" s="66" t="s">
        <v>527</v>
      </c>
      <c r="C400" s="67" t="s">
        <v>3149</v>
      </c>
      <c r="D400" s="68">
        <v>4</v>
      </c>
      <c r="E400" s="69" t="s">
        <v>132</v>
      </c>
      <c r="F400" s="70">
        <v>30</v>
      </c>
      <c r="G400" s="67"/>
      <c r="H400" s="71"/>
      <c r="I400" s="72"/>
      <c r="J400" s="72"/>
      <c r="K400" s="34" t="s">
        <v>65</v>
      </c>
      <c r="L400" s="79">
        <v>400</v>
      </c>
      <c r="M400" s="79"/>
      <c r="N400" s="74"/>
      <c r="O400" s="81" t="s">
        <v>588</v>
      </c>
      <c r="P400" s="83">
        <v>44005.37815972222</v>
      </c>
      <c r="Q400" s="81" t="s">
        <v>612</v>
      </c>
      <c r="R400" s="81"/>
      <c r="S400" s="81"/>
      <c r="T400" s="81" t="s">
        <v>703</v>
      </c>
      <c r="U400" s="81"/>
      <c r="V400" s="84" t="str">
        <f>HYPERLINK("http://pbs.twimg.com/profile_images/796294771627229184/XdmrGDXr_normal.jpg")</f>
        <v>http://pbs.twimg.com/profile_images/796294771627229184/XdmrGDXr_normal.jpg</v>
      </c>
      <c r="W400" s="83">
        <v>44005.37815972222</v>
      </c>
      <c r="X400" s="87">
        <v>44005</v>
      </c>
      <c r="Y400" s="89" t="s">
        <v>924</v>
      </c>
      <c r="Z400" s="84" t="str">
        <f>HYPERLINK("https://twitter.com/bsp_sscgeo/status/1275354044882653184")</f>
        <v>https://twitter.com/bsp_sscgeo/status/1275354044882653184</v>
      </c>
      <c r="AA400" s="81"/>
      <c r="AB400" s="81"/>
      <c r="AC400" s="89" t="s">
        <v>1134</v>
      </c>
      <c r="AD400" s="81"/>
      <c r="AE400" s="81" t="b">
        <v>0</v>
      </c>
      <c r="AF400" s="81">
        <v>0</v>
      </c>
      <c r="AG400" s="89" t="s">
        <v>1149</v>
      </c>
      <c r="AH400" s="81" t="b">
        <v>0</v>
      </c>
      <c r="AI400" s="81" t="s">
        <v>1150</v>
      </c>
      <c r="AJ400" s="81"/>
      <c r="AK400" s="89" t="s">
        <v>1149</v>
      </c>
      <c r="AL400" s="81" t="b">
        <v>0</v>
      </c>
      <c r="AM400" s="81">
        <v>16</v>
      </c>
      <c r="AN400" s="89" t="s">
        <v>1137</v>
      </c>
      <c r="AO400" s="81" t="s">
        <v>1172</v>
      </c>
      <c r="AP400" s="81" t="b">
        <v>0</v>
      </c>
      <c r="AQ400" s="89" t="s">
        <v>1137</v>
      </c>
      <c r="AR400" s="81" t="s">
        <v>325</v>
      </c>
      <c r="AS400" s="81">
        <v>0</v>
      </c>
      <c r="AT400" s="81">
        <v>0</v>
      </c>
      <c r="AU400" s="81"/>
      <c r="AV400" s="81"/>
      <c r="AW400" s="81"/>
      <c r="AX400" s="81"/>
      <c r="AY400" s="81"/>
      <c r="AZ400" s="81"/>
      <c r="BA400" s="81"/>
      <c r="BB400" s="81"/>
      <c r="BC400">
        <v>1</v>
      </c>
      <c r="BD400" s="80" t="str">
        <f>REPLACE(INDEX(GroupVertices[Group],MATCH(Edges[[#This Row],[Vertex 1]],GroupVertices[Vertex],0)),1,1,"")</f>
        <v>3</v>
      </c>
      <c r="BE400" s="80" t="str">
        <f>REPLACE(INDEX(GroupVertices[Group],MATCH(Edges[[#This Row],[Vertex 2]],GroupVertices[Vertex],0)),1,1,"")</f>
        <v>3</v>
      </c>
      <c r="BF400" s="48"/>
      <c r="BG400" s="49"/>
      <c r="BH400" s="48"/>
      <c r="BI400" s="49"/>
      <c r="BJ400" s="48"/>
      <c r="BK400" s="49"/>
      <c r="BL400" s="48"/>
      <c r="BM400" s="49"/>
      <c r="BN400" s="48"/>
    </row>
    <row r="401" spans="1:66" ht="15">
      <c r="A401" s="66" t="s">
        <v>506</v>
      </c>
      <c r="B401" s="66" t="s">
        <v>509</v>
      </c>
      <c r="C401" s="67" t="s">
        <v>3149</v>
      </c>
      <c r="D401" s="68">
        <v>4</v>
      </c>
      <c r="E401" s="69" t="s">
        <v>132</v>
      </c>
      <c r="F401" s="70">
        <v>30</v>
      </c>
      <c r="G401" s="67"/>
      <c r="H401" s="71"/>
      <c r="I401" s="72"/>
      <c r="J401" s="72"/>
      <c r="K401" s="34" t="s">
        <v>65</v>
      </c>
      <c r="L401" s="79">
        <v>401</v>
      </c>
      <c r="M401" s="79"/>
      <c r="N401" s="74"/>
      <c r="O401" s="81" t="s">
        <v>586</v>
      </c>
      <c r="P401" s="83">
        <v>44005.37815972222</v>
      </c>
      <c r="Q401" s="81" t="s">
        <v>612</v>
      </c>
      <c r="R401" s="81"/>
      <c r="S401" s="81"/>
      <c r="T401" s="81" t="s">
        <v>703</v>
      </c>
      <c r="U401" s="81"/>
      <c r="V401" s="84" t="str">
        <f>HYPERLINK("http://pbs.twimg.com/profile_images/796294771627229184/XdmrGDXr_normal.jpg")</f>
        <v>http://pbs.twimg.com/profile_images/796294771627229184/XdmrGDXr_normal.jpg</v>
      </c>
      <c r="W401" s="83">
        <v>44005.37815972222</v>
      </c>
      <c r="X401" s="87">
        <v>44005</v>
      </c>
      <c r="Y401" s="89" t="s">
        <v>924</v>
      </c>
      <c r="Z401" s="84" t="str">
        <f>HYPERLINK("https://twitter.com/bsp_sscgeo/status/1275354044882653184")</f>
        <v>https://twitter.com/bsp_sscgeo/status/1275354044882653184</v>
      </c>
      <c r="AA401" s="81"/>
      <c r="AB401" s="81"/>
      <c r="AC401" s="89" t="s">
        <v>1134</v>
      </c>
      <c r="AD401" s="81"/>
      <c r="AE401" s="81" t="b">
        <v>0</v>
      </c>
      <c r="AF401" s="81">
        <v>0</v>
      </c>
      <c r="AG401" s="89" t="s">
        <v>1149</v>
      </c>
      <c r="AH401" s="81" t="b">
        <v>0</v>
      </c>
      <c r="AI401" s="81" t="s">
        <v>1150</v>
      </c>
      <c r="AJ401" s="81"/>
      <c r="AK401" s="89" t="s">
        <v>1149</v>
      </c>
      <c r="AL401" s="81" t="b">
        <v>0</v>
      </c>
      <c r="AM401" s="81">
        <v>16</v>
      </c>
      <c r="AN401" s="89" t="s">
        <v>1137</v>
      </c>
      <c r="AO401" s="81" t="s">
        <v>1172</v>
      </c>
      <c r="AP401" s="81" t="b">
        <v>0</v>
      </c>
      <c r="AQ401" s="89" t="s">
        <v>1137</v>
      </c>
      <c r="AR401" s="81" t="s">
        <v>325</v>
      </c>
      <c r="AS401" s="81">
        <v>0</v>
      </c>
      <c r="AT401" s="81">
        <v>0</v>
      </c>
      <c r="AU401" s="81"/>
      <c r="AV401" s="81"/>
      <c r="AW401" s="81"/>
      <c r="AX401" s="81"/>
      <c r="AY401" s="81"/>
      <c r="AZ401" s="81"/>
      <c r="BA401" s="81"/>
      <c r="BB401" s="81"/>
      <c r="BC401">
        <v>1</v>
      </c>
      <c r="BD401" s="80" t="str">
        <f>REPLACE(INDEX(GroupVertices[Group],MATCH(Edges[[#This Row],[Vertex 1]],GroupVertices[Vertex],0)),1,1,"")</f>
        <v>3</v>
      </c>
      <c r="BE401" s="80" t="str">
        <f>REPLACE(INDEX(GroupVertices[Group],MATCH(Edges[[#This Row],[Vertex 2]],GroupVertices[Vertex],0)),1,1,"")</f>
        <v>3</v>
      </c>
      <c r="BF401" s="48">
        <v>1</v>
      </c>
      <c r="BG401" s="49">
        <v>4.761904761904762</v>
      </c>
      <c r="BH401" s="48">
        <v>0</v>
      </c>
      <c r="BI401" s="49">
        <v>0</v>
      </c>
      <c r="BJ401" s="48">
        <v>0</v>
      </c>
      <c r="BK401" s="49">
        <v>0</v>
      </c>
      <c r="BL401" s="48">
        <v>20</v>
      </c>
      <c r="BM401" s="49">
        <v>95.23809523809524</v>
      </c>
      <c r="BN401" s="48">
        <v>21</v>
      </c>
    </row>
    <row r="402" spans="1:66" ht="15">
      <c r="A402" s="66" t="s">
        <v>507</v>
      </c>
      <c r="B402" s="66" t="s">
        <v>585</v>
      </c>
      <c r="C402" s="67" t="s">
        <v>3149</v>
      </c>
      <c r="D402" s="68">
        <v>4</v>
      </c>
      <c r="E402" s="69" t="s">
        <v>132</v>
      </c>
      <c r="F402" s="70">
        <v>30</v>
      </c>
      <c r="G402" s="67"/>
      <c r="H402" s="71"/>
      <c r="I402" s="72"/>
      <c r="J402" s="72"/>
      <c r="K402" s="34" t="s">
        <v>65</v>
      </c>
      <c r="L402" s="79">
        <v>402</v>
      </c>
      <c r="M402" s="79"/>
      <c r="N402" s="74"/>
      <c r="O402" s="81" t="s">
        <v>587</v>
      </c>
      <c r="P402" s="83">
        <v>44005.335856481484</v>
      </c>
      <c r="Q402" s="81" t="s">
        <v>673</v>
      </c>
      <c r="R402" s="84" t="str">
        <f>HYPERLINK("https://twitter.com/BJTC_UK/status/1275335232539983872")</f>
        <v>https://twitter.com/BJTC_UK/status/1275335232539983872</v>
      </c>
      <c r="S402" s="81" t="s">
        <v>676</v>
      </c>
      <c r="T402" s="81" t="s">
        <v>707</v>
      </c>
      <c r="U402" s="81"/>
      <c r="V402" s="84" t="str">
        <f>HYPERLINK("http://pbs.twimg.com/profile_images/1164973648823947264/ZWjdsaW5_normal.jpg")</f>
        <v>http://pbs.twimg.com/profile_images/1164973648823947264/ZWjdsaW5_normal.jpg</v>
      </c>
      <c r="W402" s="83">
        <v>44005.335856481484</v>
      </c>
      <c r="X402" s="87">
        <v>44005</v>
      </c>
      <c r="Y402" s="89" t="s">
        <v>925</v>
      </c>
      <c r="Z402" s="84" t="str">
        <f>HYPERLINK("https://twitter.com/umarhassan96/status/1275338715112620033")</f>
        <v>https://twitter.com/umarhassan96/status/1275338715112620033</v>
      </c>
      <c r="AA402" s="81"/>
      <c r="AB402" s="81"/>
      <c r="AC402" s="89" t="s">
        <v>1135</v>
      </c>
      <c r="AD402" s="81"/>
      <c r="AE402" s="81" t="b">
        <v>0</v>
      </c>
      <c r="AF402" s="81">
        <v>4</v>
      </c>
      <c r="AG402" s="89" t="s">
        <v>1149</v>
      </c>
      <c r="AH402" s="81" t="b">
        <v>1</v>
      </c>
      <c r="AI402" s="81" t="s">
        <v>1150</v>
      </c>
      <c r="AJ402" s="81"/>
      <c r="AK402" s="89" t="s">
        <v>1163</v>
      </c>
      <c r="AL402" s="81" t="b">
        <v>0</v>
      </c>
      <c r="AM402" s="81">
        <v>1</v>
      </c>
      <c r="AN402" s="89" t="s">
        <v>1149</v>
      </c>
      <c r="AO402" s="81" t="s">
        <v>1175</v>
      </c>
      <c r="AP402" s="81" t="b">
        <v>0</v>
      </c>
      <c r="AQ402" s="89" t="s">
        <v>1135</v>
      </c>
      <c r="AR402" s="81" t="s">
        <v>325</v>
      </c>
      <c r="AS402" s="81">
        <v>0</v>
      </c>
      <c r="AT402" s="81">
        <v>0</v>
      </c>
      <c r="AU402" s="81"/>
      <c r="AV402" s="81"/>
      <c r="AW402" s="81"/>
      <c r="AX402" s="81"/>
      <c r="AY402" s="81"/>
      <c r="AZ402" s="81"/>
      <c r="BA402" s="81"/>
      <c r="BB402" s="81"/>
      <c r="BC402">
        <v>1</v>
      </c>
      <c r="BD402" s="80" t="str">
        <f>REPLACE(INDEX(GroupVertices[Group],MATCH(Edges[[#This Row],[Vertex 1]],GroupVertices[Vertex],0)),1,1,"")</f>
        <v>16</v>
      </c>
      <c r="BE402" s="80" t="str">
        <f>REPLACE(INDEX(GroupVertices[Group],MATCH(Edges[[#This Row],[Vertex 2]],GroupVertices[Vertex],0)),1,1,"")</f>
        <v>16</v>
      </c>
      <c r="BF402" s="48"/>
      <c r="BG402" s="49"/>
      <c r="BH402" s="48"/>
      <c r="BI402" s="49"/>
      <c r="BJ402" s="48"/>
      <c r="BK402" s="49"/>
      <c r="BL402" s="48"/>
      <c r="BM402" s="49"/>
      <c r="BN402" s="48"/>
    </row>
    <row r="403" spans="1:66" ht="15">
      <c r="A403" s="66" t="s">
        <v>508</v>
      </c>
      <c r="B403" s="66" t="s">
        <v>585</v>
      </c>
      <c r="C403" s="67" t="s">
        <v>3149</v>
      </c>
      <c r="D403" s="68">
        <v>4</v>
      </c>
      <c r="E403" s="69" t="s">
        <v>132</v>
      </c>
      <c r="F403" s="70">
        <v>30</v>
      </c>
      <c r="G403" s="67"/>
      <c r="H403" s="71"/>
      <c r="I403" s="72"/>
      <c r="J403" s="72"/>
      <c r="K403" s="34" t="s">
        <v>65</v>
      </c>
      <c r="L403" s="79">
        <v>403</v>
      </c>
      <c r="M403" s="79"/>
      <c r="N403" s="74"/>
      <c r="O403" s="81" t="s">
        <v>588</v>
      </c>
      <c r="P403" s="83">
        <v>44005.39570601852</v>
      </c>
      <c r="Q403" s="81" t="s">
        <v>673</v>
      </c>
      <c r="R403" s="81"/>
      <c r="S403" s="81"/>
      <c r="T403" s="81"/>
      <c r="U403" s="81"/>
      <c r="V403" s="84" t="str">
        <f>HYPERLINK("http://pbs.twimg.com/profile_images/1273211456247541767/qo3PqXGx_normal.jpg")</f>
        <v>http://pbs.twimg.com/profile_images/1273211456247541767/qo3PqXGx_normal.jpg</v>
      </c>
      <c r="W403" s="83">
        <v>44005.39570601852</v>
      </c>
      <c r="X403" s="87">
        <v>44005</v>
      </c>
      <c r="Y403" s="89" t="s">
        <v>926</v>
      </c>
      <c r="Z403" s="84" t="str">
        <f>HYPERLINK("https://twitter.com/tvmarv/status/1275360403359440898")</f>
        <v>https://twitter.com/tvmarv/status/1275360403359440898</v>
      </c>
      <c r="AA403" s="81"/>
      <c r="AB403" s="81"/>
      <c r="AC403" s="89" t="s">
        <v>1136</v>
      </c>
      <c r="AD403" s="81"/>
      <c r="AE403" s="81" t="b">
        <v>0</v>
      </c>
      <c r="AF403" s="81">
        <v>0</v>
      </c>
      <c r="AG403" s="89" t="s">
        <v>1149</v>
      </c>
      <c r="AH403" s="81" t="b">
        <v>1</v>
      </c>
      <c r="AI403" s="81" t="s">
        <v>1150</v>
      </c>
      <c r="AJ403" s="81"/>
      <c r="AK403" s="89" t="s">
        <v>1163</v>
      </c>
      <c r="AL403" s="81" t="b">
        <v>0</v>
      </c>
      <c r="AM403" s="81">
        <v>1</v>
      </c>
      <c r="AN403" s="89" t="s">
        <v>1135</v>
      </c>
      <c r="AO403" s="81" t="s">
        <v>1165</v>
      </c>
      <c r="AP403" s="81" t="b">
        <v>0</v>
      </c>
      <c r="AQ403" s="89" t="s">
        <v>1135</v>
      </c>
      <c r="AR403" s="81" t="s">
        <v>325</v>
      </c>
      <c r="AS403" s="81">
        <v>0</v>
      </c>
      <c r="AT403" s="81">
        <v>0</v>
      </c>
      <c r="AU403" s="81"/>
      <c r="AV403" s="81"/>
      <c r="AW403" s="81"/>
      <c r="AX403" s="81"/>
      <c r="AY403" s="81"/>
      <c r="AZ403" s="81"/>
      <c r="BA403" s="81"/>
      <c r="BB403" s="81"/>
      <c r="BC403">
        <v>1</v>
      </c>
      <c r="BD403" s="80" t="str">
        <f>REPLACE(INDEX(GroupVertices[Group],MATCH(Edges[[#This Row],[Vertex 1]],GroupVertices[Vertex],0)),1,1,"")</f>
        <v>16</v>
      </c>
      <c r="BE403" s="80" t="str">
        <f>REPLACE(INDEX(GroupVertices[Group],MATCH(Edges[[#This Row],[Vertex 2]],GroupVertices[Vertex],0)),1,1,"")</f>
        <v>16</v>
      </c>
      <c r="BF403" s="48"/>
      <c r="BG403" s="49"/>
      <c r="BH403" s="48"/>
      <c r="BI403" s="49"/>
      <c r="BJ403" s="48"/>
      <c r="BK403" s="49"/>
      <c r="BL403" s="48"/>
      <c r="BM403" s="49"/>
      <c r="BN403" s="48"/>
    </row>
    <row r="404" spans="1:66" ht="15">
      <c r="A404" s="66" t="s">
        <v>507</v>
      </c>
      <c r="B404" s="66" t="s">
        <v>508</v>
      </c>
      <c r="C404" s="67" t="s">
        <v>3149</v>
      </c>
      <c r="D404" s="68">
        <v>4</v>
      </c>
      <c r="E404" s="69" t="s">
        <v>132</v>
      </c>
      <c r="F404" s="70">
        <v>30</v>
      </c>
      <c r="G404" s="67"/>
      <c r="H404" s="71"/>
      <c r="I404" s="72"/>
      <c r="J404" s="72"/>
      <c r="K404" s="34" t="s">
        <v>66</v>
      </c>
      <c r="L404" s="79">
        <v>404</v>
      </c>
      <c r="M404" s="79"/>
      <c r="N404" s="74"/>
      <c r="O404" s="81" t="s">
        <v>587</v>
      </c>
      <c r="P404" s="83">
        <v>44005.335856481484</v>
      </c>
      <c r="Q404" s="81" t="s">
        <v>673</v>
      </c>
      <c r="R404" s="84" t="str">
        <f>HYPERLINK("https://twitter.com/BJTC_UK/status/1275335232539983872")</f>
        <v>https://twitter.com/BJTC_UK/status/1275335232539983872</v>
      </c>
      <c r="S404" s="81" t="s">
        <v>676</v>
      </c>
      <c r="T404" s="81" t="s">
        <v>707</v>
      </c>
      <c r="U404" s="81"/>
      <c r="V404" s="84" t="str">
        <f>HYPERLINK("http://pbs.twimg.com/profile_images/1164973648823947264/ZWjdsaW5_normal.jpg")</f>
        <v>http://pbs.twimg.com/profile_images/1164973648823947264/ZWjdsaW5_normal.jpg</v>
      </c>
      <c r="W404" s="83">
        <v>44005.335856481484</v>
      </c>
      <c r="X404" s="87">
        <v>44005</v>
      </c>
      <c r="Y404" s="89" t="s">
        <v>925</v>
      </c>
      <c r="Z404" s="84" t="str">
        <f>HYPERLINK("https://twitter.com/umarhassan96/status/1275338715112620033")</f>
        <v>https://twitter.com/umarhassan96/status/1275338715112620033</v>
      </c>
      <c r="AA404" s="81"/>
      <c r="AB404" s="81"/>
      <c r="AC404" s="89" t="s">
        <v>1135</v>
      </c>
      <c r="AD404" s="81"/>
      <c r="AE404" s="81" t="b">
        <v>0</v>
      </c>
      <c r="AF404" s="81">
        <v>4</v>
      </c>
      <c r="AG404" s="89" t="s">
        <v>1149</v>
      </c>
      <c r="AH404" s="81" t="b">
        <v>1</v>
      </c>
      <c r="AI404" s="81" t="s">
        <v>1150</v>
      </c>
      <c r="AJ404" s="81"/>
      <c r="AK404" s="89" t="s">
        <v>1163</v>
      </c>
      <c r="AL404" s="81" t="b">
        <v>0</v>
      </c>
      <c r="AM404" s="81">
        <v>1</v>
      </c>
      <c r="AN404" s="89" t="s">
        <v>1149</v>
      </c>
      <c r="AO404" s="81" t="s">
        <v>1175</v>
      </c>
      <c r="AP404" s="81" t="b">
        <v>0</v>
      </c>
      <c r="AQ404" s="89" t="s">
        <v>1135</v>
      </c>
      <c r="AR404" s="81" t="s">
        <v>325</v>
      </c>
      <c r="AS404" s="81">
        <v>0</v>
      </c>
      <c r="AT404" s="81">
        <v>0</v>
      </c>
      <c r="AU404" s="81"/>
      <c r="AV404" s="81"/>
      <c r="AW404" s="81"/>
      <c r="AX404" s="81"/>
      <c r="AY404" s="81"/>
      <c r="AZ404" s="81"/>
      <c r="BA404" s="81"/>
      <c r="BB404" s="81"/>
      <c r="BC404">
        <v>1</v>
      </c>
      <c r="BD404" s="80" t="str">
        <f>REPLACE(INDEX(GroupVertices[Group],MATCH(Edges[[#This Row],[Vertex 1]],GroupVertices[Vertex],0)),1,1,"")</f>
        <v>16</v>
      </c>
      <c r="BE404" s="80" t="str">
        <f>REPLACE(INDEX(GroupVertices[Group],MATCH(Edges[[#This Row],[Vertex 2]],GroupVertices[Vertex],0)),1,1,"")</f>
        <v>16</v>
      </c>
      <c r="BF404" s="48">
        <v>4</v>
      </c>
      <c r="BG404" s="49">
        <v>7.6923076923076925</v>
      </c>
      <c r="BH404" s="48">
        <v>2</v>
      </c>
      <c r="BI404" s="49">
        <v>3.8461538461538463</v>
      </c>
      <c r="BJ404" s="48">
        <v>0</v>
      </c>
      <c r="BK404" s="49">
        <v>0</v>
      </c>
      <c r="BL404" s="48">
        <v>46</v>
      </c>
      <c r="BM404" s="49">
        <v>88.46153846153847</v>
      </c>
      <c r="BN404" s="48">
        <v>52</v>
      </c>
    </row>
    <row r="405" spans="1:66" ht="15">
      <c r="A405" s="66" t="s">
        <v>508</v>
      </c>
      <c r="B405" s="66" t="s">
        <v>507</v>
      </c>
      <c r="C405" s="67" t="s">
        <v>3149</v>
      </c>
      <c r="D405" s="68">
        <v>4</v>
      </c>
      <c r="E405" s="69" t="s">
        <v>132</v>
      </c>
      <c r="F405" s="70">
        <v>30</v>
      </c>
      <c r="G405" s="67"/>
      <c r="H405" s="71"/>
      <c r="I405" s="72"/>
      <c r="J405" s="72"/>
      <c r="K405" s="34" t="s">
        <v>66</v>
      </c>
      <c r="L405" s="79">
        <v>405</v>
      </c>
      <c r="M405" s="79"/>
      <c r="N405" s="74"/>
      <c r="O405" s="81" t="s">
        <v>586</v>
      </c>
      <c r="P405" s="83">
        <v>44005.39570601852</v>
      </c>
      <c r="Q405" s="81" t="s">
        <v>673</v>
      </c>
      <c r="R405" s="81"/>
      <c r="S405" s="81"/>
      <c r="T405" s="81"/>
      <c r="U405" s="81"/>
      <c r="V405" s="84" t="str">
        <f>HYPERLINK("http://pbs.twimg.com/profile_images/1273211456247541767/qo3PqXGx_normal.jpg")</f>
        <v>http://pbs.twimg.com/profile_images/1273211456247541767/qo3PqXGx_normal.jpg</v>
      </c>
      <c r="W405" s="83">
        <v>44005.39570601852</v>
      </c>
      <c r="X405" s="87">
        <v>44005</v>
      </c>
      <c r="Y405" s="89" t="s">
        <v>926</v>
      </c>
      <c r="Z405" s="84" t="str">
        <f>HYPERLINK("https://twitter.com/tvmarv/status/1275360403359440898")</f>
        <v>https://twitter.com/tvmarv/status/1275360403359440898</v>
      </c>
      <c r="AA405" s="81"/>
      <c r="AB405" s="81"/>
      <c r="AC405" s="89" t="s">
        <v>1136</v>
      </c>
      <c r="AD405" s="81"/>
      <c r="AE405" s="81" t="b">
        <v>0</v>
      </c>
      <c r="AF405" s="81">
        <v>0</v>
      </c>
      <c r="AG405" s="89" t="s">
        <v>1149</v>
      </c>
      <c r="AH405" s="81" t="b">
        <v>1</v>
      </c>
      <c r="AI405" s="81" t="s">
        <v>1150</v>
      </c>
      <c r="AJ405" s="81"/>
      <c r="AK405" s="89" t="s">
        <v>1163</v>
      </c>
      <c r="AL405" s="81" t="b">
        <v>0</v>
      </c>
      <c r="AM405" s="81">
        <v>1</v>
      </c>
      <c r="AN405" s="89" t="s">
        <v>1135</v>
      </c>
      <c r="AO405" s="81" t="s">
        <v>1165</v>
      </c>
      <c r="AP405" s="81" t="b">
        <v>0</v>
      </c>
      <c r="AQ405" s="89" t="s">
        <v>1135</v>
      </c>
      <c r="AR405" s="81" t="s">
        <v>325</v>
      </c>
      <c r="AS405" s="81">
        <v>0</v>
      </c>
      <c r="AT405" s="81">
        <v>0</v>
      </c>
      <c r="AU405" s="81"/>
      <c r="AV405" s="81"/>
      <c r="AW405" s="81"/>
      <c r="AX405" s="81"/>
      <c r="AY405" s="81"/>
      <c r="AZ405" s="81"/>
      <c r="BA405" s="81"/>
      <c r="BB405" s="81"/>
      <c r="BC405">
        <v>1</v>
      </c>
      <c r="BD405" s="80" t="str">
        <f>REPLACE(INDEX(GroupVertices[Group],MATCH(Edges[[#This Row],[Vertex 1]],GroupVertices[Vertex],0)),1,1,"")</f>
        <v>16</v>
      </c>
      <c r="BE405" s="80" t="str">
        <f>REPLACE(INDEX(GroupVertices[Group],MATCH(Edges[[#This Row],[Vertex 2]],GroupVertices[Vertex],0)),1,1,"")</f>
        <v>16</v>
      </c>
      <c r="BF405" s="48">
        <v>4</v>
      </c>
      <c r="BG405" s="49">
        <v>7.6923076923076925</v>
      </c>
      <c r="BH405" s="48">
        <v>2</v>
      </c>
      <c r="BI405" s="49">
        <v>3.8461538461538463</v>
      </c>
      <c r="BJ405" s="48">
        <v>0</v>
      </c>
      <c r="BK405" s="49">
        <v>0</v>
      </c>
      <c r="BL405" s="48">
        <v>46</v>
      </c>
      <c r="BM405" s="49">
        <v>88.46153846153847</v>
      </c>
      <c r="BN405" s="48">
        <v>52</v>
      </c>
    </row>
    <row r="406" spans="1:66" ht="15">
      <c r="A406" s="66" t="s">
        <v>509</v>
      </c>
      <c r="B406" s="66" t="s">
        <v>526</v>
      </c>
      <c r="C406" s="67" t="s">
        <v>3149</v>
      </c>
      <c r="D406" s="68">
        <v>4</v>
      </c>
      <c r="E406" s="69" t="s">
        <v>132</v>
      </c>
      <c r="F406" s="70">
        <v>30</v>
      </c>
      <c r="G406" s="67"/>
      <c r="H406" s="71"/>
      <c r="I406" s="72"/>
      <c r="J406" s="72"/>
      <c r="K406" s="34" t="s">
        <v>65</v>
      </c>
      <c r="L406" s="79">
        <v>406</v>
      </c>
      <c r="M406" s="79"/>
      <c r="N406" s="74"/>
      <c r="O406" s="81" t="s">
        <v>587</v>
      </c>
      <c r="P406" s="83">
        <v>44004.830347222225</v>
      </c>
      <c r="Q406" s="81" t="s">
        <v>612</v>
      </c>
      <c r="R406" s="84" t="str">
        <f>HYPERLINK("https://interactive.aljazeera.com/aje/2020/saving-the-nile/index.html")</f>
        <v>https://interactive.aljazeera.com/aje/2020/saving-the-nile/index.html</v>
      </c>
      <c r="S406" s="81" t="s">
        <v>678</v>
      </c>
      <c r="T406" s="81" t="s">
        <v>703</v>
      </c>
      <c r="U406" s="81"/>
      <c r="V406" s="84" t="str">
        <f>HYPERLINK("http://pbs.twimg.com/profile_images/1084755983640027136/buwVTx1D_normal.jpg")</f>
        <v>http://pbs.twimg.com/profile_images/1084755983640027136/buwVTx1D_normal.jpg</v>
      </c>
      <c r="W406" s="83">
        <v>44004.830347222225</v>
      </c>
      <c r="X406" s="87">
        <v>44004</v>
      </c>
      <c r="Y406" s="89" t="s">
        <v>927</v>
      </c>
      <c r="Z406" s="84" t="str">
        <f>HYPERLINK("https://twitter.com/jmbgeog/status/1275155524036804609")</f>
        <v>https://twitter.com/jmbgeog/status/1275155524036804609</v>
      </c>
      <c r="AA406" s="81"/>
      <c r="AB406" s="81"/>
      <c r="AC406" s="89" t="s">
        <v>1137</v>
      </c>
      <c r="AD406" s="81"/>
      <c r="AE406" s="81" t="b">
        <v>0</v>
      </c>
      <c r="AF406" s="81">
        <v>40</v>
      </c>
      <c r="AG406" s="89" t="s">
        <v>1149</v>
      </c>
      <c r="AH406" s="81" t="b">
        <v>0</v>
      </c>
      <c r="AI406" s="81" t="s">
        <v>1150</v>
      </c>
      <c r="AJ406" s="81"/>
      <c r="AK406" s="89" t="s">
        <v>1149</v>
      </c>
      <c r="AL406" s="81" t="b">
        <v>0</v>
      </c>
      <c r="AM406" s="81">
        <v>16</v>
      </c>
      <c r="AN406" s="89" t="s">
        <v>1149</v>
      </c>
      <c r="AO406" s="81" t="s">
        <v>1176</v>
      </c>
      <c r="AP406" s="81" t="b">
        <v>0</v>
      </c>
      <c r="AQ406" s="89" t="s">
        <v>1137</v>
      </c>
      <c r="AR406" s="81" t="s">
        <v>325</v>
      </c>
      <c r="AS406" s="81">
        <v>0</v>
      </c>
      <c r="AT406" s="81">
        <v>0</v>
      </c>
      <c r="AU406" s="81"/>
      <c r="AV406" s="81"/>
      <c r="AW406" s="81"/>
      <c r="AX406" s="81"/>
      <c r="AY406" s="81"/>
      <c r="AZ406" s="81"/>
      <c r="BA406" s="81"/>
      <c r="BB406" s="81"/>
      <c r="BC406">
        <v>1</v>
      </c>
      <c r="BD406" s="80" t="str">
        <f>REPLACE(INDEX(GroupVertices[Group],MATCH(Edges[[#This Row],[Vertex 1]],GroupVertices[Vertex],0)),1,1,"")</f>
        <v>3</v>
      </c>
      <c r="BE406" s="80" t="str">
        <f>REPLACE(INDEX(GroupVertices[Group],MATCH(Edges[[#This Row],[Vertex 2]],GroupVertices[Vertex],0)),1,1,"")</f>
        <v>3</v>
      </c>
      <c r="BF406" s="48"/>
      <c r="BG406" s="49"/>
      <c r="BH406" s="48"/>
      <c r="BI406" s="49"/>
      <c r="BJ406" s="48"/>
      <c r="BK406" s="49"/>
      <c r="BL406" s="48"/>
      <c r="BM406" s="49"/>
      <c r="BN406" s="48"/>
    </row>
    <row r="407" spans="1:66" ht="15">
      <c r="A407" s="66" t="s">
        <v>510</v>
      </c>
      <c r="B407" s="66" t="s">
        <v>526</v>
      </c>
      <c r="C407" s="67" t="s">
        <v>3149</v>
      </c>
      <c r="D407" s="68">
        <v>4</v>
      </c>
      <c r="E407" s="69" t="s">
        <v>132</v>
      </c>
      <c r="F407" s="70">
        <v>30</v>
      </c>
      <c r="G407" s="67"/>
      <c r="H407" s="71"/>
      <c r="I407" s="72"/>
      <c r="J407" s="72"/>
      <c r="K407" s="34" t="s">
        <v>65</v>
      </c>
      <c r="L407" s="79">
        <v>407</v>
      </c>
      <c r="M407" s="79"/>
      <c r="N407" s="74"/>
      <c r="O407" s="81" t="s">
        <v>588</v>
      </c>
      <c r="P407" s="83">
        <v>44005.408159722225</v>
      </c>
      <c r="Q407" s="81" t="s">
        <v>612</v>
      </c>
      <c r="R407" s="81"/>
      <c r="S407" s="81"/>
      <c r="T407" s="81" t="s">
        <v>703</v>
      </c>
      <c r="U407" s="81"/>
      <c r="V407" s="84" t="str">
        <f>HYPERLINK("http://pbs.twimg.com/profile_images/968895729/Survival---Tsaatan-023_normal.jpg")</f>
        <v>http://pbs.twimg.com/profile_images/968895729/Survival---Tsaatan-023_normal.jpg</v>
      </c>
      <c r="W407" s="83">
        <v>44005.408159722225</v>
      </c>
      <c r="X407" s="87">
        <v>44005</v>
      </c>
      <c r="Y407" s="89" t="s">
        <v>928</v>
      </c>
      <c r="Z407" s="84" t="str">
        <f>HYPERLINK("https://twitter.com/valboy7/status/1275364914559954944")</f>
        <v>https://twitter.com/valboy7/status/1275364914559954944</v>
      </c>
      <c r="AA407" s="81"/>
      <c r="AB407" s="81"/>
      <c r="AC407" s="89" t="s">
        <v>1138</v>
      </c>
      <c r="AD407" s="81"/>
      <c r="AE407" s="81" t="b">
        <v>0</v>
      </c>
      <c r="AF407" s="81">
        <v>0</v>
      </c>
      <c r="AG407" s="89" t="s">
        <v>1149</v>
      </c>
      <c r="AH407" s="81" t="b">
        <v>0</v>
      </c>
      <c r="AI407" s="81" t="s">
        <v>1150</v>
      </c>
      <c r="AJ407" s="81"/>
      <c r="AK407" s="89" t="s">
        <v>1149</v>
      </c>
      <c r="AL407" s="81" t="b">
        <v>0</v>
      </c>
      <c r="AM407" s="81">
        <v>16</v>
      </c>
      <c r="AN407" s="89" t="s">
        <v>1137</v>
      </c>
      <c r="AO407" s="81" t="s">
        <v>1172</v>
      </c>
      <c r="AP407" s="81" t="b">
        <v>0</v>
      </c>
      <c r="AQ407" s="89" t="s">
        <v>1137</v>
      </c>
      <c r="AR407" s="81" t="s">
        <v>325</v>
      </c>
      <c r="AS407" s="81">
        <v>0</v>
      </c>
      <c r="AT407" s="81">
        <v>0</v>
      </c>
      <c r="AU407" s="81"/>
      <c r="AV407" s="81"/>
      <c r="AW407" s="81"/>
      <c r="AX407" s="81"/>
      <c r="AY407" s="81"/>
      <c r="AZ407" s="81"/>
      <c r="BA407" s="81"/>
      <c r="BB407" s="81"/>
      <c r="BC407">
        <v>1</v>
      </c>
      <c r="BD407" s="80" t="str">
        <f>REPLACE(INDEX(GroupVertices[Group],MATCH(Edges[[#This Row],[Vertex 1]],GroupVertices[Vertex],0)),1,1,"")</f>
        <v>3</v>
      </c>
      <c r="BE407" s="80" t="str">
        <f>REPLACE(INDEX(GroupVertices[Group],MATCH(Edges[[#This Row],[Vertex 2]],GroupVertices[Vertex],0)),1,1,"")</f>
        <v>3</v>
      </c>
      <c r="BF407" s="48"/>
      <c r="BG407" s="49"/>
      <c r="BH407" s="48"/>
      <c r="BI407" s="49"/>
      <c r="BJ407" s="48"/>
      <c r="BK407" s="49"/>
      <c r="BL407" s="48"/>
      <c r="BM407" s="49"/>
      <c r="BN407" s="48"/>
    </row>
    <row r="408" spans="1:66" ht="15">
      <c r="A408" s="66" t="s">
        <v>509</v>
      </c>
      <c r="B408" s="66" t="s">
        <v>527</v>
      </c>
      <c r="C408" s="67" t="s">
        <v>3149</v>
      </c>
      <c r="D408" s="68">
        <v>4</v>
      </c>
      <c r="E408" s="69" t="s">
        <v>132</v>
      </c>
      <c r="F408" s="70">
        <v>30</v>
      </c>
      <c r="G408" s="67"/>
      <c r="H408" s="71"/>
      <c r="I408" s="72"/>
      <c r="J408" s="72"/>
      <c r="K408" s="34" t="s">
        <v>65</v>
      </c>
      <c r="L408" s="79">
        <v>408</v>
      </c>
      <c r="M408" s="79"/>
      <c r="N408" s="74"/>
      <c r="O408" s="81" t="s">
        <v>587</v>
      </c>
      <c r="P408" s="83">
        <v>44004.830347222225</v>
      </c>
      <c r="Q408" s="81" t="s">
        <v>612</v>
      </c>
      <c r="R408" s="84" t="str">
        <f>HYPERLINK("https://interactive.aljazeera.com/aje/2020/saving-the-nile/index.html")</f>
        <v>https://interactive.aljazeera.com/aje/2020/saving-the-nile/index.html</v>
      </c>
      <c r="S408" s="81" t="s">
        <v>678</v>
      </c>
      <c r="T408" s="81" t="s">
        <v>703</v>
      </c>
      <c r="U408" s="81"/>
      <c r="V408" s="84" t="str">
        <f>HYPERLINK("http://pbs.twimg.com/profile_images/1084755983640027136/buwVTx1D_normal.jpg")</f>
        <v>http://pbs.twimg.com/profile_images/1084755983640027136/buwVTx1D_normal.jpg</v>
      </c>
      <c r="W408" s="83">
        <v>44004.830347222225</v>
      </c>
      <c r="X408" s="87">
        <v>44004</v>
      </c>
      <c r="Y408" s="89" t="s">
        <v>927</v>
      </c>
      <c r="Z408" s="84" t="str">
        <f>HYPERLINK("https://twitter.com/jmbgeog/status/1275155524036804609")</f>
        <v>https://twitter.com/jmbgeog/status/1275155524036804609</v>
      </c>
      <c r="AA408" s="81"/>
      <c r="AB408" s="81"/>
      <c r="AC408" s="89" t="s">
        <v>1137</v>
      </c>
      <c r="AD408" s="81"/>
      <c r="AE408" s="81" t="b">
        <v>0</v>
      </c>
      <c r="AF408" s="81">
        <v>40</v>
      </c>
      <c r="AG408" s="89" t="s">
        <v>1149</v>
      </c>
      <c r="AH408" s="81" t="b">
        <v>0</v>
      </c>
      <c r="AI408" s="81" t="s">
        <v>1150</v>
      </c>
      <c r="AJ408" s="81"/>
      <c r="AK408" s="89" t="s">
        <v>1149</v>
      </c>
      <c r="AL408" s="81" t="b">
        <v>0</v>
      </c>
      <c r="AM408" s="81">
        <v>16</v>
      </c>
      <c r="AN408" s="89" t="s">
        <v>1149</v>
      </c>
      <c r="AO408" s="81" t="s">
        <v>1176</v>
      </c>
      <c r="AP408" s="81" t="b">
        <v>0</v>
      </c>
      <c r="AQ408" s="89" t="s">
        <v>1137</v>
      </c>
      <c r="AR408" s="81" t="s">
        <v>325</v>
      </c>
      <c r="AS408" s="81">
        <v>0</v>
      </c>
      <c r="AT408" s="81">
        <v>0</v>
      </c>
      <c r="AU408" s="81"/>
      <c r="AV408" s="81"/>
      <c r="AW408" s="81"/>
      <c r="AX408" s="81"/>
      <c r="AY408" s="81"/>
      <c r="AZ408" s="81"/>
      <c r="BA408" s="81"/>
      <c r="BB408" s="81"/>
      <c r="BC408">
        <v>1</v>
      </c>
      <c r="BD408" s="80" t="str">
        <f>REPLACE(INDEX(GroupVertices[Group],MATCH(Edges[[#This Row],[Vertex 1]],GroupVertices[Vertex],0)),1,1,"")</f>
        <v>3</v>
      </c>
      <c r="BE408" s="80" t="str">
        <f>REPLACE(INDEX(GroupVertices[Group],MATCH(Edges[[#This Row],[Vertex 2]],GroupVertices[Vertex],0)),1,1,"")</f>
        <v>3</v>
      </c>
      <c r="BF408" s="48">
        <v>1</v>
      </c>
      <c r="BG408" s="49">
        <v>4.761904761904762</v>
      </c>
      <c r="BH408" s="48">
        <v>0</v>
      </c>
      <c r="BI408" s="49">
        <v>0</v>
      </c>
      <c r="BJ408" s="48">
        <v>0</v>
      </c>
      <c r="BK408" s="49">
        <v>0</v>
      </c>
      <c r="BL408" s="48">
        <v>20</v>
      </c>
      <c r="BM408" s="49">
        <v>95.23809523809524</v>
      </c>
      <c r="BN408" s="48">
        <v>21</v>
      </c>
    </row>
    <row r="409" spans="1:66" ht="15">
      <c r="A409" s="66" t="s">
        <v>510</v>
      </c>
      <c r="B409" s="66" t="s">
        <v>527</v>
      </c>
      <c r="C409" s="67" t="s">
        <v>3149</v>
      </c>
      <c r="D409" s="68">
        <v>4</v>
      </c>
      <c r="E409" s="69" t="s">
        <v>132</v>
      </c>
      <c r="F409" s="70">
        <v>30</v>
      </c>
      <c r="G409" s="67"/>
      <c r="H409" s="71"/>
      <c r="I409" s="72"/>
      <c r="J409" s="72"/>
      <c r="K409" s="34" t="s">
        <v>65</v>
      </c>
      <c r="L409" s="79">
        <v>409</v>
      </c>
      <c r="M409" s="79"/>
      <c r="N409" s="74"/>
      <c r="O409" s="81" t="s">
        <v>588</v>
      </c>
      <c r="P409" s="83">
        <v>44005.408159722225</v>
      </c>
      <c r="Q409" s="81" t="s">
        <v>612</v>
      </c>
      <c r="R409" s="81"/>
      <c r="S409" s="81"/>
      <c r="T409" s="81" t="s">
        <v>703</v>
      </c>
      <c r="U409" s="81"/>
      <c r="V409" s="84" t="str">
        <f>HYPERLINK("http://pbs.twimg.com/profile_images/968895729/Survival---Tsaatan-023_normal.jpg")</f>
        <v>http://pbs.twimg.com/profile_images/968895729/Survival---Tsaatan-023_normal.jpg</v>
      </c>
      <c r="W409" s="83">
        <v>44005.408159722225</v>
      </c>
      <c r="X409" s="87">
        <v>44005</v>
      </c>
      <c r="Y409" s="89" t="s">
        <v>928</v>
      </c>
      <c r="Z409" s="84" t="str">
        <f>HYPERLINK("https://twitter.com/valboy7/status/1275364914559954944")</f>
        <v>https://twitter.com/valboy7/status/1275364914559954944</v>
      </c>
      <c r="AA409" s="81"/>
      <c r="AB409" s="81"/>
      <c r="AC409" s="89" t="s">
        <v>1138</v>
      </c>
      <c r="AD409" s="81"/>
      <c r="AE409" s="81" t="b">
        <v>0</v>
      </c>
      <c r="AF409" s="81">
        <v>0</v>
      </c>
      <c r="AG409" s="89" t="s">
        <v>1149</v>
      </c>
      <c r="AH409" s="81" t="b">
        <v>0</v>
      </c>
      <c r="AI409" s="81" t="s">
        <v>1150</v>
      </c>
      <c r="AJ409" s="81"/>
      <c r="AK409" s="89" t="s">
        <v>1149</v>
      </c>
      <c r="AL409" s="81" t="b">
        <v>0</v>
      </c>
      <c r="AM409" s="81">
        <v>16</v>
      </c>
      <c r="AN409" s="89" t="s">
        <v>1137</v>
      </c>
      <c r="AO409" s="81" t="s">
        <v>1172</v>
      </c>
      <c r="AP409" s="81" t="b">
        <v>0</v>
      </c>
      <c r="AQ409" s="89" t="s">
        <v>1137</v>
      </c>
      <c r="AR409" s="81" t="s">
        <v>325</v>
      </c>
      <c r="AS409" s="81">
        <v>0</v>
      </c>
      <c r="AT409" s="81">
        <v>0</v>
      </c>
      <c r="AU409" s="81"/>
      <c r="AV409" s="81"/>
      <c r="AW409" s="81"/>
      <c r="AX409" s="81"/>
      <c r="AY409" s="81"/>
      <c r="AZ409" s="81"/>
      <c r="BA409" s="81"/>
      <c r="BB409" s="81"/>
      <c r="BC409">
        <v>1</v>
      </c>
      <c r="BD409" s="80" t="str">
        <f>REPLACE(INDEX(GroupVertices[Group],MATCH(Edges[[#This Row],[Vertex 1]],GroupVertices[Vertex],0)),1,1,"")</f>
        <v>3</v>
      </c>
      <c r="BE409" s="80" t="str">
        <f>REPLACE(INDEX(GroupVertices[Group],MATCH(Edges[[#This Row],[Vertex 2]],GroupVertices[Vertex],0)),1,1,"")</f>
        <v>3</v>
      </c>
      <c r="BF409" s="48"/>
      <c r="BG409" s="49"/>
      <c r="BH409" s="48"/>
      <c r="BI409" s="49"/>
      <c r="BJ409" s="48"/>
      <c r="BK409" s="49"/>
      <c r="BL409" s="48"/>
      <c r="BM409" s="49"/>
      <c r="BN409" s="48"/>
    </row>
    <row r="410" spans="1:66" ht="15">
      <c r="A410" s="66" t="s">
        <v>510</v>
      </c>
      <c r="B410" s="66" t="s">
        <v>509</v>
      </c>
      <c r="C410" s="67" t="s">
        <v>3149</v>
      </c>
      <c r="D410" s="68">
        <v>4</v>
      </c>
      <c r="E410" s="69" t="s">
        <v>132</v>
      </c>
      <c r="F410" s="70">
        <v>30</v>
      </c>
      <c r="G410" s="67"/>
      <c r="H410" s="71"/>
      <c r="I410" s="72"/>
      <c r="J410" s="72"/>
      <c r="K410" s="34" t="s">
        <v>65</v>
      </c>
      <c r="L410" s="79">
        <v>410</v>
      </c>
      <c r="M410" s="79"/>
      <c r="N410" s="74"/>
      <c r="O410" s="81" t="s">
        <v>586</v>
      </c>
      <c r="P410" s="83">
        <v>44005.408159722225</v>
      </c>
      <c r="Q410" s="81" t="s">
        <v>612</v>
      </c>
      <c r="R410" s="81"/>
      <c r="S410" s="81"/>
      <c r="T410" s="81" t="s">
        <v>703</v>
      </c>
      <c r="U410" s="81"/>
      <c r="V410" s="84" t="str">
        <f>HYPERLINK("http://pbs.twimg.com/profile_images/968895729/Survival---Tsaatan-023_normal.jpg")</f>
        <v>http://pbs.twimg.com/profile_images/968895729/Survival---Tsaatan-023_normal.jpg</v>
      </c>
      <c r="W410" s="83">
        <v>44005.408159722225</v>
      </c>
      <c r="X410" s="87">
        <v>44005</v>
      </c>
      <c r="Y410" s="89" t="s">
        <v>928</v>
      </c>
      <c r="Z410" s="84" t="str">
        <f>HYPERLINK("https://twitter.com/valboy7/status/1275364914559954944")</f>
        <v>https://twitter.com/valboy7/status/1275364914559954944</v>
      </c>
      <c r="AA410" s="81"/>
      <c r="AB410" s="81"/>
      <c r="AC410" s="89" t="s">
        <v>1138</v>
      </c>
      <c r="AD410" s="81"/>
      <c r="AE410" s="81" t="b">
        <v>0</v>
      </c>
      <c r="AF410" s="81">
        <v>0</v>
      </c>
      <c r="AG410" s="89" t="s">
        <v>1149</v>
      </c>
      <c r="AH410" s="81" t="b">
        <v>0</v>
      </c>
      <c r="AI410" s="81" t="s">
        <v>1150</v>
      </c>
      <c r="AJ410" s="81"/>
      <c r="AK410" s="89" t="s">
        <v>1149</v>
      </c>
      <c r="AL410" s="81" t="b">
        <v>0</v>
      </c>
      <c r="AM410" s="81">
        <v>16</v>
      </c>
      <c r="AN410" s="89" t="s">
        <v>1137</v>
      </c>
      <c r="AO410" s="81" t="s">
        <v>1172</v>
      </c>
      <c r="AP410" s="81" t="b">
        <v>0</v>
      </c>
      <c r="AQ410" s="89" t="s">
        <v>1137</v>
      </c>
      <c r="AR410" s="81" t="s">
        <v>325</v>
      </c>
      <c r="AS410" s="81">
        <v>0</v>
      </c>
      <c r="AT410" s="81">
        <v>0</v>
      </c>
      <c r="AU410" s="81"/>
      <c r="AV410" s="81"/>
      <c r="AW410" s="81"/>
      <c r="AX410" s="81"/>
      <c r="AY410" s="81"/>
      <c r="AZ410" s="81"/>
      <c r="BA410" s="81"/>
      <c r="BB410" s="81"/>
      <c r="BC410">
        <v>1</v>
      </c>
      <c r="BD410" s="80" t="str">
        <f>REPLACE(INDEX(GroupVertices[Group],MATCH(Edges[[#This Row],[Vertex 1]],GroupVertices[Vertex],0)),1,1,"")</f>
        <v>3</v>
      </c>
      <c r="BE410" s="80" t="str">
        <f>REPLACE(INDEX(GroupVertices[Group],MATCH(Edges[[#This Row],[Vertex 2]],GroupVertices[Vertex],0)),1,1,"")</f>
        <v>3</v>
      </c>
      <c r="BF410" s="48">
        <v>1</v>
      </c>
      <c r="BG410" s="49">
        <v>4.761904761904762</v>
      </c>
      <c r="BH410" s="48">
        <v>0</v>
      </c>
      <c r="BI410" s="49">
        <v>0</v>
      </c>
      <c r="BJ410" s="48">
        <v>0</v>
      </c>
      <c r="BK410" s="49">
        <v>0</v>
      </c>
      <c r="BL410" s="48">
        <v>20</v>
      </c>
      <c r="BM410" s="49">
        <v>95.23809523809524</v>
      </c>
      <c r="BN410" s="48">
        <v>21</v>
      </c>
    </row>
    <row r="411" spans="1:66" ht="15">
      <c r="A411" s="66" t="s">
        <v>511</v>
      </c>
      <c r="B411" s="66" t="s">
        <v>534</v>
      </c>
      <c r="C411" s="67" t="s">
        <v>3149</v>
      </c>
      <c r="D411" s="68">
        <v>4</v>
      </c>
      <c r="E411" s="69" t="s">
        <v>132</v>
      </c>
      <c r="F411" s="70">
        <v>30</v>
      </c>
      <c r="G411" s="67"/>
      <c r="H411" s="71"/>
      <c r="I411" s="72"/>
      <c r="J411" s="72"/>
      <c r="K411" s="34" t="s">
        <v>65</v>
      </c>
      <c r="L411" s="79">
        <v>411</v>
      </c>
      <c r="M411" s="79"/>
      <c r="N411" s="74"/>
      <c r="O411" s="81" t="s">
        <v>587</v>
      </c>
      <c r="P411" s="83">
        <v>44001.58336805556</v>
      </c>
      <c r="Q411" s="81" t="s">
        <v>611</v>
      </c>
      <c r="R411" s="84" t="str">
        <f>HYPERLINK("https://knightcenter.utexas.edu/JC/DATA0620.html")</f>
        <v>https://knightcenter.utexas.edu/JC/DATA0620.html</v>
      </c>
      <c r="S411" s="81" t="s">
        <v>689</v>
      </c>
      <c r="T411" s="81" t="s">
        <v>727</v>
      </c>
      <c r="U411" s="84" t="str">
        <f>HYPERLINK("https://pbs.twimg.com/ext_tw_video_thumb/1273978752125538307/pu/img/kpCVyFWWyrDKGPgH.jpg")</f>
        <v>https://pbs.twimg.com/ext_tw_video_thumb/1273978752125538307/pu/img/kpCVyFWWyrDKGPgH.jpg</v>
      </c>
      <c r="V411" s="84" t="str">
        <f>HYPERLINK("https://pbs.twimg.com/ext_tw_video_thumb/1273978752125538307/pu/img/kpCVyFWWyrDKGPgH.jpg")</f>
        <v>https://pbs.twimg.com/ext_tw_video_thumb/1273978752125538307/pu/img/kpCVyFWWyrDKGPgH.jpg</v>
      </c>
      <c r="W411" s="83">
        <v>44001.58336805556</v>
      </c>
      <c r="X411" s="87">
        <v>44001</v>
      </c>
      <c r="Y411" s="89" t="s">
        <v>929</v>
      </c>
      <c r="Z411" s="84" t="str">
        <f>HYPERLINK("https://twitter.com/utknightcenter/status/1273978856664371200")</f>
        <v>https://twitter.com/utknightcenter/status/1273978856664371200</v>
      </c>
      <c r="AA411" s="81"/>
      <c r="AB411" s="81"/>
      <c r="AC411" s="89" t="s">
        <v>1139</v>
      </c>
      <c r="AD411" s="81"/>
      <c r="AE411" s="81" t="b">
        <v>0</v>
      </c>
      <c r="AF411" s="81">
        <v>24</v>
      </c>
      <c r="AG411" s="89" t="s">
        <v>1149</v>
      </c>
      <c r="AH411" s="81" t="b">
        <v>0</v>
      </c>
      <c r="AI411" s="81" t="s">
        <v>1150</v>
      </c>
      <c r="AJ411" s="81"/>
      <c r="AK411" s="89" t="s">
        <v>1149</v>
      </c>
      <c r="AL411" s="81" t="b">
        <v>0</v>
      </c>
      <c r="AM411" s="81">
        <v>23</v>
      </c>
      <c r="AN411" s="89" t="s">
        <v>1149</v>
      </c>
      <c r="AO411" s="81" t="s">
        <v>1175</v>
      </c>
      <c r="AP411" s="81" t="b">
        <v>0</v>
      </c>
      <c r="AQ411" s="89" t="s">
        <v>1139</v>
      </c>
      <c r="AR411" s="81" t="s">
        <v>586</v>
      </c>
      <c r="AS411" s="81">
        <v>0</v>
      </c>
      <c r="AT411" s="81">
        <v>0</v>
      </c>
      <c r="AU411" s="81"/>
      <c r="AV411" s="81"/>
      <c r="AW411" s="81"/>
      <c r="AX411" s="81"/>
      <c r="AY411" s="81"/>
      <c r="AZ411" s="81"/>
      <c r="BA411" s="81"/>
      <c r="BB411" s="81"/>
      <c r="BC411">
        <v>1</v>
      </c>
      <c r="BD411" s="80" t="str">
        <f>REPLACE(INDEX(GroupVertices[Group],MATCH(Edges[[#This Row],[Vertex 1]],GroupVertices[Vertex],0)),1,1,"")</f>
        <v>4</v>
      </c>
      <c r="BE411" s="80" t="str">
        <f>REPLACE(INDEX(GroupVertices[Group],MATCH(Edges[[#This Row],[Vertex 2]],GroupVertices[Vertex],0)),1,1,"")</f>
        <v>4</v>
      </c>
      <c r="BF411" s="48">
        <v>1</v>
      </c>
      <c r="BG411" s="49">
        <v>3.125</v>
      </c>
      <c r="BH411" s="48">
        <v>1</v>
      </c>
      <c r="BI411" s="49">
        <v>3.125</v>
      </c>
      <c r="BJ411" s="48">
        <v>0</v>
      </c>
      <c r="BK411" s="49">
        <v>0</v>
      </c>
      <c r="BL411" s="48">
        <v>30</v>
      </c>
      <c r="BM411" s="49">
        <v>93.75</v>
      </c>
      <c r="BN411" s="48">
        <v>32</v>
      </c>
    </row>
    <row r="412" spans="1:66" ht="15">
      <c r="A412" s="66" t="s">
        <v>512</v>
      </c>
      <c r="B412" s="66" t="s">
        <v>534</v>
      </c>
      <c r="C412" s="67" t="s">
        <v>3149</v>
      </c>
      <c r="D412" s="68">
        <v>4</v>
      </c>
      <c r="E412" s="69" t="s">
        <v>132</v>
      </c>
      <c r="F412" s="70">
        <v>30</v>
      </c>
      <c r="G412" s="67"/>
      <c r="H412" s="71"/>
      <c r="I412" s="72"/>
      <c r="J412" s="72"/>
      <c r="K412" s="34" t="s">
        <v>65</v>
      </c>
      <c r="L412" s="79">
        <v>412</v>
      </c>
      <c r="M412" s="79"/>
      <c r="N412" s="74"/>
      <c r="O412" s="81" t="s">
        <v>588</v>
      </c>
      <c r="P412" s="83">
        <v>44005.42260416667</v>
      </c>
      <c r="Q412" s="81" t="s">
        <v>611</v>
      </c>
      <c r="R412" s="81"/>
      <c r="S412" s="81"/>
      <c r="T412" s="81" t="s">
        <v>711</v>
      </c>
      <c r="U412" s="81"/>
      <c r="V412" s="84" t="str">
        <f>HYPERLINK("http://pbs.twimg.com/profile_images/1161079847885713414/5bPKf5IT_normal.jpg")</f>
        <v>http://pbs.twimg.com/profile_images/1161079847885713414/5bPKf5IT_normal.jpg</v>
      </c>
      <c r="W412" s="83">
        <v>44005.42260416667</v>
      </c>
      <c r="X412" s="87">
        <v>44005</v>
      </c>
      <c r="Y412" s="89" t="s">
        <v>930</v>
      </c>
      <c r="Z412" s="84" t="str">
        <f>HYPERLINK("https://twitter.com/ephemerist08/status/1275370149151862784")</f>
        <v>https://twitter.com/ephemerist08/status/1275370149151862784</v>
      </c>
      <c r="AA412" s="81"/>
      <c r="AB412" s="81"/>
      <c r="AC412" s="89" t="s">
        <v>1140</v>
      </c>
      <c r="AD412" s="81"/>
      <c r="AE412" s="81" t="b">
        <v>0</v>
      </c>
      <c r="AF412" s="81">
        <v>0</v>
      </c>
      <c r="AG412" s="89" t="s">
        <v>1149</v>
      </c>
      <c r="AH412" s="81" t="b">
        <v>0</v>
      </c>
      <c r="AI412" s="81" t="s">
        <v>1150</v>
      </c>
      <c r="AJ412" s="81"/>
      <c r="AK412" s="89" t="s">
        <v>1149</v>
      </c>
      <c r="AL412" s="81" t="b">
        <v>0</v>
      </c>
      <c r="AM412" s="81">
        <v>23</v>
      </c>
      <c r="AN412" s="89" t="s">
        <v>1139</v>
      </c>
      <c r="AO412" s="81" t="s">
        <v>1172</v>
      </c>
      <c r="AP412" s="81" t="b">
        <v>0</v>
      </c>
      <c r="AQ412" s="89" t="s">
        <v>1139</v>
      </c>
      <c r="AR412" s="81" t="s">
        <v>325</v>
      </c>
      <c r="AS412" s="81">
        <v>0</v>
      </c>
      <c r="AT412" s="81">
        <v>0</v>
      </c>
      <c r="AU412" s="81"/>
      <c r="AV412" s="81"/>
      <c r="AW412" s="81"/>
      <c r="AX412" s="81"/>
      <c r="AY412" s="81"/>
      <c r="AZ412" s="81"/>
      <c r="BA412" s="81"/>
      <c r="BB412" s="81"/>
      <c r="BC412">
        <v>1</v>
      </c>
      <c r="BD412" s="80" t="str">
        <f>REPLACE(INDEX(GroupVertices[Group],MATCH(Edges[[#This Row],[Vertex 1]],GroupVertices[Vertex],0)),1,1,"")</f>
        <v>4</v>
      </c>
      <c r="BE412" s="80" t="str">
        <f>REPLACE(INDEX(GroupVertices[Group],MATCH(Edges[[#This Row],[Vertex 2]],GroupVertices[Vertex],0)),1,1,"")</f>
        <v>4</v>
      </c>
      <c r="BF412" s="48"/>
      <c r="BG412" s="49"/>
      <c r="BH412" s="48"/>
      <c r="BI412" s="49"/>
      <c r="BJ412" s="48"/>
      <c r="BK412" s="49"/>
      <c r="BL412" s="48"/>
      <c r="BM412" s="49"/>
      <c r="BN412" s="48"/>
    </row>
    <row r="413" spans="1:66" ht="15">
      <c r="A413" s="66" t="s">
        <v>512</v>
      </c>
      <c r="B413" s="66" t="s">
        <v>511</v>
      </c>
      <c r="C413" s="67" t="s">
        <v>3149</v>
      </c>
      <c r="D413" s="68">
        <v>4</v>
      </c>
      <c r="E413" s="69" t="s">
        <v>132</v>
      </c>
      <c r="F413" s="70">
        <v>30</v>
      </c>
      <c r="G413" s="67"/>
      <c r="H413" s="71"/>
      <c r="I413" s="72"/>
      <c r="J413" s="72"/>
      <c r="K413" s="34" t="s">
        <v>65</v>
      </c>
      <c r="L413" s="79">
        <v>413</v>
      </c>
      <c r="M413" s="79"/>
      <c r="N413" s="74"/>
      <c r="O413" s="81" t="s">
        <v>586</v>
      </c>
      <c r="P413" s="83">
        <v>44005.42260416667</v>
      </c>
      <c r="Q413" s="81" t="s">
        <v>611</v>
      </c>
      <c r="R413" s="81"/>
      <c r="S413" s="81"/>
      <c r="T413" s="81" t="s">
        <v>711</v>
      </c>
      <c r="U413" s="81"/>
      <c r="V413" s="84" t="str">
        <f>HYPERLINK("http://pbs.twimg.com/profile_images/1161079847885713414/5bPKf5IT_normal.jpg")</f>
        <v>http://pbs.twimg.com/profile_images/1161079847885713414/5bPKf5IT_normal.jpg</v>
      </c>
      <c r="W413" s="83">
        <v>44005.42260416667</v>
      </c>
      <c r="X413" s="87">
        <v>44005</v>
      </c>
      <c r="Y413" s="89" t="s">
        <v>930</v>
      </c>
      <c r="Z413" s="84" t="str">
        <f>HYPERLINK("https://twitter.com/ephemerist08/status/1275370149151862784")</f>
        <v>https://twitter.com/ephemerist08/status/1275370149151862784</v>
      </c>
      <c r="AA413" s="81"/>
      <c r="AB413" s="81"/>
      <c r="AC413" s="89" t="s">
        <v>1140</v>
      </c>
      <c r="AD413" s="81"/>
      <c r="AE413" s="81" t="b">
        <v>0</v>
      </c>
      <c r="AF413" s="81">
        <v>0</v>
      </c>
      <c r="AG413" s="89" t="s">
        <v>1149</v>
      </c>
      <c r="AH413" s="81" t="b">
        <v>0</v>
      </c>
      <c r="AI413" s="81" t="s">
        <v>1150</v>
      </c>
      <c r="AJ413" s="81"/>
      <c r="AK413" s="89" t="s">
        <v>1149</v>
      </c>
      <c r="AL413" s="81" t="b">
        <v>0</v>
      </c>
      <c r="AM413" s="81">
        <v>23</v>
      </c>
      <c r="AN413" s="89" t="s">
        <v>1139</v>
      </c>
      <c r="AO413" s="81" t="s">
        <v>1172</v>
      </c>
      <c r="AP413" s="81" t="b">
        <v>0</v>
      </c>
      <c r="AQ413" s="89" t="s">
        <v>1139</v>
      </c>
      <c r="AR413" s="81" t="s">
        <v>325</v>
      </c>
      <c r="AS413" s="81">
        <v>0</v>
      </c>
      <c r="AT413" s="81">
        <v>0</v>
      </c>
      <c r="AU413" s="81"/>
      <c r="AV413" s="81"/>
      <c r="AW413" s="81"/>
      <c r="AX413" s="81"/>
      <c r="AY413" s="81"/>
      <c r="AZ413" s="81"/>
      <c r="BA413" s="81"/>
      <c r="BB413" s="81"/>
      <c r="BC413">
        <v>1</v>
      </c>
      <c r="BD413" s="80" t="str">
        <f>REPLACE(INDEX(GroupVertices[Group],MATCH(Edges[[#This Row],[Vertex 1]],GroupVertices[Vertex],0)),1,1,"")</f>
        <v>4</v>
      </c>
      <c r="BE413" s="80" t="str">
        <f>REPLACE(INDEX(GroupVertices[Group],MATCH(Edges[[#This Row],[Vertex 2]],GroupVertices[Vertex],0)),1,1,"")</f>
        <v>4</v>
      </c>
      <c r="BF413" s="48">
        <v>1</v>
      </c>
      <c r="BG413" s="49">
        <v>3.125</v>
      </c>
      <c r="BH413" s="48">
        <v>1</v>
      </c>
      <c r="BI413" s="49">
        <v>3.125</v>
      </c>
      <c r="BJ413" s="48">
        <v>0</v>
      </c>
      <c r="BK413" s="49">
        <v>0</v>
      </c>
      <c r="BL413" s="48">
        <v>30</v>
      </c>
      <c r="BM413" s="49">
        <v>93.75</v>
      </c>
      <c r="BN413" s="48">
        <v>32</v>
      </c>
    </row>
    <row r="414" spans="1:66" ht="15">
      <c r="A414" s="66" t="s">
        <v>513</v>
      </c>
      <c r="B414" s="66" t="s">
        <v>514</v>
      </c>
      <c r="C414" s="67" t="s">
        <v>3149</v>
      </c>
      <c r="D414" s="68">
        <v>4</v>
      </c>
      <c r="E414" s="69" t="s">
        <v>132</v>
      </c>
      <c r="F414" s="70">
        <v>30</v>
      </c>
      <c r="G414" s="67"/>
      <c r="H414" s="71"/>
      <c r="I414" s="72"/>
      <c r="J414" s="72"/>
      <c r="K414" s="34" t="s">
        <v>66</v>
      </c>
      <c r="L414" s="79">
        <v>414</v>
      </c>
      <c r="M414" s="79"/>
      <c r="N414" s="74"/>
      <c r="O414" s="81" t="s">
        <v>586</v>
      </c>
      <c r="P414" s="83">
        <v>44004.820069444446</v>
      </c>
      <c r="Q414" s="81" t="s">
        <v>595</v>
      </c>
      <c r="R414" s="81"/>
      <c r="S414" s="81"/>
      <c r="T414" s="81"/>
      <c r="U414" s="81"/>
      <c r="V414" s="84" t="str">
        <f>HYPERLINK("http://pbs.twimg.com/profile_images/669640125081632768/c6jqu46E_normal.jpg")</f>
        <v>http://pbs.twimg.com/profile_images/669640125081632768/c6jqu46E_normal.jpg</v>
      </c>
      <c r="W414" s="83">
        <v>44004.820069444446</v>
      </c>
      <c r="X414" s="87">
        <v>44004</v>
      </c>
      <c r="Y414" s="89" t="s">
        <v>931</v>
      </c>
      <c r="Z414" s="84" t="str">
        <f>HYPERLINK("https://twitter.com/johnlsheridan/status/1275151799985602560")</f>
        <v>https://twitter.com/johnlsheridan/status/1275151799985602560</v>
      </c>
      <c r="AA414" s="81"/>
      <c r="AB414" s="81"/>
      <c r="AC414" s="89" t="s">
        <v>1141</v>
      </c>
      <c r="AD414" s="81"/>
      <c r="AE414" s="81" t="b">
        <v>0</v>
      </c>
      <c r="AF414" s="81">
        <v>0</v>
      </c>
      <c r="AG414" s="89" t="s">
        <v>1149</v>
      </c>
      <c r="AH414" s="81" t="b">
        <v>0</v>
      </c>
      <c r="AI414" s="81" t="s">
        <v>1150</v>
      </c>
      <c r="AJ414" s="81"/>
      <c r="AK414" s="89" t="s">
        <v>1149</v>
      </c>
      <c r="AL414" s="81" t="b">
        <v>0</v>
      </c>
      <c r="AM414" s="81">
        <v>37</v>
      </c>
      <c r="AN414" s="89" t="s">
        <v>1142</v>
      </c>
      <c r="AO414" s="81" t="s">
        <v>1165</v>
      </c>
      <c r="AP414" s="81" t="b">
        <v>0</v>
      </c>
      <c r="AQ414" s="89" t="s">
        <v>1142</v>
      </c>
      <c r="AR414" s="81" t="s">
        <v>325</v>
      </c>
      <c r="AS414" s="81">
        <v>0</v>
      </c>
      <c r="AT414" s="81">
        <v>0</v>
      </c>
      <c r="AU414" s="81"/>
      <c r="AV414" s="81"/>
      <c r="AW414" s="81"/>
      <c r="AX414" s="81"/>
      <c r="AY414" s="81"/>
      <c r="AZ414" s="81"/>
      <c r="BA414" s="81"/>
      <c r="BB414" s="81"/>
      <c r="BC414">
        <v>1</v>
      </c>
      <c r="BD414" s="80" t="str">
        <f>REPLACE(INDEX(GroupVertices[Group],MATCH(Edges[[#This Row],[Vertex 1]],GroupVertices[Vertex],0)),1,1,"")</f>
        <v>2</v>
      </c>
      <c r="BE414" s="80" t="str">
        <f>REPLACE(INDEX(GroupVertices[Group],MATCH(Edges[[#This Row],[Vertex 2]],GroupVertices[Vertex],0)),1,1,"")</f>
        <v>2</v>
      </c>
      <c r="BF414" s="48">
        <v>3</v>
      </c>
      <c r="BG414" s="49">
        <v>7.5</v>
      </c>
      <c r="BH414" s="48">
        <v>0</v>
      </c>
      <c r="BI414" s="49">
        <v>0</v>
      </c>
      <c r="BJ414" s="48">
        <v>0</v>
      </c>
      <c r="BK414" s="49">
        <v>0</v>
      </c>
      <c r="BL414" s="48">
        <v>37</v>
      </c>
      <c r="BM414" s="49">
        <v>92.5</v>
      </c>
      <c r="BN414" s="48">
        <v>40</v>
      </c>
    </row>
    <row r="415" spans="1:66" ht="15">
      <c r="A415" s="66" t="s">
        <v>514</v>
      </c>
      <c r="B415" s="66" t="s">
        <v>513</v>
      </c>
      <c r="C415" s="67" t="s">
        <v>3149</v>
      </c>
      <c r="D415" s="68">
        <v>4</v>
      </c>
      <c r="E415" s="69" t="s">
        <v>132</v>
      </c>
      <c r="F415" s="70">
        <v>30</v>
      </c>
      <c r="G415" s="67"/>
      <c r="H415" s="71"/>
      <c r="I415" s="72"/>
      <c r="J415" s="72"/>
      <c r="K415" s="34" t="s">
        <v>66</v>
      </c>
      <c r="L415" s="79">
        <v>415</v>
      </c>
      <c r="M415" s="79"/>
      <c r="N415" s="74"/>
      <c r="O415" s="81" t="s">
        <v>587</v>
      </c>
      <c r="P415" s="83">
        <v>44004.46513888889</v>
      </c>
      <c r="Q415" s="81" t="s">
        <v>595</v>
      </c>
      <c r="R415" s="84" t="str">
        <f>HYPERLINK("https://www.civilservicejobs.service.gov.uk/csr/jobs.cgi?jcode=1670513")</f>
        <v>https://www.civilservicejobs.service.gov.uk/csr/jobs.cgi?jcode=1670513</v>
      </c>
      <c r="S415" s="81" t="s">
        <v>690</v>
      </c>
      <c r="T415" s="81" t="s">
        <v>728</v>
      </c>
      <c r="U415" s="81"/>
      <c r="V415" s="84" t="str">
        <f>HYPERLINK("http://pbs.twimg.com/profile_images/1266685862915584005/UyURI2iR_normal.jpg")</f>
        <v>http://pbs.twimg.com/profile_images/1266685862915584005/UyURI2iR_normal.jpg</v>
      </c>
      <c r="W415" s="83">
        <v>44004.46513888889</v>
      </c>
      <c r="X415" s="87">
        <v>44004</v>
      </c>
      <c r="Y415" s="89" t="s">
        <v>932</v>
      </c>
      <c r="Z415" s="84" t="str">
        <f>HYPERLINK("https://twitter.com/puntofisso/status/1275023175747805186")</f>
        <v>https://twitter.com/puntofisso/status/1275023175747805186</v>
      </c>
      <c r="AA415" s="81"/>
      <c r="AB415" s="81"/>
      <c r="AC415" s="89" t="s">
        <v>1142</v>
      </c>
      <c r="AD415" s="81"/>
      <c r="AE415" s="81" t="b">
        <v>0</v>
      </c>
      <c r="AF415" s="81">
        <v>27</v>
      </c>
      <c r="AG415" s="89" t="s">
        <v>1149</v>
      </c>
      <c r="AH415" s="81" t="b">
        <v>0</v>
      </c>
      <c r="AI415" s="81" t="s">
        <v>1150</v>
      </c>
      <c r="AJ415" s="81"/>
      <c r="AK415" s="89" t="s">
        <v>1149</v>
      </c>
      <c r="AL415" s="81" t="b">
        <v>0</v>
      </c>
      <c r="AM415" s="81">
        <v>37</v>
      </c>
      <c r="AN415" s="89" t="s">
        <v>1149</v>
      </c>
      <c r="AO415" s="81" t="s">
        <v>1175</v>
      </c>
      <c r="AP415" s="81" t="b">
        <v>0</v>
      </c>
      <c r="AQ415" s="89" t="s">
        <v>1142</v>
      </c>
      <c r="AR415" s="81" t="s">
        <v>325</v>
      </c>
      <c r="AS415" s="81">
        <v>0</v>
      </c>
      <c r="AT415" s="81">
        <v>0</v>
      </c>
      <c r="AU415" s="81"/>
      <c r="AV415" s="81"/>
      <c r="AW415" s="81"/>
      <c r="AX415" s="81"/>
      <c r="AY415" s="81"/>
      <c r="AZ415" s="81"/>
      <c r="BA415" s="81"/>
      <c r="BB415" s="81"/>
      <c r="BC415">
        <v>1</v>
      </c>
      <c r="BD415" s="80" t="str">
        <f>REPLACE(INDEX(GroupVertices[Group],MATCH(Edges[[#This Row],[Vertex 1]],GroupVertices[Vertex],0)),1,1,"")</f>
        <v>2</v>
      </c>
      <c r="BE415" s="80" t="str">
        <f>REPLACE(INDEX(GroupVertices[Group],MATCH(Edges[[#This Row],[Vertex 2]],GroupVertices[Vertex],0)),1,1,"")</f>
        <v>2</v>
      </c>
      <c r="BF415" s="48">
        <v>3</v>
      </c>
      <c r="BG415" s="49">
        <v>7.5</v>
      </c>
      <c r="BH415" s="48">
        <v>0</v>
      </c>
      <c r="BI415" s="49">
        <v>0</v>
      </c>
      <c r="BJ415" s="48">
        <v>0</v>
      </c>
      <c r="BK415" s="49">
        <v>0</v>
      </c>
      <c r="BL415" s="48">
        <v>37</v>
      </c>
      <c r="BM415" s="49">
        <v>92.5</v>
      </c>
      <c r="BN415" s="48">
        <v>40</v>
      </c>
    </row>
    <row r="416" spans="1:66" ht="15">
      <c r="A416" s="66" t="s">
        <v>514</v>
      </c>
      <c r="B416" s="66" t="s">
        <v>514</v>
      </c>
      <c r="C416" s="67" t="s">
        <v>3151</v>
      </c>
      <c r="D416" s="68">
        <v>6</v>
      </c>
      <c r="E416" s="69" t="s">
        <v>132</v>
      </c>
      <c r="F416" s="70">
        <v>23.333333333333332</v>
      </c>
      <c r="G416" s="67"/>
      <c r="H416" s="71"/>
      <c r="I416" s="72"/>
      <c r="J416" s="72"/>
      <c r="K416" s="34" t="s">
        <v>65</v>
      </c>
      <c r="L416" s="79">
        <v>416</v>
      </c>
      <c r="M416" s="79"/>
      <c r="N416" s="74"/>
      <c r="O416" s="81" t="s">
        <v>325</v>
      </c>
      <c r="P416" s="83">
        <v>44004.84018518519</v>
      </c>
      <c r="Q416" s="81" t="s">
        <v>613</v>
      </c>
      <c r="R416" s="84" t="str">
        <f>HYPERLINK("http://puntofisso.net/newsletter/")</f>
        <v>http://puntofisso.net/newsletter/</v>
      </c>
      <c r="S416" s="81" t="s">
        <v>691</v>
      </c>
      <c r="T416" s="81" t="s">
        <v>729</v>
      </c>
      <c r="U416" s="84" t="str">
        <f>HYPERLINK("https://pbs.twimg.com/tweet_video_thumb/EbJGD2zWsAIk9A7.jpg")</f>
        <v>https://pbs.twimg.com/tweet_video_thumb/EbJGD2zWsAIk9A7.jpg</v>
      </c>
      <c r="V416" s="84" t="str">
        <f>HYPERLINK("https://pbs.twimg.com/tweet_video_thumb/EbJGD2zWsAIk9A7.jpg")</f>
        <v>https://pbs.twimg.com/tweet_video_thumb/EbJGD2zWsAIk9A7.jpg</v>
      </c>
      <c r="W416" s="83">
        <v>44004.84018518519</v>
      </c>
      <c r="X416" s="87">
        <v>44004</v>
      </c>
      <c r="Y416" s="89" t="s">
        <v>933</v>
      </c>
      <c r="Z416" s="84" t="str">
        <f>HYPERLINK("https://twitter.com/puntofisso/status/1275159085848109056")</f>
        <v>https://twitter.com/puntofisso/status/1275159085848109056</v>
      </c>
      <c r="AA416" s="81"/>
      <c r="AB416" s="81"/>
      <c r="AC416" s="89" t="s">
        <v>1143</v>
      </c>
      <c r="AD416" s="81"/>
      <c r="AE416" s="81" t="b">
        <v>0</v>
      </c>
      <c r="AF416" s="81">
        <v>8</v>
      </c>
      <c r="AG416" s="89" t="s">
        <v>1149</v>
      </c>
      <c r="AH416" s="81" t="b">
        <v>0</v>
      </c>
      <c r="AI416" s="81" t="s">
        <v>1150</v>
      </c>
      <c r="AJ416" s="81"/>
      <c r="AK416" s="89" t="s">
        <v>1149</v>
      </c>
      <c r="AL416" s="81" t="b">
        <v>0</v>
      </c>
      <c r="AM416" s="81">
        <v>3</v>
      </c>
      <c r="AN416" s="89" t="s">
        <v>1149</v>
      </c>
      <c r="AO416" s="81" t="s">
        <v>1175</v>
      </c>
      <c r="AP416" s="81" t="b">
        <v>0</v>
      </c>
      <c r="AQ416" s="89" t="s">
        <v>1143</v>
      </c>
      <c r="AR416" s="81" t="s">
        <v>325</v>
      </c>
      <c r="AS416" s="81">
        <v>0</v>
      </c>
      <c r="AT416" s="81">
        <v>0</v>
      </c>
      <c r="AU416" s="81"/>
      <c r="AV416" s="81"/>
      <c r="AW416" s="81"/>
      <c r="AX416" s="81"/>
      <c r="AY416" s="81"/>
      <c r="AZ416" s="81"/>
      <c r="BA416" s="81"/>
      <c r="BB416" s="81"/>
      <c r="BC416">
        <v>2</v>
      </c>
      <c r="BD416" s="80" t="str">
        <f>REPLACE(INDEX(GroupVertices[Group],MATCH(Edges[[#This Row],[Vertex 1]],GroupVertices[Vertex],0)),1,1,"")</f>
        <v>2</v>
      </c>
      <c r="BE416" s="80" t="str">
        <f>REPLACE(INDEX(GroupVertices[Group],MATCH(Edges[[#This Row],[Vertex 2]],GroupVertices[Vertex],0)),1,1,"")</f>
        <v>2</v>
      </c>
      <c r="BF416" s="48">
        <v>1</v>
      </c>
      <c r="BG416" s="49">
        <v>4.545454545454546</v>
      </c>
      <c r="BH416" s="48">
        <v>1</v>
      </c>
      <c r="BI416" s="49">
        <v>4.545454545454546</v>
      </c>
      <c r="BJ416" s="48">
        <v>0</v>
      </c>
      <c r="BK416" s="49">
        <v>0</v>
      </c>
      <c r="BL416" s="48">
        <v>20</v>
      </c>
      <c r="BM416" s="49">
        <v>90.9090909090909</v>
      </c>
      <c r="BN416" s="48">
        <v>22</v>
      </c>
    </row>
    <row r="417" spans="1:66" ht="15">
      <c r="A417" s="66" t="s">
        <v>514</v>
      </c>
      <c r="B417" s="66" t="s">
        <v>514</v>
      </c>
      <c r="C417" s="67" t="s">
        <v>3151</v>
      </c>
      <c r="D417" s="68">
        <v>6</v>
      </c>
      <c r="E417" s="69" t="s">
        <v>132</v>
      </c>
      <c r="F417" s="70">
        <v>23.333333333333332</v>
      </c>
      <c r="G417" s="67"/>
      <c r="H417" s="71"/>
      <c r="I417" s="72"/>
      <c r="J417" s="72"/>
      <c r="K417" s="34" t="s">
        <v>65</v>
      </c>
      <c r="L417" s="79">
        <v>417</v>
      </c>
      <c r="M417" s="79"/>
      <c r="N417" s="74"/>
      <c r="O417" s="81" t="s">
        <v>586</v>
      </c>
      <c r="P417" s="83">
        <v>44005.436435185184</v>
      </c>
      <c r="Q417" s="81" t="s">
        <v>613</v>
      </c>
      <c r="R417" s="81"/>
      <c r="S417" s="81"/>
      <c r="T417" s="81" t="s">
        <v>699</v>
      </c>
      <c r="U417" s="81"/>
      <c r="V417" s="84" t="str">
        <f>HYPERLINK("http://pbs.twimg.com/profile_images/1266685862915584005/UyURI2iR_normal.jpg")</f>
        <v>http://pbs.twimg.com/profile_images/1266685862915584005/UyURI2iR_normal.jpg</v>
      </c>
      <c r="W417" s="83">
        <v>44005.436435185184</v>
      </c>
      <c r="X417" s="87">
        <v>44005</v>
      </c>
      <c r="Y417" s="89" t="s">
        <v>934</v>
      </c>
      <c r="Z417" s="84" t="str">
        <f>HYPERLINK("https://twitter.com/puntofisso/status/1275375160619663360")</f>
        <v>https://twitter.com/puntofisso/status/1275375160619663360</v>
      </c>
      <c r="AA417" s="81"/>
      <c r="AB417" s="81"/>
      <c r="AC417" s="89" t="s">
        <v>1144</v>
      </c>
      <c r="AD417" s="81"/>
      <c r="AE417" s="81" t="b">
        <v>0</v>
      </c>
      <c r="AF417" s="81">
        <v>0</v>
      </c>
      <c r="AG417" s="89" t="s">
        <v>1149</v>
      </c>
      <c r="AH417" s="81" t="b">
        <v>0</v>
      </c>
      <c r="AI417" s="81" t="s">
        <v>1150</v>
      </c>
      <c r="AJ417" s="81"/>
      <c r="AK417" s="89" t="s">
        <v>1149</v>
      </c>
      <c r="AL417" s="81" t="b">
        <v>0</v>
      </c>
      <c r="AM417" s="81">
        <v>3</v>
      </c>
      <c r="AN417" s="89" t="s">
        <v>1143</v>
      </c>
      <c r="AO417" s="81" t="s">
        <v>1175</v>
      </c>
      <c r="AP417" s="81" t="b">
        <v>0</v>
      </c>
      <c r="AQ417" s="89" t="s">
        <v>1143</v>
      </c>
      <c r="AR417" s="81" t="s">
        <v>325</v>
      </c>
      <c r="AS417" s="81">
        <v>0</v>
      </c>
      <c r="AT417" s="81">
        <v>0</v>
      </c>
      <c r="AU417" s="81"/>
      <c r="AV417" s="81"/>
      <c r="AW417" s="81"/>
      <c r="AX417" s="81"/>
      <c r="AY417" s="81"/>
      <c r="AZ417" s="81"/>
      <c r="BA417" s="81"/>
      <c r="BB417" s="81"/>
      <c r="BC417">
        <v>2</v>
      </c>
      <c r="BD417" s="80" t="str">
        <f>REPLACE(INDEX(GroupVertices[Group],MATCH(Edges[[#This Row],[Vertex 1]],GroupVertices[Vertex],0)),1,1,"")</f>
        <v>2</v>
      </c>
      <c r="BE417" s="80" t="str">
        <f>REPLACE(INDEX(GroupVertices[Group],MATCH(Edges[[#This Row],[Vertex 2]],GroupVertices[Vertex],0)),1,1,"")</f>
        <v>2</v>
      </c>
      <c r="BF417" s="48">
        <v>1</v>
      </c>
      <c r="BG417" s="49">
        <v>4.545454545454546</v>
      </c>
      <c r="BH417" s="48">
        <v>1</v>
      </c>
      <c r="BI417" s="49">
        <v>4.545454545454546</v>
      </c>
      <c r="BJ417" s="48">
        <v>0</v>
      </c>
      <c r="BK417" s="49">
        <v>0</v>
      </c>
      <c r="BL417" s="48">
        <v>20</v>
      </c>
      <c r="BM417" s="49">
        <v>90.9090909090909</v>
      </c>
      <c r="BN417" s="48">
        <v>22</v>
      </c>
    </row>
    <row r="418" spans="1:66" ht="15">
      <c r="A418" s="66" t="s">
        <v>515</v>
      </c>
      <c r="B418" s="66" t="s">
        <v>515</v>
      </c>
      <c r="C418" s="67" t="s">
        <v>3149</v>
      </c>
      <c r="D418" s="68">
        <v>4</v>
      </c>
      <c r="E418" s="69" t="s">
        <v>132</v>
      </c>
      <c r="F418" s="70">
        <v>30</v>
      </c>
      <c r="G418" s="67"/>
      <c r="H418" s="71"/>
      <c r="I418" s="72"/>
      <c r="J418" s="72"/>
      <c r="K418" s="34" t="s">
        <v>65</v>
      </c>
      <c r="L418" s="79">
        <v>418</v>
      </c>
      <c r="M418" s="79"/>
      <c r="N418" s="74"/>
      <c r="O418" s="81" t="s">
        <v>325</v>
      </c>
      <c r="P418" s="83">
        <v>44005.44260416667</v>
      </c>
      <c r="Q418" s="81" t="s">
        <v>674</v>
      </c>
      <c r="R418" s="84" t="str">
        <f>HYPERLINK("https://twitter.com/hatr/status/1275294646349041664")</f>
        <v>https://twitter.com/hatr/status/1275294646349041664</v>
      </c>
      <c r="S418" s="81" t="s">
        <v>676</v>
      </c>
      <c r="T418" s="81" t="s">
        <v>707</v>
      </c>
      <c r="U418" s="81"/>
      <c r="V418" s="84" t="str">
        <f>HYPERLINK("http://pbs.twimg.com/profile_images/1190575461610459136/0VDw_7oY_normal.jpg")</f>
        <v>http://pbs.twimg.com/profile_images/1190575461610459136/0VDw_7oY_normal.jpg</v>
      </c>
      <c r="W418" s="83">
        <v>44005.44260416667</v>
      </c>
      <c r="X418" s="87">
        <v>44005</v>
      </c>
      <c r="Y418" s="89" t="s">
        <v>935</v>
      </c>
      <c r="Z418" s="84" t="str">
        <f>HYPERLINK("https://twitter.com/na7al13/status/1275377398259822592")</f>
        <v>https://twitter.com/na7al13/status/1275377398259822592</v>
      </c>
      <c r="AA418" s="81"/>
      <c r="AB418" s="81"/>
      <c r="AC418" s="89" t="s">
        <v>1145</v>
      </c>
      <c r="AD418" s="81"/>
      <c r="AE418" s="81" t="b">
        <v>0</v>
      </c>
      <c r="AF418" s="81">
        <v>0</v>
      </c>
      <c r="AG418" s="89" t="s">
        <v>1149</v>
      </c>
      <c r="AH418" s="81" t="b">
        <v>1</v>
      </c>
      <c r="AI418" s="81" t="s">
        <v>1150</v>
      </c>
      <c r="AJ418" s="81"/>
      <c r="AK418" s="89" t="s">
        <v>1164</v>
      </c>
      <c r="AL418" s="81" t="b">
        <v>0</v>
      </c>
      <c r="AM418" s="81">
        <v>0</v>
      </c>
      <c r="AN418" s="89" t="s">
        <v>1149</v>
      </c>
      <c r="AO418" s="81" t="s">
        <v>1172</v>
      </c>
      <c r="AP418" s="81" t="b">
        <v>0</v>
      </c>
      <c r="AQ418" s="89" t="s">
        <v>1145</v>
      </c>
      <c r="AR418" s="81" t="s">
        <v>325</v>
      </c>
      <c r="AS418" s="81">
        <v>0</v>
      </c>
      <c r="AT418" s="81">
        <v>0</v>
      </c>
      <c r="AU418" s="81"/>
      <c r="AV418" s="81"/>
      <c r="AW418" s="81"/>
      <c r="AX418" s="81"/>
      <c r="AY418" s="81"/>
      <c r="AZ418" s="81"/>
      <c r="BA418" s="81"/>
      <c r="BB418" s="81"/>
      <c r="BC418">
        <v>1</v>
      </c>
      <c r="BD418" s="80" t="str">
        <f>REPLACE(INDEX(GroupVertices[Group],MATCH(Edges[[#This Row],[Vertex 1]],GroupVertices[Vertex],0)),1,1,"")</f>
        <v>8</v>
      </c>
      <c r="BE418" s="80" t="str">
        <f>REPLACE(INDEX(GroupVertices[Group],MATCH(Edges[[#This Row],[Vertex 2]],GroupVertices[Vertex],0)),1,1,"")</f>
        <v>8</v>
      </c>
      <c r="BF418" s="48">
        <v>0</v>
      </c>
      <c r="BG418" s="49">
        <v>0</v>
      </c>
      <c r="BH418" s="48">
        <v>0</v>
      </c>
      <c r="BI418" s="49">
        <v>0</v>
      </c>
      <c r="BJ418" s="48">
        <v>0</v>
      </c>
      <c r="BK418" s="49">
        <v>0</v>
      </c>
      <c r="BL418" s="48">
        <v>4</v>
      </c>
      <c r="BM418" s="49">
        <v>100</v>
      </c>
      <c r="BN418" s="48">
        <v>4</v>
      </c>
    </row>
    <row r="419" spans="1:66" ht="15">
      <c r="A419" s="66" t="s">
        <v>516</v>
      </c>
      <c r="B419" s="66" t="s">
        <v>528</v>
      </c>
      <c r="C419" s="67" t="s">
        <v>3149</v>
      </c>
      <c r="D419" s="68">
        <v>4</v>
      </c>
      <c r="E419" s="69" t="s">
        <v>132</v>
      </c>
      <c r="F419" s="70">
        <v>30</v>
      </c>
      <c r="G419" s="67"/>
      <c r="H419" s="71"/>
      <c r="I419" s="72"/>
      <c r="J419" s="72"/>
      <c r="K419" s="34" t="s">
        <v>65</v>
      </c>
      <c r="L419" s="79">
        <v>419</v>
      </c>
      <c r="M419" s="79"/>
      <c r="N419" s="74"/>
      <c r="O419" s="81" t="s">
        <v>587</v>
      </c>
      <c r="P419" s="83">
        <v>44004.61085648148</v>
      </c>
      <c r="Q419" s="81" t="s">
        <v>601</v>
      </c>
      <c r="R419" s="84" t="str">
        <f>HYPERLINK("https://interaktiv.tagesspiegel.de/lab/wie-die-coronakrise-den-arbeitsmarkt-getroffen-hat/")</f>
        <v>https://interaktiv.tagesspiegel.de/lab/wie-die-coronakrise-den-arbeitsmarkt-getroffen-hat/</v>
      </c>
      <c r="S419" s="81" t="s">
        <v>692</v>
      </c>
      <c r="T419" s="81" t="s">
        <v>730</v>
      </c>
      <c r="U419" s="84" t="str">
        <f>HYPERLINK("https://pbs.twimg.com/media/EbH5PFOVAAIus2b.jpg")</f>
        <v>https://pbs.twimg.com/media/EbH5PFOVAAIus2b.jpg</v>
      </c>
      <c r="V419" s="84" t="str">
        <f>HYPERLINK("https://pbs.twimg.com/media/EbH5PFOVAAIus2b.jpg")</f>
        <v>https://pbs.twimg.com/media/EbH5PFOVAAIus2b.jpg</v>
      </c>
      <c r="W419" s="83">
        <v>44004.61085648148</v>
      </c>
      <c r="X419" s="87">
        <v>44004</v>
      </c>
      <c r="Y419" s="89" t="s">
        <v>936</v>
      </c>
      <c r="Z419" s="84" t="str">
        <f>HYPERLINK("https://twitter.com/helenawittlich/status/1275075981967908864")</f>
        <v>https://twitter.com/helenawittlich/status/1275075981967908864</v>
      </c>
      <c r="AA419" s="81"/>
      <c r="AB419" s="81"/>
      <c r="AC419" s="89" t="s">
        <v>1146</v>
      </c>
      <c r="AD419" s="81"/>
      <c r="AE419" s="81" t="b">
        <v>0</v>
      </c>
      <c r="AF419" s="81">
        <v>3</v>
      </c>
      <c r="AG419" s="89" t="s">
        <v>1149</v>
      </c>
      <c r="AH419" s="81" t="b">
        <v>0</v>
      </c>
      <c r="AI419" s="81" t="s">
        <v>1152</v>
      </c>
      <c r="AJ419" s="81"/>
      <c r="AK419" s="89" t="s">
        <v>1149</v>
      </c>
      <c r="AL419" s="81" t="b">
        <v>0</v>
      </c>
      <c r="AM419" s="81">
        <v>3</v>
      </c>
      <c r="AN419" s="89" t="s">
        <v>1149</v>
      </c>
      <c r="AO419" s="81" t="s">
        <v>1172</v>
      </c>
      <c r="AP419" s="81" t="b">
        <v>0</v>
      </c>
      <c r="AQ419" s="89" t="s">
        <v>1146</v>
      </c>
      <c r="AR419" s="81" t="s">
        <v>325</v>
      </c>
      <c r="AS419" s="81">
        <v>0</v>
      </c>
      <c r="AT419" s="81">
        <v>0</v>
      </c>
      <c r="AU419" s="81"/>
      <c r="AV419" s="81"/>
      <c r="AW419" s="81"/>
      <c r="AX419" s="81"/>
      <c r="AY419" s="81"/>
      <c r="AZ419" s="81"/>
      <c r="BA419" s="81"/>
      <c r="BB419" s="81"/>
      <c r="BC419">
        <v>1</v>
      </c>
      <c r="BD419" s="80" t="str">
        <f>REPLACE(INDEX(GroupVertices[Group],MATCH(Edges[[#This Row],[Vertex 1]],GroupVertices[Vertex],0)),1,1,"")</f>
        <v>10</v>
      </c>
      <c r="BE419" s="80" t="str">
        <f>REPLACE(INDEX(GroupVertices[Group],MATCH(Edges[[#This Row],[Vertex 2]],GroupVertices[Vertex],0)),1,1,"")</f>
        <v>10</v>
      </c>
      <c r="BF419" s="48">
        <v>0</v>
      </c>
      <c r="BG419" s="49">
        <v>0</v>
      </c>
      <c r="BH419" s="48">
        <v>2</v>
      </c>
      <c r="BI419" s="49">
        <v>5.128205128205129</v>
      </c>
      <c r="BJ419" s="48">
        <v>0</v>
      </c>
      <c r="BK419" s="49">
        <v>0</v>
      </c>
      <c r="BL419" s="48">
        <v>37</v>
      </c>
      <c r="BM419" s="49">
        <v>94.87179487179488</v>
      </c>
      <c r="BN419" s="48">
        <v>39</v>
      </c>
    </row>
    <row r="420" spans="1:66" ht="15">
      <c r="A420" s="66" t="s">
        <v>517</v>
      </c>
      <c r="B420" s="66" t="s">
        <v>528</v>
      </c>
      <c r="C420" s="67" t="s">
        <v>3149</v>
      </c>
      <c r="D420" s="68">
        <v>4</v>
      </c>
      <c r="E420" s="69" t="s">
        <v>132</v>
      </c>
      <c r="F420" s="70">
        <v>30</v>
      </c>
      <c r="G420" s="67"/>
      <c r="H420" s="71"/>
      <c r="I420" s="72"/>
      <c r="J420" s="72"/>
      <c r="K420" s="34" t="s">
        <v>65</v>
      </c>
      <c r="L420" s="79">
        <v>420</v>
      </c>
      <c r="M420" s="79"/>
      <c r="N420" s="74"/>
      <c r="O420" s="81" t="s">
        <v>588</v>
      </c>
      <c r="P420" s="83">
        <v>44005.44505787037</v>
      </c>
      <c r="Q420" s="81" t="s">
        <v>601</v>
      </c>
      <c r="R420" s="81"/>
      <c r="S420" s="81"/>
      <c r="T420" s="81" t="s">
        <v>704</v>
      </c>
      <c r="U420" s="81"/>
      <c r="V420" s="84" t="str">
        <f>HYPERLINK("http://pbs.twimg.com/profile_images/706803244497018880/1sZQeb0K_normal.jpg")</f>
        <v>http://pbs.twimg.com/profile_images/706803244497018880/1sZQeb0K_normal.jpg</v>
      </c>
      <c r="W420" s="83">
        <v>44005.44505787037</v>
      </c>
      <c r="X420" s="87">
        <v>44005</v>
      </c>
      <c r="Y420" s="89" t="s">
        <v>937</v>
      </c>
      <c r="Z420" s="84" t="str">
        <f>HYPERLINK("https://twitter.com/berlindigital/status/1275378287645261834")</f>
        <v>https://twitter.com/berlindigital/status/1275378287645261834</v>
      </c>
      <c r="AA420" s="81"/>
      <c r="AB420" s="81"/>
      <c r="AC420" s="89" t="s">
        <v>1147</v>
      </c>
      <c r="AD420" s="81"/>
      <c r="AE420" s="81" t="b">
        <v>0</v>
      </c>
      <c r="AF420" s="81">
        <v>0</v>
      </c>
      <c r="AG420" s="89" t="s">
        <v>1149</v>
      </c>
      <c r="AH420" s="81" t="b">
        <v>0</v>
      </c>
      <c r="AI420" s="81" t="s">
        <v>1152</v>
      </c>
      <c r="AJ420" s="81"/>
      <c r="AK420" s="89" t="s">
        <v>1149</v>
      </c>
      <c r="AL420" s="81" t="b">
        <v>0</v>
      </c>
      <c r="AM420" s="81">
        <v>3</v>
      </c>
      <c r="AN420" s="89" t="s">
        <v>1146</v>
      </c>
      <c r="AO420" s="81" t="s">
        <v>1165</v>
      </c>
      <c r="AP420" s="81" t="b">
        <v>0</v>
      </c>
      <c r="AQ420" s="89" t="s">
        <v>1146</v>
      </c>
      <c r="AR420" s="81" t="s">
        <v>325</v>
      </c>
      <c r="AS420" s="81">
        <v>0</v>
      </c>
      <c r="AT420" s="81">
        <v>0</v>
      </c>
      <c r="AU420" s="81"/>
      <c r="AV420" s="81"/>
      <c r="AW420" s="81"/>
      <c r="AX420" s="81"/>
      <c r="AY420" s="81"/>
      <c r="AZ420" s="81"/>
      <c r="BA420" s="81"/>
      <c r="BB420" s="81"/>
      <c r="BC420">
        <v>1</v>
      </c>
      <c r="BD420" s="80" t="str">
        <f>REPLACE(INDEX(GroupVertices[Group],MATCH(Edges[[#This Row],[Vertex 1]],GroupVertices[Vertex],0)),1,1,"")</f>
        <v>10</v>
      </c>
      <c r="BE420" s="80" t="str">
        <f>REPLACE(INDEX(GroupVertices[Group],MATCH(Edges[[#This Row],[Vertex 2]],GroupVertices[Vertex],0)),1,1,"")</f>
        <v>10</v>
      </c>
      <c r="BF420" s="48"/>
      <c r="BG420" s="49"/>
      <c r="BH420" s="48"/>
      <c r="BI420" s="49"/>
      <c r="BJ420" s="48"/>
      <c r="BK420" s="49"/>
      <c r="BL420" s="48"/>
      <c r="BM420" s="49"/>
      <c r="BN420" s="48"/>
    </row>
    <row r="421" spans="1:66" ht="15">
      <c r="A421" s="66" t="s">
        <v>517</v>
      </c>
      <c r="B421" s="66" t="s">
        <v>516</v>
      </c>
      <c r="C421" s="67" t="s">
        <v>3149</v>
      </c>
      <c r="D421" s="68">
        <v>4</v>
      </c>
      <c r="E421" s="69" t="s">
        <v>132</v>
      </c>
      <c r="F421" s="70">
        <v>30</v>
      </c>
      <c r="G421" s="67"/>
      <c r="H421" s="71"/>
      <c r="I421" s="72"/>
      <c r="J421" s="72"/>
      <c r="K421" s="34" t="s">
        <v>65</v>
      </c>
      <c r="L421" s="79">
        <v>421</v>
      </c>
      <c r="M421" s="79"/>
      <c r="N421" s="74"/>
      <c r="O421" s="81" t="s">
        <v>586</v>
      </c>
      <c r="P421" s="83">
        <v>44005.44505787037</v>
      </c>
      <c r="Q421" s="81" t="s">
        <v>601</v>
      </c>
      <c r="R421" s="81"/>
      <c r="S421" s="81"/>
      <c r="T421" s="81" t="s">
        <v>704</v>
      </c>
      <c r="U421" s="81"/>
      <c r="V421" s="84" t="str">
        <f>HYPERLINK("http://pbs.twimg.com/profile_images/706803244497018880/1sZQeb0K_normal.jpg")</f>
        <v>http://pbs.twimg.com/profile_images/706803244497018880/1sZQeb0K_normal.jpg</v>
      </c>
      <c r="W421" s="83">
        <v>44005.44505787037</v>
      </c>
      <c r="X421" s="87">
        <v>44005</v>
      </c>
      <c r="Y421" s="89" t="s">
        <v>937</v>
      </c>
      <c r="Z421" s="84" t="str">
        <f>HYPERLINK("https://twitter.com/berlindigital/status/1275378287645261834")</f>
        <v>https://twitter.com/berlindigital/status/1275378287645261834</v>
      </c>
      <c r="AA421" s="81"/>
      <c r="AB421" s="81"/>
      <c r="AC421" s="89" t="s">
        <v>1147</v>
      </c>
      <c r="AD421" s="81"/>
      <c r="AE421" s="81" t="b">
        <v>0</v>
      </c>
      <c r="AF421" s="81">
        <v>0</v>
      </c>
      <c r="AG421" s="89" t="s">
        <v>1149</v>
      </c>
      <c r="AH421" s="81" t="b">
        <v>0</v>
      </c>
      <c r="AI421" s="81" t="s">
        <v>1152</v>
      </c>
      <c r="AJ421" s="81"/>
      <c r="AK421" s="89" t="s">
        <v>1149</v>
      </c>
      <c r="AL421" s="81" t="b">
        <v>0</v>
      </c>
      <c r="AM421" s="81">
        <v>3</v>
      </c>
      <c r="AN421" s="89" t="s">
        <v>1146</v>
      </c>
      <c r="AO421" s="81" t="s">
        <v>1165</v>
      </c>
      <c r="AP421" s="81" t="b">
        <v>0</v>
      </c>
      <c r="AQ421" s="89" t="s">
        <v>1146</v>
      </c>
      <c r="AR421" s="81" t="s">
        <v>325</v>
      </c>
      <c r="AS421" s="81">
        <v>0</v>
      </c>
      <c r="AT421" s="81">
        <v>0</v>
      </c>
      <c r="AU421" s="81"/>
      <c r="AV421" s="81"/>
      <c r="AW421" s="81"/>
      <c r="AX421" s="81"/>
      <c r="AY421" s="81"/>
      <c r="AZ421" s="81"/>
      <c r="BA421" s="81"/>
      <c r="BB421" s="81"/>
      <c r="BC421">
        <v>1</v>
      </c>
      <c r="BD421" s="80" t="str">
        <f>REPLACE(INDEX(GroupVertices[Group],MATCH(Edges[[#This Row],[Vertex 1]],GroupVertices[Vertex],0)),1,1,"")</f>
        <v>10</v>
      </c>
      <c r="BE421" s="80" t="str">
        <f>REPLACE(INDEX(GroupVertices[Group],MATCH(Edges[[#This Row],[Vertex 2]],GroupVertices[Vertex],0)),1,1,"")</f>
        <v>10</v>
      </c>
      <c r="BF421" s="48">
        <v>0</v>
      </c>
      <c r="BG421" s="49">
        <v>0</v>
      </c>
      <c r="BH421" s="48">
        <v>2</v>
      </c>
      <c r="BI421" s="49">
        <v>5.128205128205129</v>
      </c>
      <c r="BJ421" s="48">
        <v>0</v>
      </c>
      <c r="BK421" s="49">
        <v>0</v>
      </c>
      <c r="BL421" s="48">
        <v>37</v>
      </c>
      <c r="BM421" s="49">
        <v>94.87179487179488</v>
      </c>
      <c r="BN421"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B212-1E0D-4727-91AB-2AA4EDA95371}">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2689</v>
      </c>
      <c r="B2" s="123" t="s">
        <v>2690</v>
      </c>
      <c r="C2" s="52" t="s">
        <v>2691</v>
      </c>
    </row>
    <row r="3" spans="1:3" ht="15">
      <c r="A3" s="122" t="s">
        <v>2227</v>
      </c>
      <c r="B3" s="122" t="s">
        <v>2227</v>
      </c>
      <c r="C3" s="34">
        <v>109</v>
      </c>
    </row>
    <row r="4" spans="1:3" ht="15">
      <c r="A4" s="122" t="s">
        <v>2228</v>
      </c>
      <c r="B4" s="122" t="s">
        <v>2228</v>
      </c>
      <c r="C4" s="34">
        <v>78</v>
      </c>
    </row>
    <row r="5" spans="1:3" ht="15">
      <c r="A5" s="122" t="s">
        <v>2229</v>
      </c>
      <c r="B5" s="122" t="s">
        <v>2229</v>
      </c>
      <c r="C5" s="34">
        <v>57</v>
      </c>
    </row>
    <row r="6" spans="1:3" ht="15">
      <c r="A6" s="122" t="s">
        <v>2230</v>
      </c>
      <c r="B6" s="122" t="s">
        <v>2230</v>
      </c>
      <c r="C6" s="34">
        <v>39</v>
      </c>
    </row>
    <row r="7" spans="1:3" ht="15">
      <c r="A7" s="122" t="s">
        <v>2231</v>
      </c>
      <c r="B7" s="122" t="s">
        <v>2231</v>
      </c>
      <c r="C7" s="34">
        <v>42</v>
      </c>
    </row>
    <row r="8" spans="1:3" ht="15">
      <c r="A8" s="122" t="s">
        <v>2232</v>
      </c>
      <c r="B8" s="122" t="s">
        <v>2232</v>
      </c>
      <c r="C8" s="34">
        <v>9</v>
      </c>
    </row>
    <row r="9" spans="1:3" ht="15">
      <c r="A9" s="122" t="s">
        <v>2233</v>
      </c>
      <c r="B9" s="122" t="s">
        <v>2233</v>
      </c>
      <c r="C9" s="34">
        <v>17</v>
      </c>
    </row>
    <row r="10" spans="1:3" ht="15">
      <c r="A10" s="122" t="s">
        <v>2234</v>
      </c>
      <c r="B10" s="122" t="s">
        <v>2234</v>
      </c>
      <c r="C10" s="34">
        <v>8</v>
      </c>
    </row>
    <row r="11" spans="1:3" ht="15">
      <c r="A11" s="122" t="s">
        <v>2235</v>
      </c>
      <c r="B11" s="122" t="s">
        <v>2235</v>
      </c>
      <c r="C11" s="34">
        <v>6</v>
      </c>
    </row>
    <row r="12" spans="1:3" ht="15">
      <c r="A12" s="122" t="s">
        <v>2236</v>
      </c>
      <c r="B12" s="122" t="s">
        <v>2236</v>
      </c>
      <c r="C12" s="34">
        <v>7</v>
      </c>
    </row>
    <row r="13" spans="1:3" ht="15">
      <c r="A13" s="122" t="s">
        <v>2237</v>
      </c>
      <c r="B13" s="122" t="s">
        <v>2237</v>
      </c>
      <c r="C13" s="34">
        <v>7</v>
      </c>
    </row>
    <row r="14" spans="1:3" ht="15">
      <c r="A14" s="122" t="s">
        <v>2238</v>
      </c>
      <c r="B14" s="122" t="s">
        <v>2238</v>
      </c>
      <c r="C14" s="34">
        <v>7</v>
      </c>
    </row>
    <row r="15" spans="1:3" ht="15">
      <c r="A15" s="122" t="s">
        <v>2239</v>
      </c>
      <c r="B15" s="122" t="s">
        <v>2239</v>
      </c>
      <c r="C15" s="34">
        <v>7</v>
      </c>
    </row>
    <row r="16" spans="1:3" ht="15">
      <c r="A16" s="122" t="s">
        <v>2240</v>
      </c>
      <c r="B16" s="122" t="s">
        <v>2240</v>
      </c>
      <c r="C16" s="34">
        <v>5</v>
      </c>
    </row>
    <row r="17" spans="1:3" ht="15">
      <c r="A17" s="122" t="s">
        <v>2241</v>
      </c>
      <c r="B17" s="122" t="s">
        <v>2241</v>
      </c>
      <c r="C17" s="34">
        <v>5</v>
      </c>
    </row>
    <row r="18" spans="1:3" ht="15">
      <c r="A18" s="122" t="s">
        <v>2242</v>
      </c>
      <c r="B18" s="122" t="s">
        <v>2242</v>
      </c>
      <c r="C18" s="34">
        <v>4</v>
      </c>
    </row>
    <row r="19" spans="1:3" ht="15">
      <c r="A19" s="122" t="s">
        <v>2243</v>
      </c>
      <c r="B19" s="122" t="s">
        <v>2243</v>
      </c>
      <c r="C19" s="34">
        <v>7</v>
      </c>
    </row>
    <row r="20" spans="1:3" ht="15">
      <c r="A20" s="122" t="s">
        <v>2244</v>
      </c>
      <c r="B20" s="122" t="s">
        <v>2244</v>
      </c>
      <c r="C20" s="34">
        <v>3</v>
      </c>
    </row>
    <row r="21" spans="1:3" ht="15">
      <c r="A21" s="122" t="s">
        <v>2245</v>
      </c>
      <c r="B21" s="122" t="s">
        <v>2245</v>
      </c>
      <c r="C21" s="34">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850E-EEDC-4C02-BC9F-B915E8EFBD2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2710</v>
      </c>
      <c r="B1" s="13" t="s">
        <v>17</v>
      </c>
    </row>
    <row r="2" spans="1:2" ht="15">
      <c r="A2" s="80" t="s">
        <v>2711</v>
      </c>
      <c r="B2" s="80" t="s">
        <v>2717</v>
      </c>
    </row>
    <row r="3" spans="1:2" ht="15">
      <c r="A3" s="80" t="s">
        <v>2712</v>
      </c>
      <c r="B3" s="80" t="s">
        <v>2718</v>
      </c>
    </row>
    <row r="4" spans="1:2" ht="15">
      <c r="A4" s="80" t="s">
        <v>2713</v>
      </c>
      <c r="B4" s="80" t="s">
        <v>2719</v>
      </c>
    </row>
    <row r="5" spans="1:2" ht="15">
      <c r="A5" s="80" t="s">
        <v>2714</v>
      </c>
      <c r="B5" s="80" t="s">
        <v>2720</v>
      </c>
    </row>
    <row r="6" spans="1:2" ht="15">
      <c r="A6" s="80" t="s">
        <v>2715</v>
      </c>
      <c r="B6" s="80" t="s">
        <v>2721</v>
      </c>
    </row>
    <row r="7" spans="1:2" ht="15">
      <c r="A7" s="80" t="s">
        <v>2716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F128-4BD3-4FBD-A883-E617A481CDE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2722</v>
      </c>
      <c r="B1" s="13" t="s">
        <v>34</v>
      </c>
    </row>
    <row r="2" spans="1:2" ht="15">
      <c r="A2" s="118" t="s">
        <v>473</v>
      </c>
      <c r="B2" s="80">
        <v>2141</v>
      </c>
    </row>
    <row r="3" spans="1:2" ht="15">
      <c r="A3" s="118" t="s">
        <v>514</v>
      </c>
      <c r="B3" s="80">
        <v>780</v>
      </c>
    </row>
    <row r="4" spans="1:2" ht="15">
      <c r="A4" s="118" t="s">
        <v>513</v>
      </c>
      <c r="B4" s="80">
        <v>630</v>
      </c>
    </row>
    <row r="5" spans="1:2" ht="15">
      <c r="A5" s="118" t="s">
        <v>482</v>
      </c>
      <c r="B5" s="80">
        <v>279.952381</v>
      </c>
    </row>
    <row r="6" spans="1:2" ht="15">
      <c r="A6" s="118" t="s">
        <v>526</v>
      </c>
      <c r="B6" s="80">
        <v>243.666667</v>
      </c>
    </row>
    <row r="7" spans="1:2" ht="15">
      <c r="A7" s="118" t="s">
        <v>527</v>
      </c>
      <c r="B7" s="80">
        <v>243.666667</v>
      </c>
    </row>
    <row r="8" spans="1:2" ht="15">
      <c r="A8" s="118" t="s">
        <v>534</v>
      </c>
      <c r="B8" s="80">
        <v>171</v>
      </c>
    </row>
    <row r="9" spans="1:2" ht="15">
      <c r="A9" s="118" t="s">
        <v>511</v>
      </c>
      <c r="B9" s="80">
        <v>171</v>
      </c>
    </row>
    <row r="10" spans="1:2" ht="15">
      <c r="A10" s="118" t="s">
        <v>493</v>
      </c>
      <c r="B10" s="80">
        <v>94.090909</v>
      </c>
    </row>
    <row r="11" spans="1:2" ht="15">
      <c r="A11" s="118" t="s">
        <v>475</v>
      </c>
      <c r="B11" s="80">
        <v>92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715E1-BF67-4B71-801B-3B7B83B0B91F}">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s="13" t="s">
        <v>339</v>
      </c>
      <c r="AF2" s="13" t="s">
        <v>340</v>
      </c>
      <c r="AG2" s="13" t="s">
        <v>341</v>
      </c>
      <c r="AH2" s="13" t="s">
        <v>342</v>
      </c>
      <c r="AI2" s="13" t="s">
        <v>343</v>
      </c>
      <c r="AJ2" s="13" t="s">
        <v>344</v>
      </c>
      <c r="AK2" s="13" t="s">
        <v>345</v>
      </c>
      <c r="AL2" s="13" t="s">
        <v>346</v>
      </c>
      <c r="AM2" s="13" t="s">
        <v>347</v>
      </c>
      <c r="AN2" s="13" t="s">
        <v>348</v>
      </c>
      <c r="AO2" s="13" t="s">
        <v>349</v>
      </c>
      <c r="AP2" s="13" t="s">
        <v>350</v>
      </c>
      <c r="AQ2" s="13" t="s">
        <v>351</v>
      </c>
      <c r="AR2" s="13" t="s">
        <v>352</v>
      </c>
      <c r="AS2" s="13" t="s">
        <v>353</v>
      </c>
      <c r="AT2" s="13" t="s">
        <v>354</v>
      </c>
      <c r="AU2" s="13" t="s">
        <v>355</v>
      </c>
      <c r="AV2" s="13" t="s">
        <v>356</v>
      </c>
      <c r="AW2" s="13" t="s">
        <v>357</v>
      </c>
      <c r="AX2" s="13" t="s">
        <v>358</v>
      </c>
      <c r="AY2" s="13" t="s">
        <v>359</v>
      </c>
      <c r="AZ2" s="13" t="s">
        <v>360</v>
      </c>
      <c r="BA2" s="13" t="s">
        <v>361</v>
      </c>
      <c r="BB2" s="13" t="s">
        <v>362</v>
      </c>
      <c r="BC2" t="s">
        <v>2226</v>
      </c>
      <c r="BD2" s="13" t="s">
        <v>2259</v>
      </c>
      <c r="BE2" s="13" t="s">
        <v>2260</v>
      </c>
      <c r="BF2" s="52" t="s">
        <v>2678</v>
      </c>
      <c r="BG2" s="52" t="s">
        <v>2679</v>
      </c>
      <c r="BH2" s="52" t="s">
        <v>2680</v>
      </c>
      <c r="BI2" s="52" t="s">
        <v>2681</v>
      </c>
      <c r="BJ2" s="52" t="s">
        <v>2682</v>
      </c>
      <c r="BK2" s="52" t="s">
        <v>2683</v>
      </c>
      <c r="BL2" s="52" t="s">
        <v>2684</v>
      </c>
      <c r="BM2" s="52" t="s">
        <v>2685</v>
      </c>
      <c r="BN2" s="52" t="s">
        <v>2686</v>
      </c>
    </row>
    <row r="3" spans="1:66" ht="15" customHeight="1">
      <c r="A3" s="66" t="s">
        <v>518</v>
      </c>
      <c r="B3" s="66" t="s">
        <v>497</v>
      </c>
      <c r="C3" s="67"/>
      <c r="D3" s="68"/>
      <c r="E3" s="69"/>
      <c r="F3" s="70"/>
      <c r="G3" s="67"/>
      <c r="H3" s="71"/>
      <c r="I3" s="72"/>
      <c r="J3" s="72"/>
      <c r="K3" s="34" t="s">
        <v>65</v>
      </c>
      <c r="L3" s="73">
        <v>3</v>
      </c>
      <c r="M3" s="73"/>
      <c r="N3" s="74"/>
      <c r="O3" s="80" t="s">
        <v>586</v>
      </c>
      <c r="P3" s="82">
        <v>44004.26513888889</v>
      </c>
      <c r="Q3" s="80" t="s">
        <v>592</v>
      </c>
      <c r="R3" s="80"/>
      <c r="S3" s="80"/>
      <c r="T3" s="80" t="s">
        <v>698</v>
      </c>
      <c r="U3" s="80"/>
      <c r="V3" s="85" t="str">
        <f>HYPERLINK("http://pbs.twimg.com/profile_images/1103253061131292673/FMnT8x8x_normal.png")</f>
        <v>http://pbs.twimg.com/profile_images/1103253061131292673/FMnT8x8x_normal.png</v>
      </c>
      <c r="W3" s="82">
        <v>44004.26513888889</v>
      </c>
      <c r="X3" s="86">
        <v>44004</v>
      </c>
      <c r="Y3" s="88" t="s">
        <v>938</v>
      </c>
      <c r="Z3" s="85" t="str">
        <f>HYPERLINK("https://twitter.com/datavislisboa/status/1274950699428831232")</f>
        <v>https://twitter.com/datavislisboa/status/1274950699428831232</v>
      </c>
      <c r="AA3" s="80"/>
      <c r="AB3" s="80"/>
      <c r="AC3" s="88" t="s">
        <v>1148</v>
      </c>
      <c r="AD3" s="80"/>
      <c r="AE3" s="80" t="b">
        <v>0</v>
      </c>
      <c r="AF3" s="80">
        <v>0</v>
      </c>
      <c r="AG3" s="88" t="s">
        <v>1149</v>
      </c>
      <c r="AH3" s="80" t="b">
        <v>1</v>
      </c>
      <c r="AI3" s="80" t="s">
        <v>1150</v>
      </c>
      <c r="AJ3" s="80"/>
      <c r="AK3" s="88" t="s">
        <v>1160</v>
      </c>
      <c r="AL3" s="80" t="b">
        <v>0</v>
      </c>
      <c r="AM3" s="80">
        <v>7</v>
      </c>
      <c r="AN3" s="88" t="s">
        <v>1119</v>
      </c>
      <c r="AO3" s="80" t="s">
        <v>1165</v>
      </c>
      <c r="AP3" s="80" t="b">
        <v>0</v>
      </c>
      <c r="AQ3" s="88" t="s">
        <v>1119</v>
      </c>
      <c r="AR3" s="80" t="s">
        <v>325</v>
      </c>
      <c r="AS3" s="80">
        <v>0</v>
      </c>
      <c r="AT3" s="80">
        <v>0</v>
      </c>
      <c r="AU3" s="80"/>
      <c r="AV3" s="80"/>
      <c r="AW3" s="80"/>
      <c r="AX3" s="80"/>
      <c r="AY3" s="80"/>
      <c r="AZ3" s="80"/>
      <c r="BA3" s="80"/>
      <c r="BB3" s="80"/>
      <c r="BC3">
        <v>1</v>
      </c>
      <c r="BD3" s="80" t="str">
        <f>REPLACE(INDEX(GroupVertices[Group],MATCH(Edges25[[#This Row],[Vertex 1]],GroupVertices[Vertex],0)),1,1,"")</f>
        <v>9</v>
      </c>
      <c r="BE3" s="80" t="str">
        <f>REPLACE(INDEX(GroupVertices[Group],MATCH(Edges25[[#This Row],[Vertex 2]],GroupVertices[Vertex],0)),1,1,"")</f>
        <v>9</v>
      </c>
      <c r="BF3" s="48">
        <v>1</v>
      </c>
      <c r="BG3" s="49">
        <v>16.666666666666668</v>
      </c>
      <c r="BH3" s="48">
        <v>0</v>
      </c>
      <c r="BI3" s="49">
        <v>0</v>
      </c>
      <c r="BJ3" s="48">
        <v>0</v>
      </c>
      <c r="BK3" s="49">
        <v>0</v>
      </c>
      <c r="BL3" s="48">
        <v>5</v>
      </c>
      <c r="BM3" s="49">
        <v>83.33333333333333</v>
      </c>
      <c r="BN3" s="48">
        <v>6</v>
      </c>
    </row>
    <row r="4" spans="1:66" ht="15" customHeight="1">
      <c r="A4" s="66" t="s">
        <v>363</v>
      </c>
      <c r="B4" s="66" t="s">
        <v>370</v>
      </c>
      <c r="C4" s="67"/>
      <c r="D4" s="68"/>
      <c r="E4" s="69"/>
      <c r="F4" s="70"/>
      <c r="G4" s="67"/>
      <c r="H4" s="71"/>
      <c r="I4" s="72"/>
      <c r="J4" s="72"/>
      <c r="K4" s="34" t="s">
        <v>65</v>
      </c>
      <c r="L4" s="79">
        <v>4</v>
      </c>
      <c r="M4" s="79"/>
      <c r="N4" s="74"/>
      <c r="O4" s="81" t="s">
        <v>586</v>
      </c>
      <c r="P4" s="83">
        <v>44004.32098379629</v>
      </c>
      <c r="Q4" s="81" t="s">
        <v>589</v>
      </c>
      <c r="R4" s="81"/>
      <c r="S4" s="81"/>
      <c r="T4" s="81" t="s">
        <v>693</v>
      </c>
      <c r="U4" s="81"/>
      <c r="V4" s="84" t="str">
        <f>HYPERLINK("http://pbs.twimg.com/profile_images/1247422970613526530/94grK6Rm_normal.jpg")</f>
        <v>http://pbs.twimg.com/profile_images/1247422970613526530/94grK6Rm_normal.jpg</v>
      </c>
      <c r="W4" s="83">
        <v>44004.32098379629</v>
      </c>
      <c r="X4" s="87">
        <v>44004</v>
      </c>
      <c r="Y4" s="89" t="s">
        <v>731</v>
      </c>
      <c r="Z4" s="84" t="str">
        <f>HYPERLINK("https://twitter.com/mijinkim33/status/1274970934990925825")</f>
        <v>https://twitter.com/mijinkim33/status/1274970934990925825</v>
      </c>
      <c r="AA4" s="81"/>
      <c r="AB4" s="81"/>
      <c r="AC4" s="89" t="s">
        <v>939</v>
      </c>
      <c r="AD4" s="81"/>
      <c r="AE4" s="81" t="b">
        <v>0</v>
      </c>
      <c r="AF4" s="81">
        <v>0</v>
      </c>
      <c r="AG4" s="89" t="s">
        <v>1149</v>
      </c>
      <c r="AH4" s="81" t="b">
        <v>0</v>
      </c>
      <c r="AI4" s="81" t="s">
        <v>1150</v>
      </c>
      <c r="AJ4" s="81"/>
      <c r="AK4" s="89" t="s">
        <v>1149</v>
      </c>
      <c r="AL4" s="81" t="b">
        <v>0</v>
      </c>
      <c r="AM4" s="81">
        <v>19</v>
      </c>
      <c r="AN4" s="89" t="s">
        <v>946</v>
      </c>
      <c r="AO4" s="81" t="s">
        <v>1165</v>
      </c>
      <c r="AP4" s="81" t="b">
        <v>0</v>
      </c>
      <c r="AQ4" s="89" t="s">
        <v>946</v>
      </c>
      <c r="AR4" s="81" t="s">
        <v>325</v>
      </c>
      <c r="AS4" s="81">
        <v>0</v>
      </c>
      <c r="AT4" s="81">
        <v>0</v>
      </c>
      <c r="AU4" s="81"/>
      <c r="AV4" s="81"/>
      <c r="AW4" s="81"/>
      <c r="AX4" s="81"/>
      <c r="AY4" s="81"/>
      <c r="AZ4" s="81"/>
      <c r="BA4" s="81"/>
      <c r="BB4" s="81"/>
      <c r="BC4">
        <v>1</v>
      </c>
      <c r="BD4" s="80" t="str">
        <f>REPLACE(INDEX(GroupVertices[Group],MATCH(Edges25[[#This Row],[Vertex 1]],GroupVertices[Vertex],0)),1,1,"")</f>
        <v>6</v>
      </c>
      <c r="BE4" s="80" t="str">
        <f>REPLACE(INDEX(GroupVertices[Group],MATCH(Edges25[[#This Row],[Vertex 2]],GroupVertices[Vertex],0)),1,1,"")</f>
        <v>6</v>
      </c>
      <c r="BF4" s="48">
        <v>2</v>
      </c>
      <c r="BG4" s="49">
        <v>5.714285714285714</v>
      </c>
      <c r="BH4" s="48">
        <v>0</v>
      </c>
      <c r="BI4" s="49">
        <v>0</v>
      </c>
      <c r="BJ4" s="48">
        <v>0</v>
      </c>
      <c r="BK4" s="49">
        <v>0</v>
      </c>
      <c r="BL4" s="48">
        <v>33</v>
      </c>
      <c r="BM4" s="49">
        <v>94.28571428571429</v>
      </c>
      <c r="BN4" s="48">
        <v>35</v>
      </c>
    </row>
    <row r="5" spans="1:66" ht="15">
      <c r="A5" s="66" t="s">
        <v>364</v>
      </c>
      <c r="B5" s="66" t="s">
        <v>370</v>
      </c>
      <c r="C5" s="67"/>
      <c r="D5" s="68"/>
      <c r="E5" s="69"/>
      <c r="F5" s="70"/>
      <c r="G5" s="67"/>
      <c r="H5" s="71"/>
      <c r="I5" s="72"/>
      <c r="J5" s="72"/>
      <c r="K5" s="34" t="s">
        <v>65</v>
      </c>
      <c r="L5" s="79">
        <v>5</v>
      </c>
      <c r="M5" s="79"/>
      <c r="N5" s="74"/>
      <c r="O5" s="81" t="s">
        <v>586</v>
      </c>
      <c r="P5" s="83">
        <v>44004.32104166667</v>
      </c>
      <c r="Q5" s="81" t="s">
        <v>589</v>
      </c>
      <c r="R5" s="81"/>
      <c r="S5" s="81"/>
      <c r="T5" s="81" t="s">
        <v>693</v>
      </c>
      <c r="U5" s="81"/>
      <c r="V5" s="84" t="str">
        <f>HYPERLINK("http://pbs.twimg.com/profile_images/1266134298429517824/Gxv_xYd7_normal.jpg")</f>
        <v>http://pbs.twimg.com/profile_images/1266134298429517824/Gxv_xYd7_normal.jpg</v>
      </c>
      <c r="W5" s="83">
        <v>44004.32104166667</v>
      </c>
      <c r="X5" s="87">
        <v>44004</v>
      </c>
      <c r="Y5" s="89" t="s">
        <v>732</v>
      </c>
      <c r="Z5" s="84" t="str">
        <f>HYPERLINK("https://twitter.com/codegnuts/status/1274970956600049666")</f>
        <v>https://twitter.com/codegnuts/status/1274970956600049666</v>
      </c>
      <c r="AA5" s="81"/>
      <c r="AB5" s="81"/>
      <c r="AC5" s="89" t="s">
        <v>940</v>
      </c>
      <c r="AD5" s="81"/>
      <c r="AE5" s="81" t="b">
        <v>0</v>
      </c>
      <c r="AF5" s="81">
        <v>0</v>
      </c>
      <c r="AG5" s="89" t="s">
        <v>1149</v>
      </c>
      <c r="AH5" s="81" t="b">
        <v>0</v>
      </c>
      <c r="AI5" s="81" t="s">
        <v>1150</v>
      </c>
      <c r="AJ5" s="81"/>
      <c r="AK5" s="89" t="s">
        <v>1149</v>
      </c>
      <c r="AL5" s="81" t="b">
        <v>0</v>
      </c>
      <c r="AM5" s="81">
        <v>19</v>
      </c>
      <c r="AN5" s="89" t="s">
        <v>946</v>
      </c>
      <c r="AO5" s="81" t="s">
        <v>1166</v>
      </c>
      <c r="AP5" s="81" t="b">
        <v>0</v>
      </c>
      <c r="AQ5" s="89" t="s">
        <v>946</v>
      </c>
      <c r="AR5" s="81" t="s">
        <v>325</v>
      </c>
      <c r="AS5" s="81">
        <v>0</v>
      </c>
      <c r="AT5" s="81">
        <v>0</v>
      </c>
      <c r="AU5" s="81"/>
      <c r="AV5" s="81"/>
      <c r="AW5" s="81"/>
      <c r="AX5" s="81"/>
      <c r="AY5" s="81"/>
      <c r="AZ5" s="81"/>
      <c r="BA5" s="81"/>
      <c r="BB5" s="81"/>
      <c r="BC5">
        <v>1</v>
      </c>
      <c r="BD5" s="80" t="str">
        <f>REPLACE(INDEX(GroupVertices[Group],MATCH(Edges25[[#This Row],[Vertex 1]],GroupVertices[Vertex],0)),1,1,"")</f>
        <v>6</v>
      </c>
      <c r="BE5" s="80" t="str">
        <f>REPLACE(INDEX(GroupVertices[Group],MATCH(Edges25[[#This Row],[Vertex 2]],GroupVertices[Vertex],0)),1,1,"")</f>
        <v>6</v>
      </c>
      <c r="BF5" s="48">
        <v>2</v>
      </c>
      <c r="BG5" s="49">
        <v>5.714285714285714</v>
      </c>
      <c r="BH5" s="48">
        <v>0</v>
      </c>
      <c r="BI5" s="49">
        <v>0</v>
      </c>
      <c r="BJ5" s="48">
        <v>0</v>
      </c>
      <c r="BK5" s="49">
        <v>0</v>
      </c>
      <c r="BL5" s="48">
        <v>33</v>
      </c>
      <c r="BM5" s="49">
        <v>94.28571428571429</v>
      </c>
      <c r="BN5" s="48">
        <v>35</v>
      </c>
    </row>
    <row r="6" spans="1:66" ht="15">
      <c r="A6" s="66" t="s">
        <v>365</v>
      </c>
      <c r="B6" s="66" t="s">
        <v>370</v>
      </c>
      <c r="C6" s="67"/>
      <c r="D6" s="68"/>
      <c r="E6" s="69"/>
      <c r="F6" s="70"/>
      <c r="G6" s="67"/>
      <c r="H6" s="71"/>
      <c r="I6" s="72"/>
      <c r="J6" s="72"/>
      <c r="K6" s="34" t="s">
        <v>65</v>
      </c>
      <c r="L6" s="79">
        <v>6</v>
      </c>
      <c r="M6" s="79"/>
      <c r="N6" s="74"/>
      <c r="O6" s="81" t="s">
        <v>586</v>
      </c>
      <c r="P6" s="83">
        <v>44004.32104166667</v>
      </c>
      <c r="Q6" s="81" t="s">
        <v>589</v>
      </c>
      <c r="R6" s="81"/>
      <c r="S6" s="81"/>
      <c r="T6" s="81" t="s">
        <v>693</v>
      </c>
      <c r="U6" s="81"/>
      <c r="V6" s="84" t="str">
        <f>HYPERLINK("http://pbs.twimg.com/profile_images/1272605555497078785/WLzdWQ-o_normal.jpg")</f>
        <v>http://pbs.twimg.com/profile_images/1272605555497078785/WLzdWQ-o_normal.jpg</v>
      </c>
      <c r="W6" s="83">
        <v>44004.32104166667</v>
      </c>
      <c r="X6" s="87">
        <v>44004</v>
      </c>
      <c r="Y6" s="89" t="s">
        <v>732</v>
      </c>
      <c r="Z6" s="84" t="str">
        <f>HYPERLINK("https://twitter.com/nodequotesbot/status/1274970956683935744")</f>
        <v>https://twitter.com/nodequotesbot/status/1274970956683935744</v>
      </c>
      <c r="AA6" s="81"/>
      <c r="AB6" s="81"/>
      <c r="AC6" s="89" t="s">
        <v>941</v>
      </c>
      <c r="AD6" s="81"/>
      <c r="AE6" s="81" t="b">
        <v>0</v>
      </c>
      <c r="AF6" s="81">
        <v>0</v>
      </c>
      <c r="AG6" s="89" t="s">
        <v>1149</v>
      </c>
      <c r="AH6" s="81" t="b">
        <v>0</v>
      </c>
      <c r="AI6" s="81" t="s">
        <v>1150</v>
      </c>
      <c r="AJ6" s="81"/>
      <c r="AK6" s="89" t="s">
        <v>1149</v>
      </c>
      <c r="AL6" s="81" t="b">
        <v>0</v>
      </c>
      <c r="AM6" s="81">
        <v>19</v>
      </c>
      <c r="AN6" s="89" t="s">
        <v>946</v>
      </c>
      <c r="AO6" s="81" t="s">
        <v>1167</v>
      </c>
      <c r="AP6" s="81" t="b">
        <v>0</v>
      </c>
      <c r="AQ6" s="89" t="s">
        <v>946</v>
      </c>
      <c r="AR6" s="81" t="s">
        <v>325</v>
      </c>
      <c r="AS6" s="81">
        <v>0</v>
      </c>
      <c r="AT6" s="81">
        <v>0</v>
      </c>
      <c r="AU6" s="81"/>
      <c r="AV6" s="81"/>
      <c r="AW6" s="81"/>
      <c r="AX6" s="81"/>
      <c r="AY6" s="81"/>
      <c r="AZ6" s="81"/>
      <c r="BA6" s="81"/>
      <c r="BB6" s="81"/>
      <c r="BC6">
        <v>1</v>
      </c>
      <c r="BD6" s="80" t="str">
        <f>REPLACE(INDEX(GroupVertices[Group],MATCH(Edges25[[#This Row],[Vertex 1]],GroupVertices[Vertex],0)),1,1,"")</f>
        <v>6</v>
      </c>
      <c r="BE6" s="80" t="str">
        <f>REPLACE(INDEX(GroupVertices[Group],MATCH(Edges25[[#This Row],[Vertex 2]],GroupVertices[Vertex],0)),1,1,"")</f>
        <v>6</v>
      </c>
      <c r="BF6" s="48">
        <v>2</v>
      </c>
      <c r="BG6" s="49">
        <v>5.714285714285714</v>
      </c>
      <c r="BH6" s="48">
        <v>0</v>
      </c>
      <c r="BI6" s="49">
        <v>0</v>
      </c>
      <c r="BJ6" s="48">
        <v>0</v>
      </c>
      <c r="BK6" s="49">
        <v>0</v>
      </c>
      <c r="BL6" s="48">
        <v>33</v>
      </c>
      <c r="BM6" s="49">
        <v>94.28571428571429</v>
      </c>
      <c r="BN6" s="48">
        <v>35</v>
      </c>
    </row>
    <row r="7" spans="1:66" ht="15">
      <c r="A7" s="66" t="s">
        <v>366</v>
      </c>
      <c r="B7" s="66" t="s">
        <v>370</v>
      </c>
      <c r="C7" s="67"/>
      <c r="D7" s="68"/>
      <c r="E7" s="69"/>
      <c r="F7" s="70"/>
      <c r="G7" s="67"/>
      <c r="H7" s="71"/>
      <c r="I7" s="72"/>
      <c r="J7" s="72"/>
      <c r="K7" s="34" t="s">
        <v>65</v>
      </c>
      <c r="L7" s="79">
        <v>7</v>
      </c>
      <c r="M7" s="79"/>
      <c r="N7" s="74"/>
      <c r="O7" s="81" t="s">
        <v>586</v>
      </c>
      <c r="P7" s="83">
        <v>44004.321064814816</v>
      </c>
      <c r="Q7" s="81" t="s">
        <v>589</v>
      </c>
      <c r="R7" s="81"/>
      <c r="S7" s="81"/>
      <c r="T7" s="81" t="s">
        <v>693</v>
      </c>
      <c r="U7" s="81"/>
      <c r="V7" s="84" t="str">
        <f>HYPERLINK("http://pbs.twimg.com/profile_images/1263711283196633089/mckc1xGI_normal.jpg")</f>
        <v>http://pbs.twimg.com/profile_images/1263711283196633089/mckc1xGI_normal.jpg</v>
      </c>
      <c r="W7" s="83">
        <v>44004.321064814816</v>
      </c>
      <c r="X7" s="87">
        <v>44004</v>
      </c>
      <c r="Y7" s="89" t="s">
        <v>733</v>
      </c>
      <c r="Z7" s="84" t="str">
        <f>HYPERLINK("https://twitter.com/theinfernobot/status/1274970965332672514")</f>
        <v>https://twitter.com/theinfernobot/status/1274970965332672514</v>
      </c>
      <c r="AA7" s="81"/>
      <c r="AB7" s="81"/>
      <c r="AC7" s="89" t="s">
        <v>942</v>
      </c>
      <c r="AD7" s="81"/>
      <c r="AE7" s="81" t="b">
        <v>0</v>
      </c>
      <c r="AF7" s="81">
        <v>0</v>
      </c>
      <c r="AG7" s="89" t="s">
        <v>1149</v>
      </c>
      <c r="AH7" s="81" t="b">
        <v>0</v>
      </c>
      <c r="AI7" s="81" t="s">
        <v>1150</v>
      </c>
      <c r="AJ7" s="81"/>
      <c r="AK7" s="89" t="s">
        <v>1149</v>
      </c>
      <c r="AL7" s="81" t="b">
        <v>0</v>
      </c>
      <c r="AM7" s="81">
        <v>19</v>
      </c>
      <c r="AN7" s="89" t="s">
        <v>946</v>
      </c>
      <c r="AO7" s="81" t="s">
        <v>1168</v>
      </c>
      <c r="AP7" s="81" t="b">
        <v>0</v>
      </c>
      <c r="AQ7" s="89" t="s">
        <v>946</v>
      </c>
      <c r="AR7" s="81" t="s">
        <v>325</v>
      </c>
      <c r="AS7" s="81">
        <v>0</v>
      </c>
      <c r="AT7" s="81">
        <v>0</v>
      </c>
      <c r="AU7" s="81"/>
      <c r="AV7" s="81"/>
      <c r="AW7" s="81"/>
      <c r="AX7" s="81"/>
      <c r="AY7" s="81"/>
      <c r="AZ7" s="81"/>
      <c r="BA7" s="81"/>
      <c r="BB7" s="81"/>
      <c r="BC7">
        <v>1</v>
      </c>
      <c r="BD7" s="80" t="str">
        <f>REPLACE(INDEX(GroupVertices[Group],MATCH(Edges25[[#This Row],[Vertex 1]],GroupVertices[Vertex],0)),1,1,"")</f>
        <v>6</v>
      </c>
      <c r="BE7" s="80" t="str">
        <f>REPLACE(INDEX(GroupVertices[Group],MATCH(Edges25[[#This Row],[Vertex 2]],GroupVertices[Vertex],0)),1,1,"")</f>
        <v>6</v>
      </c>
      <c r="BF7" s="48">
        <v>2</v>
      </c>
      <c r="BG7" s="49">
        <v>5.714285714285714</v>
      </c>
      <c r="BH7" s="48">
        <v>0</v>
      </c>
      <c r="BI7" s="49">
        <v>0</v>
      </c>
      <c r="BJ7" s="48">
        <v>0</v>
      </c>
      <c r="BK7" s="49">
        <v>0</v>
      </c>
      <c r="BL7" s="48">
        <v>33</v>
      </c>
      <c r="BM7" s="49">
        <v>94.28571428571429</v>
      </c>
      <c r="BN7" s="48">
        <v>35</v>
      </c>
    </row>
    <row r="8" spans="1:66" ht="15">
      <c r="A8" s="66" t="s">
        <v>367</v>
      </c>
      <c r="B8" s="66" t="s">
        <v>370</v>
      </c>
      <c r="C8" s="67"/>
      <c r="D8" s="68"/>
      <c r="E8" s="69"/>
      <c r="F8" s="70"/>
      <c r="G8" s="67"/>
      <c r="H8" s="71"/>
      <c r="I8" s="72"/>
      <c r="J8" s="72"/>
      <c r="K8" s="34" t="s">
        <v>65</v>
      </c>
      <c r="L8" s="79">
        <v>8</v>
      </c>
      <c r="M8" s="79"/>
      <c r="N8" s="74"/>
      <c r="O8" s="81" t="s">
        <v>586</v>
      </c>
      <c r="P8" s="83">
        <v>44004.3225</v>
      </c>
      <c r="Q8" s="81" t="s">
        <v>589</v>
      </c>
      <c r="R8" s="81"/>
      <c r="S8" s="81"/>
      <c r="T8" s="81" t="s">
        <v>693</v>
      </c>
      <c r="U8" s="81"/>
      <c r="V8" s="84" t="str">
        <f>HYPERLINK("http://pbs.twimg.com/profile_images/1039966314960437248/yKL_4LvX_normal.jpg")</f>
        <v>http://pbs.twimg.com/profile_images/1039966314960437248/yKL_4LvX_normal.jpg</v>
      </c>
      <c r="W8" s="83">
        <v>44004.3225</v>
      </c>
      <c r="X8" s="87">
        <v>44004</v>
      </c>
      <c r="Y8" s="89" t="s">
        <v>734</v>
      </c>
      <c r="Z8" s="84" t="str">
        <f>HYPERLINK("https://twitter.com/markj_ohnson/status/1274971486420336643")</f>
        <v>https://twitter.com/markj_ohnson/status/1274971486420336643</v>
      </c>
      <c r="AA8" s="81"/>
      <c r="AB8" s="81"/>
      <c r="AC8" s="89" t="s">
        <v>943</v>
      </c>
      <c r="AD8" s="81"/>
      <c r="AE8" s="81" t="b">
        <v>0</v>
      </c>
      <c r="AF8" s="81">
        <v>0</v>
      </c>
      <c r="AG8" s="89" t="s">
        <v>1149</v>
      </c>
      <c r="AH8" s="81" t="b">
        <v>0</v>
      </c>
      <c r="AI8" s="81" t="s">
        <v>1150</v>
      </c>
      <c r="AJ8" s="81"/>
      <c r="AK8" s="89" t="s">
        <v>1149</v>
      </c>
      <c r="AL8" s="81" t="b">
        <v>0</v>
      </c>
      <c r="AM8" s="81">
        <v>19</v>
      </c>
      <c r="AN8" s="89" t="s">
        <v>946</v>
      </c>
      <c r="AO8" s="81" t="s">
        <v>1169</v>
      </c>
      <c r="AP8" s="81" t="b">
        <v>0</v>
      </c>
      <c r="AQ8" s="89" t="s">
        <v>946</v>
      </c>
      <c r="AR8" s="81" t="s">
        <v>325</v>
      </c>
      <c r="AS8" s="81">
        <v>0</v>
      </c>
      <c r="AT8" s="81">
        <v>0</v>
      </c>
      <c r="AU8" s="81"/>
      <c r="AV8" s="81"/>
      <c r="AW8" s="81"/>
      <c r="AX8" s="81"/>
      <c r="AY8" s="81"/>
      <c r="AZ8" s="81"/>
      <c r="BA8" s="81"/>
      <c r="BB8" s="81"/>
      <c r="BC8">
        <v>1</v>
      </c>
      <c r="BD8" s="80" t="str">
        <f>REPLACE(INDEX(GroupVertices[Group],MATCH(Edges25[[#This Row],[Vertex 1]],GroupVertices[Vertex],0)),1,1,"")</f>
        <v>6</v>
      </c>
      <c r="BE8" s="80" t="str">
        <f>REPLACE(INDEX(GroupVertices[Group],MATCH(Edges25[[#This Row],[Vertex 2]],GroupVertices[Vertex],0)),1,1,"")</f>
        <v>6</v>
      </c>
      <c r="BF8" s="48">
        <v>2</v>
      </c>
      <c r="BG8" s="49">
        <v>5.714285714285714</v>
      </c>
      <c r="BH8" s="48">
        <v>0</v>
      </c>
      <c r="BI8" s="49">
        <v>0</v>
      </c>
      <c r="BJ8" s="48">
        <v>0</v>
      </c>
      <c r="BK8" s="49">
        <v>0</v>
      </c>
      <c r="BL8" s="48">
        <v>33</v>
      </c>
      <c r="BM8" s="49">
        <v>94.28571428571429</v>
      </c>
      <c r="BN8" s="48">
        <v>35</v>
      </c>
    </row>
    <row r="9" spans="1:66" ht="15">
      <c r="A9" s="66" t="s">
        <v>368</v>
      </c>
      <c r="B9" s="66" t="s">
        <v>370</v>
      </c>
      <c r="C9" s="67"/>
      <c r="D9" s="68"/>
      <c r="E9" s="69"/>
      <c r="F9" s="70"/>
      <c r="G9" s="67"/>
      <c r="H9" s="71"/>
      <c r="I9" s="72"/>
      <c r="J9" s="72"/>
      <c r="K9" s="34" t="s">
        <v>65</v>
      </c>
      <c r="L9" s="79">
        <v>9</v>
      </c>
      <c r="M9" s="79"/>
      <c r="N9" s="74"/>
      <c r="O9" s="81" t="s">
        <v>586</v>
      </c>
      <c r="P9" s="83">
        <v>44004.33325231481</v>
      </c>
      <c r="Q9" s="81" t="s">
        <v>589</v>
      </c>
      <c r="R9" s="81"/>
      <c r="S9" s="81"/>
      <c r="T9" s="81" t="s">
        <v>693</v>
      </c>
      <c r="U9" s="81"/>
      <c r="V9" s="84" t="str">
        <f>HYPERLINK("http://pbs.twimg.com/profile_images/1031997097690759170/psuwWLYh_normal.jpg")</f>
        <v>http://pbs.twimg.com/profile_images/1031997097690759170/psuwWLYh_normal.jpg</v>
      </c>
      <c r="W9" s="83">
        <v>44004.33325231481</v>
      </c>
      <c r="X9" s="87">
        <v>44004</v>
      </c>
      <c r="Y9" s="89" t="s">
        <v>735</v>
      </c>
      <c r="Z9" s="84" t="str">
        <f>HYPERLINK("https://twitter.com/digitalsphere33/status/1274975382123536384")</f>
        <v>https://twitter.com/digitalsphere33/status/1274975382123536384</v>
      </c>
      <c r="AA9" s="81"/>
      <c r="AB9" s="81"/>
      <c r="AC9" s="89" t="s">
        <v>944</v>
      </c>
      <c r="AD9" s="81"/>
      <c r="AE9" s="81" t="b">
        <v>0</v>
      </c>
      <c r="AF9" s="81">
        <v>0</v>
      </c>
      <c r="AG9" s="89" t="s">
        <v>1149</v>
      </c>
      <c r="AH9" s="81" t="b">
        <v>0</v>
      </c>
      <c r="AI9" s="81" t="s">
        <v>1150</v>
      </c>
      <c r="AJ9" s="81"/>
      <c r="AK9" s="89" t="s">
        <v>1149</v>
      </c>
      <c r="AL9" s="81" t="b">
        <v>0</v>
      </c>
      <c r="AM9" s="81">
        <v>19</v>
      </c>
      <c r="AN9" s="89" t="s">
        <v>946</v>
      </c>
      <c r="AO9" s="81" t="s">
        <v>1170</v>
      </c>
      <c r="AP9" s="81" t="b">
        <v>0</v>
      </c>
      <c r="AQ9" s="89" t="s">
        <v>946</v>
      </c>
      <c r="AR9" s="81" t="s">
        <v>325</v>
      </c>
      <c r="AS9" s="81">
        <v>0</v>
      </c>
      <c r="AT9" s="81">
        <v>0</v>
      </c>
      <c r="AU9" s="81"/>
      <c r="AV9" s="81"/>
      <c r="AW9" s="81"/>
      <c r="AX9" s="81"/>
      <c r="AY9" s="81"/>
      <c r="AZ9" s="81"/>
      <c r="BA9" s="81"/>
      <c r="BB9" s="81"/>
      <c r="BC9">
        <v>1</v>
      </c>
      <c r="BD9" s="80" t="str">
        <f>REPLACE(INDEX(GroupVertices[Group],MATCH(Edges25[[#This Row],[Vertex 1]],GroupVertices[Vertex],0)),1,1,"")</f>
        <v>6</v>
      </c>
      <c r="BE9" s="80" t="str">
        <f>REPLACE(INDEX(GroupVertices[Group],MATCH(Edges25[[#This Row],[Vertex 2]],GroupVertices[Vertex],0)),1,1,"")</f>
        <v>6</v>
      </c>
      <c r="BF9" s="48">
        <v>2</v>
      </c>
      <c r="BG9" s="49">
        <v>5.714285714285714</v>
      </c>
      <c r="BH9" s="48">
        <v>0</v>
      </c>
      <c r="BI9" s="49">
        <v>0</v>
      </c>
      <c r="BJ9" s="48">
        <v>0</v>
      </c>
      <c r="BK9" s="49">
        <v>0</v>
      </c>
      <c r="BL9" s="48">
        <v>33</v>
      </c>
      <c r="BM9" s="49">
        <v>94.28571428571429</v>
      </c>
      <c r="BN9" s="48">
        <v>35</v>
      </c>
    </row>
    <row r="10" spans="1:66" ht="15">
      <c r="A10" s="66" t="s">
        <v>369</v>
      </c>
      <c r="B10" s="66" t="s">
        <v>370</v>
      </c>
      <c r="C10" s="67"/>
      <c r="D10" s="68"/>
      <c r="E10" s="69"/>
      <c r="F10" s="70"/>
      <c r="G10" s="67"/>
      <c r="H10" s="71"/>
      <c r="I10" s="72"/>
      <c r="J10" s="72"/>
      <c r="K10" s="34" t="s">
        <v>65</v>
      </c>
      <c r="L10" s="79">
        <v>10</v>
      </c>
      <c r="M10" s="79"/>
      <c r="N10" s="74"/>
      <c r="O10" s="81" t="s">
        <v>586</v>
      </c>
      <c r="P10" s="83">
        <v>44004.333287037036</v>
      </c>
      <c r="Q10" s="81" t="s">
        <v>589</v>
      </c>
      <c r="R10" s="81"/>
      <c r="S10" s="81"/>
      <c r="T10" s="81" t="s">
        <v>693</v>
      </c>
      <c r="U10" s="81"/>
      <c r="V10" s="84" t="str">
        <f>HYPERLINK("http://pbs.twimg.com/profile_images/885513954818220033/gf3Ci4dO_normal.jpg")</f>
        <v>http://pbs.twimg.com/profile_images/885513954818220033/gf3Ci4dO_normal.jpg</v>
      </c>
      <c r="W10" s="83">
        <v>44004.333287037036</v>
      </c>
      <c r="X10" s="87">
        <v>44004</v>
      </c>
      <c r="Y10" s="89" t="s">
        <v>736</v>
      </c>
      <c r="Z10" s="84" t="str">
        <f>HYPERLINK("https://twitter.com/taieb_bot/status/1274975393179721732")</f>
        <v>https://twitter.com/taieb_bot/status/1274975393179721732</v>
      </c>
      <c r="AA10" s="81"/>
      <c r="AB10" s="81"/>
      <c r="AC10" s="89" t="s">
        <v>945</v>
      </c>
      <c r="AD10" s="81"/>
      <c r="AE10" s="81" t="b">
        <v>0</v>
      </c>
      <c r="AF10" s="81">
        <v>0</v>
      </c>
      <c r="AG10" s="89" t="s">
        <v>1149</v>
      </c>
      <c r="AH10" s="81" t="b">
        <v>0</v>
      </c>
      <c r="AI10" s="81" t="s">
        <v>1150</v>
      </c>
      <c r="AJ10" s="81"/>
      <c r="AK10" s="89" t="s">
        <v>1149</v>
      </c>
      <c r="AL10" s="81" t="b">
        <v>0</v>
      </c>
      <c r="AM10" s="81">
        <v>19</v>
      </c>
      <c r="AN10" s="89" t="s">
        <v>946</v>
      </c>
      <c r="AO10" s="81" t="s">
        <v>1171</v>
      </c>
      <c r="AP10" s="81" t="b">
        <v>0</v>
      </c>
      <c r="AQ10" s="89" t="s">
        <v>946</v>
      </c>
      <c r="AR10" s="81" t="s">
        <v>325</v>
      </c>
      <c r="AS10" s="81">
        <v>0</v>
      </c>
      <c r="AT10" s="81">
        <v>0</v>
      </c>
      <c r="AU10" s="81"/>
      <c r="AV10" s="81"/>
      <c r="AW10" s="81"/>
      <c r="AX10" s="81"/>
      <c r="AY10" s="81"/>
      <c r="AZ10" s="81"/>
      <c r="BA10" s="81"/>
      <c r="BB10" s="81"/>
      <c r="BC10">
        <v>1</v>
      </c>
      <c r="BD10" s="80" t="str">
        <f>REPLACE(INDEX(GroupVertices[Group],MATCH(Edges25[[#This Row],[Vertex 1]],GroupVertices[Vertex],0)),1,1,"")</f>
        <v>6</v>
      </c>
      <c r="BE10" s="80" t="str">
        <f>REPLACE(INDEX(GroupVertices[Group],MATCH(Edges25[[#This Row],[Vertex 2]],GroupVertices[Vertex],0)),1,1,"")</f>
        <v>6</v>
      </c>
      <c r="BF10" s="48">
        <v>2</v>
      </c>
      <c r="BG10" s="49">
        <v>5.714285714285714</v>
      </c>
      <c r="BH10" s="48">
        <v>0</v>
      </c>
      <c r="BI10" s="49">
        <v>0</v>
      </c>
      <c r="BJ10" s="48">
        <v>0</v>
      </c>
      <c r="BK10" s="49">
        <v>0</v>
      </c>
      <c r="BL10" s="48">
        <v>33</v>
      </c>
      <c r="BM10" s="49">
        <v>94.28571428571429</v>
      </c>
      <c r="BN10" s="48">
        <v>35</v>
      </c>
    </row>
    <row r="11" spans="1:66" ht="15">
      <c r="A11" s="66" t="s">
        <v>370</v>
      </c>
      <c r="B11" s="66" t="s">
        <v>370</v>
      </c>
      <c r="C11" s="67"/>
      <c r="D11" s="68"/>
      <c r="E11" s="69"/>
      <c r="F11" s="70"/>
      <c r="G11" s="67"/>
      <c r="H11" s="71"/>
      <c r="I11" s="72"/>
      <c r="J11" s="72"/>
      <c r="K11" s="34" t="s">
        <v>65</v>
      </c>
      <c r="L11" s="79">
        <v>11</v>
      </c>
      <c r="M11" s="79"/>
      <c r="N11" s="74"/>
      <c r="O11" s="81" t="s">
        <v>325</v>
      </c>
      <c r="P11" s="83">
        <v>43984.60234953704</v>
      </c>
      <c r="Q11" s="81" t="s">
        <v>589</v>
      </c>
      <c r="R11" s="81"/>
      <c r="S11" s="81"/>
      <c r="T11" s="81" t="s">
        <v>694</v>
      </c>
      <c r="U11" s="84" t="str">
        <f>HYPERLINK("https://pbs.twimg.com/tweet_video_thumb/EZg4PaVUMAINhAm.jpg")</f>
        <v>https://pbs.twimg.com/tweet_video_thumb/EZg4PaVUMAINhAm.jpg</v>
      </c>
      <c r="V11" s="84" t="str">
        <f>HYPERLINK("https://pbs.twimg.com/tweet_video_thumb/EZg4PaVUMAINhAm.jpg")</f>
        <v>https://pbs.twimg.com/tweet_video_thumb/EZg4PaVUMAINhAm.jpg</v>
      </c>
      <c r="W11" s="83">
        <v>43984.60234953704</v>
      </c>
      <c r="X11" s="87">
        <v>43984</v>
      </c>
      <c r="Y11" s="89" t="s">
        <v>737</v>
      </c>
      <c r="Z11" s="84" t="str">
        <f>HYPERLINK("https://twitter.com/e2d3org/status/1267825141666312192")</f>
        <v>https://twitter.com/e2d3org/status/1267825141666312192</v>
      </c>
      <c r="AA11" s="81"/>
      <c r="AB11" s="81"/>
      <c r="AC11" s="89" t="s">
        <v>946</v>
      </c>
      <c r="AD11" s="81"/>
      <c r="AE11" s="81" t="b">
        <v>0</v>
      </c>
      <c r="AF11" s="81">
        <v>10</v>
      </c>
      <c r="AG11" s="89" t="s">
        <v>1149</v>
      </c>
      <c r="AH11" s="81" t="b">
        <v>0</v>
      </c>
      <c r="AI11" s="81" t="s">
        <v>1150</v>
      </c>
      <c r="AJ11" s="81"/>
      <c r="AK11" s="89" t="s">
        <v>1149</v>
      </c>
      <c r="AL11" s="81" t="b">
        <v>0</v>
      </c>
      <c r="AM11" s="81">
        <v>19</v>
      </c>
      <c r="AN11" s="89" t="s">
        <v>1149</v>
      </c>
      <c r="AO11" s="81" t="s">
        <v>1172</v>
      </c>
      <c r="AP11" s="81" t="b">
        <v>0</v>
      </c>
      <c r="AQ11" s="89" t="s">
        <v>946</v>
      </c>
      <c r="AR11" s="81" t="s">
        <v>586</v>
      </c>
      <c r="AS11" s="81">
        <v>0</v>
      </c>
      <c r="AT11" s="81">
        <v>0</v>
      </c>
      <c r="AU11" s="81"/>
      <c r="AV11" s="81"/>
      <c r="AW11" s="81"/>
      <c r="AX11" s="81"/>
      <c r="AY11" s="81"/>
      <c r="AZ11" s="81"/>
      <c r="BA11" s="81"/>
      <c r="BB11" s="81"/>
      <c r="BC11">
        <v>1</v>
      </c>
      <c r="BD11" s="80" t="str">
        <f>REPLACE(INDEX(GroupVertices[Group],MATCH(Edges25[[#This Row],[Vertex 1]],GroupVertices[Vertex],0)),1,1,"")</f>
        <v>6</v>
      </c>
      <c r="BE11" s="80" t="str">
        <f>REPLACE(INDEX(GroupVertices[Group],MATCH(Edges25[[#This Row],[Vertex 2]],GroupVertices[Vertex],0)),1,1,"")</f>
        <v>6</v>
      </c>
      <c r="BF11" s="48">
        <v>2</v>
      </c>
      <c r="BG11" s="49">
        <v>5.714285714285714</v>
      </c>
      <c r="BH11" s="48">
        <v>0</v>
      </c>
      <c r="BI11" s="49">
        <v>0</v>
      </c>
      <c r="BJ11" s="48">
        <v>0</v>
      </c>
      <c r="BK11" s="49">
        <v>0</v>
      </c>
      <c r="BL11" s="48">
        <v>33</v>
      </c>
      <c r="BM11" s="49">
        <v>94.28571428571429</v>
      </c>
      <c r="BN11" s="48">
        <v>35</v>
      </c>
    </row>
    <row r="12" spans="1:66" ht="15">
      <c r="A12" s="66" t="s">
        <v>371</v>
      </c>
      <c r="B12" s="66" t="s">
        <v>370</v>
      </c>
      <c r="C12" s="67"/>
      <c r="D12" s="68"/>
      <c r="E12" s="69"/>
      <c r="F12" s="70"/>
      <c r="G12" s="67"/>
      <c r="H12" s="71"/>
      <c r="I12" s="72"/>
      <c r="J12" s="72"/>
      <c r="K12" s="34" t="s">
        <v>65</v>
      </c>
      <c r="L12" s="79">
        <v>12</v>
      </c>
      <c r="M12" s="79"/>
      <c r="N12" s="74"/>
      <c r="O12" s="81" t="s">
        <v>586</v>
      </c>
      <c r="P12" s="83">
        <v>44004.343356481484</v>
      </c>
      <c r="Q12" s="81" t="s">
        <v>589</v>
      </c>
      <c r="R12" s="81"/>
      <c r="S12" s="81"/>
      <c r="T12" s="81" t="s">
        <v>693</v>
      </c>
      <c r="U12" s="81"/>
      <c r="V12" s="84" t="str">
        <f>HYPERLINK("http://pbs.twimg.com/profile_images/1200295317385564161/97PctBj3_normal.jpg")</f>
        <v>http://pbs.twimg.com/profile_images/1200295317385564161/97PctBj3_normal.jpg</v>
      </c>
      <c r="W12" s="83">
        <v>44004.343356481484</v>
      </c>
      <c r="X12" s="87">
        <v>44004</v>
      </c>
      <c r="Y12" s="89" t="s">
        <v>738</v>
      </c>
      <c r="Z12" s="84" t="str">
        <f>HYPERLINK("https://twitter.com/dashboarddr/status/1274979044358938624")</f>
        <v>https://twitter.com/dashboarddr/status/1274979044358938624</v>
      </c>
      <c r="AA12" s="81"/>
      <c r="AB12" s="81"/>
      <c r="AC12" s="89" t="s">
        <v>947</v>
      </c>
      <c r="AD12" s="81"/>
      <c r="AE12" s="81" t="b">
        <v>0</v>
      </c>
      <c r="AF12" s="81">
        <v>0</v>
      </c>
      <c r="AG12" s="89" t="s">
        <v>1149</v>
      </c>
      <c r="AH12" s="81" t="b">
        <v>0</v>
      </c>
      <c r="AI12" s="81" t="s">
        <v>1150</v>
      </c>
      <c r="AJ12" s="81"/>
      <c r="AK12" s="89" t="s">
        <v>1149</v>
      </c>
      <c r="AL12" s="81" t="b">
        <v>0</v>
      </c>
      <c r="AM12" s="81">
        <v>19</v>
      </c>
      <c r="AN12" s="89" t="s">
        <v>946</v>
      </c>
      <c r="AO12" s="81" t="s">
        <v>1173</v>
      </c>
      <c r="AP12" s="81" t="b">
        <v>0</v>
      </c>
      <c r="AQ12" s="89" t="s">
        <v>946</v>
      </c>
      <c r="AR12" s="81" t="s">
        <v>325</v>
      </c>
      <c r="AS12" s="81">
        <v>0</v>
      </c>
      <c r="AT12" s="81">
        <v>0</v>
      </c>
      <c r="AU12" s="81"/>
      <c r="AV12" s="81"/>
      <c r="AW12" s="81"/>
      <c r="AX12" s="81"/>
      <c r="AY12" s="81"/>
      <c r="AZ12" s="81"/>
      <c r="BA12" s="81"/>
      <c r="BB12" s="81"/>
      <c r="BC12">
        <v>1</v>
      </c>
      <c r="BD12" s="80" t="str">
        <f>REPLACE(INDEX(GroupVertices[Group],MATCH(Edges25[[#This Row],[Vertex 1]],GroupVertices[Vertex],0)),1,1,"")</f>
        <v>6</v>
      </c>
      <c r="BE12" s="80" t="str">
        <f>REPLACE(INDEX(GroupVertices[Group],MATCH(Edges25[[#This Row],[Vertex 2]],GroupVertices[Vertex],0)),1,1,"")</f>
        <v>6</v>
      </c>
      <c r="BF12" s="48">
        <v>2</v>
      </c>
      <c r="BG12" s="49">
        <v>5.714285714285714</v>
      </c>
      <c r="BH12" s="48">
        <v>0</v>
      </c>
      <c r="BI12" s="49">
        <v>0</v>
      </c>
      <c r="BJ12" s="48">
        <v>0</v>
      </c>
      <c r="BK12" s="49">
        <v>0</v>
      </c>
      <c r="BL12" s="48">
        <v>33</v>
      </c>
      <c r="BM12" s="49">
        <v>94.28571428571429</v>
      </c>
      <c r="BN12" s="48">
        <v>35</v>
      </c>
    </row>
    <row r="13" spans="1:66" ht="15">
      <c r="A13" s="66" t="s">
        <v>372</v>
      </c>
      <c r="B13" s="66" t="s">
        <v>372</v>
      </c>
      <c r="C13" s="67"/>
      <c r="D13" s="68"/>
      <c r="E13" s="69"/>
      <c r="F13" s="70"/>
      <c r="G13" s="67"/>
      <c r="H13" s="71"/>
      <c r="I13" s="72"/>
      <c r="J13" s="72"/>
      <c r="K13" s="34" t="s">
        <v>65</v>
      </c>
      <c r="L13" s="79">
        <v>13</v>
      </c>
      <c r="M13" s="79"/>
      <c r="N13" s="74"/>
      <c r="O13" s="81" t="s">
        <v>325</v>
      </c>
      <c r="P13" s="83">
        <v>44004.37778935185</v>
      </c>
      <c r="Q13" s="81" t="s">
        <v>590</v>
      </c>
      <c r="R13" s="84" t="str">
        <f>HYPERLINK("https://youtu.be/_tALUcBBeB0")</f>
        <v>https://youtu.be/_tALUcBBeB0</v>
      </c>
      <c r="S13" s="81" t="s">
        <v>675</v>
      </c>
      <c r="T13" s="81" t="s">
        <v>695</v>
      </c>
      <c r="U13" s="84" t="str">
        <f>HYPERLINK("https://pbs.twimg.com/media/EbGuCILX0AEjIl0.jpg")</f>
        <v>https://pbs.twimg.com/media/EbGuCILX0AEjIl0.jpg</v>
      </c>
      <c r="V13" s="84" t="str">
        <f>HYPERLINK("https://pbs.twimg.com/media/EbGuCILX0AEjIl0.jpg")</f>
        <v>https://pbs.twimg.com/media/EbGuCILX0AEjIl0.jpg</v>
      </c>
      <c r="W13" s="83">
        <v>44004.37778935185</v>
      </c>
      <c r="X13" s="87">
        <v>44004</v>
      </c>
      <c r="Y13" s="89" t="s">
        <v>739</v>
      </c>
      <c r="Z13" s="84" t="str">
        <f>HYPERLINK("https://twitter.com/gijnru/status/1274991522329571333")</f>
        <v>https://twitter.com/gijnru/status/1274991522329571333</v>
      </c>
      <c r="AA13" s="81"/>
      <c r="AB13" s="81"/>
      <c r="AC13" s="89" t="s">
        <v>948</v>
      </c>
      <c r="AD13" s="81"/>
      <c r="AE13" s="81" t="b">
        <v>0</v>
      </c>
      <c r="AF13" s="81">
        <v>2</v>
      </c>
      <c r="AG13" s="89" t="s">
        <v>1149</v>
      </c>
      <c r="AH13" s="81" t="b">
        <v>0</v>
      </c>
      <c r="AI13" s="81" t="s">
        <v>1151</v>
      </c>
      <c r="AJ13" s="81"/>
      <c r="AK13" s="89" t="s">
        <v>1149</v>
      </c>
      <c r="AL13" s="81" t="b">
        <v>0</v>
      </c>
      <c r="AM13" s="81">
        <v>0</v>
      </c>
      <c r="AN13" s="89" t="s">
        <v>1149</v>
      </c>
      <c r="AO13" s="81" t="s">
        <v>1174</v>
      </c>
      <c r="AP13" s="81" t="b">
        <v>0</v>
      </c>
      <c r="AQ13" s="89" t="s">
        <v>948</v>
      </c>
      <c r="AR13" s="81" t="s">
        <v>325</v>
      </c>
      <c r="AS13" s="81">
        <v>0</v>
      </c>
      <c r="AT13" s="81">
        <v>0</v>
      </c>
      <c r="AU13" s="81"/>
      <c r="AV13" s="81"/>
      <c r="AW13" s="81"/>
      <c r="AX13" s="81"/>
      <c r="AY13" s="81"/>
      <c r="AZ13" s="81"/>
      <c r="BA13" s="81"/>
      <c r="BB13" s="81"/>
      <c r="BC13">
        <v>1</v>
      </c>
      <c r="BD13" s="80" t="str">
        <f>REPLACE(INDEX(GroupVertices[Group],MATCH(Edges25[[#This Row],[Vertex 1]],GroupVertices[Vertex],0)),1,1,"")</f>
        <v>8</v>
      </c>
      <c r="BE13" s="80" t="str">
        <f>REPLACE(INDEX(GroupVertices[Group],MATCH(Edges25[[#This Row],[Vertex 2]],GroupVertices[Vertex],0)),1,1,"")</f>
        <v>8</v>
      </c>
      <c r="BF13" s="48">
        <v>0</v>
      </c>
      <c r="BG13" s="49">
        <v>0</v>
      </c>
      <c r="BH13" s="48">
        <v>0</v>
      </c>
      <c r="BI13" s="49">
        <v>0</v>
      </c>
      <c r="BJ13" s="48">
        <v>0</v>
      </c>
      <c r="BK13" s="49">
        <v>0</v>
      </c>
      <c r="BL13" s="48">
        <v>25</v>
      </c>
      <c r="BM13" s="49">
        <v>100</v>
      </c>
      <c r="BN13" s="48">
        <v>25</v>
      </c>
    </row>
    <row r="14" spans="1:66" ht="15">
      <c r="A14" s="66" t="s">
        <v>373</v>
      </c>
      <c r="B14" s="66" t="s">
        <v>519</v>
      </c>
      <c r="C14" s="67"/>
      <c r="D14" s="68"/>
      <c r="E14" s="69"/>
      <c r="F14" s="70"/>
      <c r="G14" s="67"/>
      <c r="H14" s="71"/>
      <c r="I14" s="72"/>
      <c r="J14" s="72"/>
      <c r="K14" s="34" t="s">
        <v>65</v>
      </c>
      <c r="L14" s="79">
        <v>14</v>
      </c>
      <c r="M14" s="79"/>
      <c r="N14" s="74"/>
      <c r="O14" s="81" t="s">
        <v>587</v>
      </c>
      <c r="P14" s="83">
        <v>44004.4312037037</v>
      </c>
      <c r="Q14" s="81" t="s">
        <v>591</v>
      </c>
      <c r="R14" s="84" t="str">
        <f>HYPERLINK("https://twitter.com/daea_marius/status/1274998459075092486")</f>
        <v>https://twitter.com/daea_marius/status/1274998459075092486</v>
      </c>
      <c r="S14" s="81" t="s">
        <v>676</v>
      </c>
      <c r="T14" s="81" t="s">
        <v>696</v>
      </c>
      <c r="U14" s="81"/>
      <c r="V14" s="84" t="str">
        <f>HYPERLINK("http://pbs.twimg.com/profile_images/378800000640777086/92cded97f125830eb29dc1f136797d88_normal.png")</f>
        <v>http://pbs.twimg.com/profile_images/378800000640777086/92cded97f125830eb29dc1f136797d88_normal.png</v>
      </c>
      <c r="W14" s="83">
        <v>44004.4312037037</v>
      </c>
      <c r="X14" s="87">
        <v>44004</v>
      </c>
      <c r="Y14" s="89" t="s">
        <v>740</v>
      </c>
      <c r="Z14" s="84" t="str">
        <f>HYPERLINK("https://twitter.com/oxciej/status/1275010876886695936")</f>
        <v>https://twitter.com/oxciej/status/1275010876886695936</v>
      </c>
      <c r="AA14" s="81"/>
      <c r="AB14" s="81"/>
      <c r="AC14" s="89" t="s">
        <v>949</v>
      </c>
      <c r="AD14" s="81"/>
      <c r="AE14" s="81" t="b">
        <v>0</v>
      </c>
      <c r="AF14" s="81">
        <v>1</v>
      </c>
      <c r="AG14" s="89" t="s">
        <v>1149</v>
      </c>
      <c r="AH14" s="81" t="b">
        <v>1</v>
      </c>
      <c r="AI14" s="81" t="s">
        <v>1150</v>
      </c>
      <c r="AJ14" s="81"/>
      <c r="AK14" s="89" t="s">
        <v>1159</v>
      </c>
      <c r="AL14" s="81" t="b">
        <v>0</v>
      </c>
      <c r="AM14" s="81">
        <v>1</v>
      </c>
      <c r="AN14" s="89" t="s">
        <v>1149</v>
      </c>
      <c r="AO14" s="81" t="s">
        <v>1172</v>
      </c>
      <c r="AP14" s="81" t="b">
        <v>0</v>
      </c>
      <c r="AQ14" s="89" t="s">
        <v>949</v>
      </c>
      <c r="AR14" s="81" t="s">
        <v>325</v>
      </c>
      <c r="AS14" s="81">
        <v>0</v>
      </c>
      <c r="AT14" s="81">
        <v>0</v>
      </c>
      <c r="AU14" s="81"/>
      <c r="AV14" s="81"/>
      <c r="AW14" s="81"/>
      <c r="AX14" s="81"/>
      <c r="AY14" s="81"/>
      <c r="AZ14" s="81"/>
      <c r="BA14" s="81"/>
      <c r="BB14" s="81"/>
      <c r="BC14">
        <v>1</v>
      </c>
      <c r="BD14" s="80" t="str">
        <f>REPLACE(INDEX(GroupVertices[Group],MATCH(Edges25[[#This Row],[Vertex 1]],GroupVertices[Vertex],0)),1,1,"")</f>
        <v>15</v>
      </c>
      <c r="BE14" s="80" t="str">
        <f>REPLACE(INDEX(GroupVertices[Group],MATCH(Edges25[[#This Row],[Vertex 2]],GroupVertices[Vertex],0)),1,1,"")</f>
        <v>15</v>
      </c>
      <c r="BF14" s="48"/>
      <c r="BG14" s="49"/>
      <c r="BH14" s="48"/>
      <c r="BI14" s="49"/>
      <c r="BJ14" s="48"/>
      <c r="BK14" s="49"/>
      <c r="BL14" s="48"/>
      <c r="BM14" s="49"/>
      <c r="BN14" s="48"/>
    </row>
    <row r="15" spans="1:66" ht="15">
      <c r="A15" s="66" t="s">
        <v>374</v>
      </c>
      <c r="B15" s="66" t="s">
        <v>519</v>
      </c>
      <c r="C15" s="67"/>
      <c r="D15" s="68"/>
      <c r="E15" s="69"/>
      <c r="F15" s="70"/>
      <c r="G15" s="67"/>
      <c r="H15" s="71"/>
      <c r="I15" s="72"/>
      <c r="J15" s="72"/>
      <c r="K15" s="34" t="s">
        <v>65</v>
      </c>
      <c r="L15" s="79">
        <v>15</v>
      </c>
      <c r="M15" s="79"/>
      <c r="N15" s="74"/>
      <c r="O15" s="81" t="s">
        <v>588</v>
      </c>
      <c r="P15" s="83">
        <v>44004.431435185186</v>
      </c>
      <c r="Q15" s="81" t="s">
        <v>591</v>
      </c>
      <c r="R15" s="81"/>
      <c r="S15" s="81"/>
      <c r="T15" s="81" t="s">
        <v>697</v>
      </c>
      <c r="U15" s="81"/>
      <c r="V15" s="84" t="str">
        <f>HYPERLINK("http://pbs.twimg.com/profile_images/479237208067424256/icLNQWf8_normal.png")</f>
        <v>http://pbs.twimg.com/profile_images/479237208067424256/icLNQWf8_normal.png</v>
      </c>
      <c r="W15" s="83">
        <v>44004.431435185186</v>
      </c>
      <c r="X15" s="87">
        <v>44004</v>
      </c>
      <c r="Y15" s="89" t="s">
        <v>741</v>
      </c>
      <c r="Z15" s="84" t="str">
        <f>HYPERLINK("https://twitter.com/emibarbiroglio/status/1275010961926172672")</f>
        <v>https://twitter.com/emibarbiroglio/status/1275010961926172672</v>
      </c>
      <c r="AA15" s="81"/>
      <c r="AB15" s="81"/>
      <c r="AC15" s="89" t="s">
        <v>950</v>
      </c>
      <c r="AD15" s="81"/>
      <c r="AE15" s="81" t="b">
        <v>0</v>
      </c>
      <c r="AF15" s="81">
        <v>0</v>
      </c>
      <c r="AG15" s="89" t="s">
        <v>1149</v>
      </c>
      <c r="AH15" s="81" t="b">
        <v>1</v>
      </c>
      <c r="AI15" s="81" t="s">
        <v>1150</v>
      </c>
      <c r="AJ15" s="81"/>
      <c r="AK15" s="89" t="s">
        <v>1159</v>
      </c>
      <c r="AL15" s="81" t="b">
        <v>0</v>
      </c>
      <c r="AM15" s="81">
        <v>1</v>
      </c>
      <c r="AN15" s="89" t="s">
        <v>949</v>
      </c>
      <c r="AO15" s="81" t="s">
        <v>1172</v>
      </c>
      <c r="AP15" s="81" t="b">
        <v>0</v>
      </c>
      <c r="AQ15" s="89" t="s">
        <v>949</v>
      </c>
      <c r="AR15" s="81" t="s">
        <v>325</v>
      </c>
      <c r="AS15" s="81">
        <v>0</v>
      </c>
      <c r="AT15" s="81">
        <v>0</v>
      </c>
      <c r="AU15" s="81"/>
      <c r="AV15" s="81"/>
      <c r="AW15" s="81"/>
      <c r="AX15" s="81"/>
      <c r="AY15" s="81"/>
      <c r="AZ15" s="81"/>
      <c r="BA15" s="81"/>
      <c r="BB15" s="81"/>
      <c r="BC15">
        <v>1</v>
      </c>
      <c r="BD15" s="80" t="str">
        <f>REPLACE(INDEX(GroupVertices[Group],MATCH(Edges25[[#This Row],[Vertex 1]],GroupVertices[Vertex],0)),1,1,"")</f>
        <v>15</v>
      </c>
      <c r="BE15" s="80" t="str">
        <f>REPLACE(INDEX(GroupVertices[Group],MATCH(Edges25[[#This Row],[Vertex 2]],GroupVertices[Vertex],0)),1,1,"")</f>
        <v>15</v>
      </c>
      <c r="BF15" s="48"/>
      <c r="BG15" s="49"/>
      <c r="BH15" s="48"/>
      <c r="BI15" s="49"/>
      <c r="BJ15" s="48"/>
      <c r="BK15" s="49"/>
      <c r="BL15" s="48"/>
      <c r="BM15" s="49"/>
      <c r="BN15" s="48"/>
    </row>
    <row r="16" spans="1:66" ht="15">
      <c r="A16" s="66" t="s">
        <v>375</v>
      </c>
      <c r="B16" s="66" t="s">
        <v>497</v>
      </c>
      <c r="C16" s="67"/>
      <c r="D16" s="68"/>
      <c r="E16" s="69"/>
      <c r="F16" s="70"/>
      <c r="G16" s="67"/>
      <c r="H16" s="71"/>
      <c r="I16" s="72"/>
      <c r="J16" s="72"/>
      <c r="K16" s="34" t="s">
        <v>65</v>
      </c>
      <c r="L16" s="79">
        <v>19</v>
      </c>
      <c r="M16" s="79"/>
      <c r="N16" s="74"/>
      <c r="O16" s="81" t="s">
        <v>586</v>
      </c>
      <c r="P16" s="83">
        <v>44004.45415509259</v>
      </c>
      <c r="Q16" s="81" t="s">
        <v>592</v>
      </c>
      <c r="R16" s="84" t="str">
        <f>HYPERLINK("https://twitter.com/basole/status/1274853316758036481")</f>
        <v>https://twitter.com/basole/status/1274853316758036481</v>
      </c>
      <c r="S16" s="81" t="s">
        <v>676</v>
      </c>
      <c r="T16" s="81" t="s">
        <v>698</v>
      </c>
      <c r="U16" s="81"/>
      <c r="V16" s="84" t="str">
        <f>HYPERLINK("http://pbs.twimg.com/profile_images/1273030706629881856/EuOF5hHx_normal.png")</f>
        <v>http://pbs.twimg.com/profile_images/1273030706629881856/EuOF5hHx_normal.png</v>
      </c>
      <c r="W16" s="83">
        <v>44004.45415509259</v>
      </c>
      <c r="X16" s="87">
        <v>44004</v>
      </c>
      <c r="Y16" s="89" t="s">
        <v>742</v>
      </c>
      <c r="Z16" s="84" t="str">
        <f>HYPERLINK("https://twitter.com/masteruah/status/1275019193461739520")</f>
        <v>https://twitter.com/masteruah/status/1275019193461739520</v>
      </c>
      <c r="AA16" s="81"/>
      <c r="AB16" s="81"/>
      <c r="AC16" s="89" t="s">
        <v>951</v>
      </c>
      <c r="AD16" s="81"/>
      <c r="AE16" s="81" t="b">
        <v>0</v>
      </c>
      <c r="AF16" s="81">
        <v>0</v>
      </c>
      <c r="AG16" s="89" t="s">
        <v>1149</v>
      </c>
      <c r="AH16" s="81" t="b">
        <v>1</v>
      </c>
      <c r="AI16" s="81" t="s">
        <v>1150</v>
      </c>
      <c r="AJ16" s="81"/>
      <c r="AK16" s="89" t="s">
        <v>1160</v>
      </c>
      <c r="AL16" s="81" t="b">
        <v>0</v>
      </c>
      <c r="AM16" s="81">
        <v>7</v>
      </c>
      <c r="AN16" s="89" t="s">
        <v>1119</v>
      </c>
      <c r="AO16" s="81" t="s">
        <v>1175</v>
      </c>
      <c r="AP16" s="81" t="b">
        <v>0</v>
      </c>
      <c r="AQ16" s="89" t="s">
        <v>1119</v>
      </c>
      <c r="AR16" s="81" t="s">
        <v>325</v>
      </c>
      <c r="AS16" s="81">
        <v>0</v>
      </c>
      <c r="AT16" s="81">
        <v>0</v>
      </c>
      <c r="AU16" s="81"/>
      <c r="AV16" s="81"/>
      <c r="AW16" s="81"/>
      <c r="AX16" s="81"/>
      <c r="AY16" s="81"/>
      <c r="AZ16" s="81"/>
      <c r="BA16" s="81"/>
      <c r="BB16" s="81"/>
      <c r="BC16">
        <v>1</v>
      </c>
      <c r="BD16" s="80" t="str">
        <f>REPLACE(INDEX(GroupVertices[Group],MATCH(Edges25[[#This Row],[Vertex 1]],GroupVertices[Vertex],0)),1,1,"")</f>
        <v>9</v>
      </c>
      <c r="BE16" s="80" t="str">
        <f>REPLACE(INDEX(GroupVertices[Group],MATCH(Edges25[[#This Row],[Vertex 2]],GroupVertices[Vertex],0)),1,1,"")</f>
        <v>9</v>
      </c>
      <c r="BF16" s="48">
        <v>1</v>
      </c>
      <c r="BG16" s="49">
        <v>16.666666666666668</v>
      </c>
      <c r="BH16" s="48">
        <v>0</v>
      </c>
      <c r="BI16" s="49">
        <v>0</v>
      </c>
      <c r="BJ16" s="48">
        <v>0</v>
      </c>
      <c r="BK16" s="49">
        <v>0</v>
      </c>
      <c r="BL16" s="48">
        <v>5</v>
      </c>
      <c r="BM16" s="49">
        <v>83.33333333333333</v>
      </c>
      <c r="BN16" s="48">
        <v>6</v>
      </c>
    </row>
    <row r="17" spans="1:66" ht="15">
      <c r="A17" s="66" t="s">
        <v>376</v>
      </c>
      <c r="B17" s="66" t="s">
        <v>521</v>
      </c>
      <c r="C17" s="67"/>
      <c r="D17" s="68"/>
      <c r="E17" s="69"/>
      <c r="F17" s="70"/>
      <c r="G17" s="67"/>
      <c r="H17" s="71"/>
      <c r="I17" s="72"/>
      <c r="J17" s="72"/>
      <c r="K17" s="34" t="s">
        <v>65</v>
      </c>
      <c r="L17" s="79">
        <v>20</v>
      </c>
      <c r="M17" s="79"/>
      <c r="N17" s="74"/>
      <c r="O17" s="81" t="s">
        <v>588</v>
      </c>
      <c r="P17" s="83">
        <v>44004.4590625</v>
      </c>
      <c r="Q17" s="81" t="s">
        <v>593</v>
      </c>
      <c r="R17" s="81"/>
      <c r="S17" s="81"/>
      <c r="T17" s="81" t="s">
        <v>699</v>
      </c>
      <c r="U17" s="81"/>
      <c r="V17" s="84" t="str">
        <f>HYPERLINK("http://pbs.twimg.com/profile_images/747149568920395776/ZRrsHHsO_normal.jpg")</f>
        <v>http://pbs.twimg.com/profile_images/747149568920395776/ZRrsHHsO_normal.jpg</v>
      </c>
      <c r="W17" s="83">
        <v>44004.4590625</v>
      </c>
      <c r="X17" s="87">
        <v>44004</v>
      </c>
      <c r="Y17" s="89" t="s">
        <v>743</v>
      </c>
      <c r="Z17" s="84" t="str">
        <f>HYPERLINK("https://twitter.com/sin_nl_org/status/1275020971867607040")</f>
        <v>https://twitter.com/sin_nl_org/status/1275020971867607040</v>
      </c>
      <c r="AA17" s="81"/>
      <c r="AB17" s="81"/>
      <c r="AC17" s="89" t="s">
        <v>952</v>
      </c>
      <c r="AD17" s="81"/>
      <c r="AE17" s="81" t="b">
        <v>0</v>
      </c>
      <c r="AF17" s="81">
        <v>0</v>
      </c>
      <c r="AG17" s="89" t="s">
        <v>1149</v>
      </c>
      <c r="AH17" s="81" t="b">
        <v>0</v>
      </c>
      <c r="AI17" s="81" t="s">
        <v>1150</v>
      </c>
      <c r="AJ17" s="81"/>
      <c r="AK17" s="89" t="s">
        <v>1149</v>
      </c>
      <c r="AL17" s="81" t="b">
        <v>0</v>
      </c>
      <c r="AM17" s="81">
        <v>8</v>
      </c>
      <c r="AN17" s="89" t="s">
        <v>1102</v>
      </c>
      <c r="AO17" s="81" t="s">
        <v>1165</v>
      </c>
      <c r="AP17" s="81" t="b">
        <v>0</v>
      </c>
      <c r="AQ17" s="89" t="s">
        <v>1102</v>
      </c>
      <c r="AR17" s="81" t="s">
        <v>325</v>
      </c>
      <c r="AS17" s="81">
        <v>0</v>
      </c>
      <c r="AT17" s="81">
        <v>0</v>
      </c>
      <c r="AU17" s="81"/>
      <c r="AV17" s="81"/>
      <c r="AW17" s="81"/>
      <c r="AX17" s="81"/>
      <c r="AY17" s="81"/>
      <c r="AZ17" s="81"/>
      <c r="BA17" s="81"/>
      <c r="BB17" s="81"/>
      <c r="BC17">
        <v>1</v>
      </c>
      <c r="BD17" s="80" t="str">
        <f>REPLACE(INDEX(GroupVertices[Group],MATCH(Edges25[[#This Row],[Vertex 1]],GroupVertices[Vertex],0)),1,1,"")</f>
        <v>5</v>
      </c>
      <c r="BE17" s="80" t="str">
        <f>REPLACE(INDEX(GroupVertices[Group],MATCH(Edges25[[#This Row],[Vertex 2]],GroupVertices[Vertex],0)),1,1,"")</f>
        <v>5</v>
      </c>
      <c r="BF17" s="48"/>
      <c r="BG17" s="49"/>
      <c r="BH17" s="48"/>
      <c r="BI17" s="49"/>
      <c r="BJ17" s="48"/>
      <c r="BK17" s="49"/>
      <c r="BL17" s="48"/>
      <c r="BM17" s="49"/>
      <c r="BN17" s="48"/>
    </row>
    <row r="18" spans="1:66" ht="15">
      <c r="A18" s="66" t="s">
        <v>377</v>
      </c>
      <c r="B18" s="66" t="s">
        <v>377</v>
      </c>
      <c r="C18" s="67"/>
      <c r="D18" s="68"/>
      <c r="E18" s="69"/>
      <c r="F18" s="70"/>
      <c r="G18" s="67"/>
      <c r="H18" s="71"/>
      <c r="I18" s="72"/>
      <c r="J18" s="72"/>
      <c r="K18" s="34" t="s">
        <v>65</v>
      </c>
      <c r="L18" s="79">
        <v>23</v>
      </c>
      <c r="M18" s="79"/>
      <c r="N18" s="74"/>
      <c r="O18" s="81" t="s">
        <v>325</v>
      </c>
      <c r="P18" s="83">
        <v>44004.46111111111</v>
      </c>
      <c r="Q18" s="81" t="s">
        <v>594</v>
      </c>
      <c r="R18" s="81"/>
      <c r="S18" s="81"/>
      <c r="T18" s="81" t="s">
        <v>700</v>
      </c>
      <c r="U18" s="81"/>
      <c r="V18" s="84" t="str">
        <f>HYPERLINK("http://pbs.twimg.com/profile_images/1270351092841398278/RPOWrWMl_normal.jpg")</f>
        <v>http://pbs.twimg.com/profile_images/1270351092841398278/RPOWrWMl_normal.jpg</v>
      </c>
      <c r="W18" s="83">
        <v>44004.46111111111</v>
      </c>
      <c r="X18" s="87">
        <v>44004</v>
      </c>
      <c r="Y18" s="89" t="s">
        <v>744</v>
      </c>
      <c r="Z18" s="84" t="str">
        <f>HYPERLINK("https://twitter.com/realmiguelroca/status/1275021717862309888")</f>
        <v>https://twitter.com/realmiguelroca/status/1275021717862309888</v>
      </c>
      <c r="AA18" s="81"/>
      <c r="AB18" s="81"/>
      <c r="AC18" s="89" t="s">
        <v>953</v>
      </c>
      <c r="AD18" s="81"/>
      <c r="AE18" s="81" t="b">
        <v>0</v>
      </c>
      <c r="AF18" s="81">
        <v>1</v>
      </c>
      <c r="AG18" s="89" t="s">
        <v>1149</v>
      </c>
      <c r="AH18" s="81" t="b">
        <v>0</v>
      </c>
      <c r="AI18" s="81" t="s">
        <v>1150</v>
      </c>
      <c r="AJ18" s="81"/>
      <c r="AK18" s="89" t="s">
        <v>1149</v>
      </c>
      <c r="AL18" s="81" t="b">
        <v>0</v>
      </c>
      <c r="AM18" s="81">
        <v>0</v>
      </c>
      <c r="AN18" s="89" t="s">
        <v>1149</v>
      </c>
      <c r="AO18" s="81" t="s">
        <v>1176</v>
      </c>
      <c r="AP18" s="81" t="b">
        <v>0</v>
      </c>
      <c r="AQ18" s="89" t="s">
        <v>953</v>
      </c>
      <c r="AR18" s="81" t="s">
        <v>325</v>
      </c>
      <c r="AS18" s="81">
        <v>0</v>
      </c>
      <c r="AT18" s="81">
        <v>0</v>
      </c>
      <c r="AU18" s="81"/>
      <c r="AV18" s="81"/>
      <c r="AW18" s="81"/>
      <c r="AX18" s="81"/>
      <c r="AY18" s="81"/>
      <c r="AZ18" s="81"/>
      <c r="BA18" s="81"/>
      <c r="BB18" s="81"/>
      <c r="BC18">
        <v>1</v>
      </c>
      <c r="BD18" s="80" t="str">
        <f>REPLACE(INDEX(GroupVertices[Group],MATCH(Edges25[[#This Row],[Vertex 1]],GroupVertices[Vertex],0)),1,1,"")</f>
        <v>8</v>
      </c>
      <c r="BE18" s="80" t="str">
        <f>REPLACE(INDEX(GroupVertices[Group],MATCH(Edges25[[#This Row],[Vertex 2]],GroupVertices[Vertex],0)),1,1,"")</f>
        <v>8</v>
      </c>
      <c r="BF18" s="48">
        <v>2</v>
      </c>
      <c r="BG18" s="49">
        <v>4.3478260869565215</v>
      </c>
      <c r="BH18" s="48">
        <v>2</v>
      </c>
      <c r="BI18" s="49">
        <v>4.3478260869565215</v>
      </c>
      <c r="BJ18" s="48">
        <v>0</v>
      </c>
      <c r="BK18" s="49">
        <v>0</v>
      </c>
      <c r="BL18" s="48">
        <v>42</v>
      </c>
      <c r="BM18" s="49">
        <v>91.30434782608695</v>
      </c>
      <c r="BN18" s="48">
        <v>46</v>
      </c>
    </row>
    <row r="19" spans="1:66" ht="15">
      <c r="A19" s="66" t="s">
        <v>378</v>
      </c>
      <c r="B19" s="66" t="s">
        <v>513</v>
      </c>
      <c r="C19" s="67"/>
      <c r="D19" s="68"/>
      <c r="E19" s="69"/>
      <c r="F19" s="70"/>
      <c r="G19" s="67"/>
      <c r="H19" s="71"/>
      <c r="I19" s="72"/>
      <c r="J19" s="72"/>
      <c r="K19" s="34" t="s">
        <v>65</v>
      </c>
      <c r="L19" s="79">
        <v>24</v>
      </c>
      <c r="M19" s="79"/>
      <c r="N19" s="74"/>
      <c r="O19" s="81" t="s">
        <v>588</v>
      </c>
      <c r="P19" s="83">
        <v>44004.46533564815</v>
      </c>
      <c r="Q19" s="81" t="s">
        <v>595</v>
      </c>
      <c r="R19" s="81"/>
      <c r="S19" s="81"/>
      <c r="T19" s="81"/>
      <c r="U19" s="81"/>
      <c r="V19" s="84" t="str">
        <f>HYPERLINK("http://pbs.twimg.com/profile_images/1231540206341410816/siroPAMQ_normal.jpg")</f>
        <v>http://pbs.twimg.com/profile_images/1231540206341410816/siroPAMQ_normal.jpg</v>
      </c>
      <c r="W19" s="83">
        <v>44004.46533564815</v>
      </c>
      <c r="X19" s="87">
        <v>44004</v>
      </c>
      <c r="Y19" s="89" t="s">
        <v>745</v>
      </c>
      <c r="Z19" s="84" t="str">
        <f>HYPERLINK("https://twitter.com/annkempster/status/1275023248477040647")</f>
        <v>https://twitter.com/annkempster/status/1275023248477040647</v>
      </c>
      <c r="AA19" s="81"/>
      <c r="AB19" s="81"/>
      <c r="AC19" s="89" t="s">
        <v>954</v>
      </c>
      <c r="AD19" s="81"/>
      <c r="AE19" s="81" t="b">
        <v>0</v>
      </c>
      <c r="AF19" s="81">
        <v>0</v>
      </c>
      <c r="AG19" s="89" t="s">
        <v>1149</v>
      </c>
      <c r="AH19" s="81" t="b">
        <v>0</v>
      </c>
      <c r="AI19" s="81" t="s">
        <v>1150</v>
      </c>
      <c r="AJ19" s="81"/>
      <c r="AK19" s="89" t="s">
        <v>1149</v>
      </c>
      <c r="AL19" s="81" t="b">
        <v>0</v>
      </c>
      <c r="AM19" s="81">
        <v>37</v>
      </c>
      <c r="AN19" s="89" t="s">
        <v>1142</v>
      </c>
      <c r="AO19" s="81" t="s">
        <v>1175</v>
      </c>
      <c r="AP19" s="81" t="b">
        <v>0</v>
      </c>
      <c r="AQ19" s="89" t="s">
        <v>1142</v>
      </c>
      <c r="AR19" s="81" t="s">
        <v>325</v>
      </c>
      <c r="AS19" s="81">
        <v>0</v>
      </c>
      <c r="AT19" s="81">
        <v>0</v>
      </c>
      <c r="AU19" s="81"/>
      <c r="AV19" s="81"/>
      <c r="AW19" s="81"/>
      <c r="AX19" s="81"/>
      <c r="AY19" s="81"/>
      <c r="AZ19" s="81"/>
      <c r="BA19" s="81"/>
      <c r="BB19" s="81"/>
      <c r="BC19">
        <v>1</v>
      </c>
      <c r="BD19" s="80" t="str">
        <f>REPLACE(INDEX(GroupVertices[Group],MATCH(Edges25[[#This Row],[Vertex 1]],GroupVertices[Vertex],0)),1,1,"")</f>
        <v>2</v>
      </c>
      <c r="BE19" s="80" t="str">
        <f>REPLACE(INDEX(GroupVertices[Group],MATCH(Edges25[[#This Row],[Vertex 2]],GroupVertices[Vertex],0)),1,1,"")</f>
        <v>2</v>
      </c>
      <c r="BF19" s="48"/>
      <c r="BG19" s="49"/>
      <c r="BH19" s="48"/>
      <c r="BI19" s="49"/>
      <c r="BJ19" s="48"/>
      <c r="BK19" s="49"/>
      <c r="BL19" s="48"/>
      <c r="BM19" s="49"/>
      <c r="BN19" s="48"/>
    </row>
    <row r="20" spans="1:66" ht="15">
      <c r="A20" s="66" t="s">
        <v>379</v>
      </c>
      <c r="B20" s="66" t="s">
        <v>513</v>
      </c>
      <c r="C20" s="67"/>
      <c r="D20" s="68"/>
      <c r="E20" s="69"/>
      <c r="F20" s="70"/>
      <c r="G20" s="67"/>
      <c r="H20" s="71"/>
      <c r="I20" s="72"/>
      <c r="J20" s="72"/>
      <c r="K20" s="34" t="s">
        <v>65</v>
      </c>
      <c r="L20" s="79">
        <v>26</v>
      </c>
      <c r="M20" s="79"/>
      <c r="N20" s="74"/>
      <c r="O20" s="81" t="s">
        <v>588</v>
      </c>
      <c r="P20" s="83">
        <v>44004.46613425926</v>
      </c>
      <c r="Q20" s="81" t="s">
        <v>595</v>
      </c>
      <c r="R20" s="81"/>
      <c r="S20" s="81"/>
      <c r="T20" s="81"/>
      <c r="U20" s="81"/>
      <c r="V20" s="84" t="str">
        <f>HYPERLINK("http://pbs.twimg.com/profile_images/1161737606167715840/s3DfExtj_normal.jpg")</f>
        <v>http://pbs.twimg.com/profile_images/1161737606167715840/s3DfExtj_normal.jpg</v>
      </c>
      <c r="W20" s="83">
        <v>44004.46613425926</v>
      </c>
      <c r="X20" s="87">
        <v>44004</v>
      </c>
      <c r="Y20" s="89" t="s">
        <v>746</v>
      </c>
      <c r="Z20" s="84" t="str">
        <f>HYPERLINK("https://twitter.com/jtwentyman/status/1275023535816261634")</f>
        <v>https://twitter.com/jtwentyman/status/1275023535816261634</v>
      </c>
      <c r="AA20" s="81"/>
      <c r="AB20" s="81"/>
      <c r="AC20" s="89" t="s">
        <v>955</v>
      </c>
      <c r="AD20" s="81"/>
      <c r="AE20" s="81" t="b">
        <v>0</v>
      </c>
      <c r="AF20" s="81">
        <v>0</v>
      </c>
      <c r="AG20" s="89" t="s">
        <v>1149</v>
      </c>
      <c r="AH20" s="81" t="b">
        <v>0</v>
      </c>
      <c r="AI20" s="81" t="s">
        <v>1150</v>
      </c>
      <c r="AJ20" s="81"/>
      <c r="AK20" s="89" t="s">
        <v>1149</v>
      </c>
      <c r="AL20" s="81" t="b">
        <v>0</v>
      </c>
      <c r="AM20" s="81">
        <v>37</v>
      </c>
      <c r="AN20" s="89" t="s">
        <v>1142</v>
      </c>
      <c r="AO20" s="81" t="s">
        <v>1165</v>
      </c>
      <c r="AP20" s="81" t="b">
        <v>0</v>
      </c>
      <c r="AQ20" s="89" t="s">
        <v>1142</v>
      </c>
      <c r="AR20" s="81" t="s">
        <v>325</v>
      </c>
      <c r="AS20" s="81">
        <v>0</v>
      </c>
      <c r="AT20" s="81">
        <v>0</v>
      </c>
      <c r="AU20" s="81"/>
      <c r="AV20" s="81"/>
      <c r="AW20" s="81"/>
      <c r="AX20" s="81"/>
      <c r="AY20" s="81"/>
      <c r="AZ20" s="81"/>
      <c r="BA20" s="81"/>
      <c r="BB20" s="81"/>
      <c r="BC20">
        <v>1</v>
      </c>
      <c r="BD20" s="80" t="str">
        <f>REPLACE(INDEX(GroupVertices[Group],MATCH(Edges25[[#This Row],[Vertex 1]],GroupVertices[Vertex],0)),1,1,"")</f>
        <v>2</v>
      </c>
      <c r="BE20" s="80" t="str">
        <f>REPLACE(INDEX(GroupVertices[Group],MATCH(Edges25[[#This Row],[Vertex 2]],GroupVertices[Vertex],0)),1,1,"")</f>
        <v>2</v>
      </c>
      <c r="BF20" s="48"/>
      <c r="BG20" s="49"/>
      <c r="BH20" s="48"/>
      <c r="BI20" s="49"/>
      <c r="BJ20" s="48"/>
      <c r="BK20" s="49"/>
      <c r="BL20" s="48"/>
      <c r="BM20" s="49"/>
      <c r="BN20" s="48"/>
    </row>
    <row r="21" spans="1:66" ht="15">
      <c r="A21" s="66" t="s">
        <v>380</v>
      </c>
      <c r="B21" s="66" t="s">
        <v>513</v>
      </c>
      <c r="C21" s="67"/>
      <c r="D21" s="68"/>
      <c r="E21" s="69"/>
      <c r="F21" s="70"/>
      <c r="G21" s="67"/>
      <c r="H21" s="71"/>
      <c r="I21" s="72"/>
      <c r="J21" s="72"/>
      <c r="K21" s="34" t="s">
        <v>65</v>
      </c>
      <c r="L21" s="79">
        <v>28</v>
      </c>
      <c r="M21" s="79"/>
      <c r="N21" s="74"/>
      <c r="O21" s="81" t="s">
        <v>588</v>
      </c>
      <c r="P21" s="83">
        <v>44004.46666666667</v>
      </c>
      <c r="Q21" s="81" t="s">
        <v>595</v>
      </c>
      <c r="R21" s="81"/>
      <c r="S21" s="81"/>
      <c r="T21" s="81"/>
      <c r="U21" s="81"/>
      <c r="V21" s="84" t="str">
        <f>HYPERLINK("http://pbs.twimg.com/profile_images/779335654379511808/2be3RZOv_normal.jpg")</f>
        <v>http://pbs.twimg.com/profile_images/779335654379511808/2be3RZOv_normal.jpg</v>
      </c>
      <c r="W21" s="83">
        <v>44004.46666666667</v>
      </c>
      <c r="X21" s="87">
        <v>44004</v>
      </c>
      <c r="Y21" s="89" t="s">
        <v>747</v>
      </c>
      <c r="Z21" s="84" t="str">
        <f>HYPERLINK("https://twitter.com/sihugh/status/1275023729668603911")</f>
        <v>https://twitter.com/sihugh/status/1275023729668603911</v>
      </c>
      <c r="AA21" s="81"/>
      <c r="AB21" s="81"/>
      <c r="AC21" s="89" t="s">
        <v>956</v>
      </c>
      <c r="AD21" s="81"/>
      <c r="AE21" s="81" t="b">
        <v>0</v>
      </c>
      <c r="AF21" s="81">
        <v>0</v>
      </c>
      <c r="AG21" s="89" t="s">
        <v>1149</v>
      </c>
      <c r="AH21" s="81" t="b">
        <v>0</v>
      </c>
      <c r="AI21" s="81" t="s">
        <v>1150</v>
      </c>
      <c r="AJ21" s="81"/>
      <c r="AK21" s="89" t="s">
        <v>1149</v>
      </c>
      <c r="AL21" s="81" t="b">
        <v>0</v>
      </c>
      <c r="AM21" s="81">
        <v>37</v>
      </c>
      <c r="AN21" s="89" t="s">
        <v>1142</v>
      </c>
      <c r="AO21" s="81" t="s">
        <v>1172</v>
      </c>
      <c r="AP21" s="81" t="b">
        <v>0</v>
      </c>
      <c r="AQ21" s="89" t="s">
        <v>1142</v>
      </c>
      <c r="AR21" s="81" t="s">
        <v>325</v>
      </c>
      <c r="AS21" s="81">
        <v>0</v>
      </c>
      <c r="AT21" s="81">
        <v>0</v>
      </c>
      <c r="AU21" s="81"/>
      <c r="AV21" s="81"/>
      <c r="AW21" s="81"/>
      <c r="AX21" s="81"/>
      <c r="AY21" s="81"/>
      <c r="AZ21" s="81"/>
      <c r="BA21" s="81"/>
      <c r="BB21" s="81"/>
      <c r="BC21">
        <v>1</v>
      </c>
      <c r="BD21" s="80" t="str">
        <f>REPLACE(INDEX(GroupVertices[Group],MATCH(Edges25[[#This Row],[Vertex 1]],GroupVertices[Vertex],0)),1,1,"")</f>
        <v>2</v>
      </c>
      <c r="BE21" s="80" t="str">
        <f>REPLACE(INDEX(GroupVertices[Group],MATCH(Edges25[[#This Row],[Vertex 2]],GroupVertices[Vertex],0)),1,1,"")</f>
        <v>2</v>
      </c>
      <c r="BF21" s="48"/>
      <c r="BG21" s="49"/>
      <c r="BH21" s="48"/>
      <c r="BI21" s="49"/>
      <c r="BJ21" s="48"/>
      <c r="BK21" s="49"/>
      <c r="BL21" s="48"/>
      <c r="BM21" s="49"/>
      <c r="BN21" s="48"/>
    </row>
    <row r="22" spans="1:66" ht="15">
      <c r="A22" s="66" t="s">
        <v>381</v>
      </c>
      <c r="B22" s="66" t="s">
        <v>513</v>
      </c>
      <c r="C22" s="67"/>
      <c r="D22" s="68"/>
      <c r="E22" s="69"/>
      <c r="F22" s="70"/>
      <c r="G22" s="67"/>
      <c r="H22" s="71"/>
      <c r="I22" s="72"/>
      <c r="J22" s="72"/>
      <c r="K22" s="34" t="s">
        <v>65</v>
      </c>
      <c r="L22" s="79">
        <v>30</v>
      </c>
      <c r="M22" s="79"/>
      <c r="N22" s="74"/>
      <c r="O22" s="81" t="s">
        <v>588</v>
      </c>
      <c r="P22" s="83">
        <v>44004.46703703704</v>
      </c>
      <c r="Q22" s="81" t="s">
        <v>595</v>
      </c>
      <c r="R22" s="81"/>
      <c r="S22" s="81"/>
      <c r="T22" s="81"/>
      <c r="U22" s="81"/>
      <c r="V22" s="84" t="str">
        <f>HYPERLINK("http://pbs.twimg.com/profile_images/1215556487868829696/CxKwhFtM_normal.jpg")</f>
        <v>http://pbs.twimg.com/profile_images/1215556487868829696/CxKwhFtM_normal.jpg</v>
      </c>
      <c r="W22" s="83">
        <v>44004.46703703704</v>
      </c>
      <c r="X22" s="87">
        <v>44004</v>
      </c>
      <c r="Y22" s="89" t="s">
        <v>748</v>
      </c>
      <c r="Z22" s="84" t="str">
        <f>HYPERLINK("https://twitter.com/nevali/status/1275023864267968513")</f>
        <v>https://twitter.com/nevali/status/1275023864267968513</v>
      </c>
      <c r="AA22" s="81"/>
      <c r="AB22" s="81"/>
      <c r="AC22" s="89" t="s">
        <v>957</v>
      </c>
      <c r="AD22" s="81"/>
      <c r="AE22" s="81" t="b">
        <v>0</v>
      </c>
      <c r="AF22" s="81">
        <v>0</v>
      </c>
      <c r="AG22" s="89" t="s">
        <v>1149</v>
      </c>
      <c r="AH22" s="81" t="b">
        <v>0</v>
      </c>
      <c r="AI22" s="81" t="s">
        <v>1150</v>
      </c>
      <c r="AJ22" s="81"/>
      <c r="AK22" s="89" t="s">
        <v>1149</v>
      </c>
      <c r="AL22" s="81" t="b">
        <v>0</v>
      </c>
      <c r="AM22" s="81">
        <v>37</v>
      </c>
      <c r="AN22" s="89" t="s">
        <v>1142</v>
      </c>
      <c r="AO22" s="81" t="s">
        <v>1165</v>
      </c>
      <c r="AP22" s="81" t="b">
        <v>0</v>
      </c>
      <c r="AQ22" s="89" t="s">
        <v>1142</v>
      </c>
      <c r="AR22" s="81" t="s">
        <v>325</v>
      </c>
      <c r="AS22" s="81">
        <v>0</v>
      </c>
      <c r="AT22" s="81">
        <v>0</v>
      </c>
      <c r="AU22" s="81"/>
      <c r="AV22" s="81"/>
      <c r="AW22" s="81"/>
      <c r="AX22" s="81"/>
      <c r="AY22" s="81"/>
      <c r="AZ22" s="81"/>
      <c r="BA22" s="81"/>
      <c r="BB22" s="81"/>
      <c r="BC22">
        <v>1</v>
      </c>
      <c r="BD22" s="80" t="str">
        <f>REPLACE(INDEX(GroupVertices[Group],MATCH(Edges25[[#This Row],[Vertex 1]],GroupVertices[Vertex],0)),1,1,"")</f>
        <v>2</v>
      </c>
      <c r="BE22" s="80" t="str">
        <f>REPLACE(INDEX(GroupVertices[Group],MATCH(Edges25[[#This Row],[Vertex 2]],GroupVertices[Vertex],0)),1,1,"")</f>
        <v>2</v>
      </c>
      <c r="BF22" s="48"/>
      <c r="BG22" s="49"/>
      <c r="BH22" s="48"/>
      <c r="BI22" s="49"/>
      <c r="BJ22" s="48"/>
      <c r="BK22" s="49"/>
      <c r="BL22" s="48"/>
      <c r="BM22" s="49"/>
      <c r="BN22" s="48"/>
    </row>
    <row r="23" spans="1:66" ht="15">
      <c r="A23" s="66" t="s">
        <v>382</v>
      </c>
      <c r="B23" s="66" t="s">
        <v>513</v>
      </c>
      <c r="C23" s="67"/>
      <c r="D23" s="68"/>
      <c r="E23" s="69"/>
      <c r="F23" s="70"/>
      <c r="G23" s="67"/>
      <c r="H23" s="71"/>
      <c r="I23" s="72"/>
      <c r="J23" s="72"/>
      <c r="K23" s="34" t="s">
        <v>65</v>
      </c>
      <c r="L23" s="79">
        <v>32</v>
      </c>
      <c r="M23" s="79"/>
      <c r="N23" s="74"/>
      <c r="O23" s="81" t="s">
        <v>588</v>
      </c>
      <c r="P23" s="83">
        <v>44004.467094907406</v>
      </c>
      <c r="Q23" s="81" t="s">
        <v>595</v>
      </c>
      <c r="R23" s="81"/>
      <c r="S23" s="81"/>
      <c r="T23" s="81"/>
      <c r="U23" s="81"/>
      <c r="V23" s="84" t="str">
        <f>HYPERLINK("http://pbs.twimg.com/profile_images/957484678855839746/pZJMD6qw_normal.jpg")</f>
        <v>http://pbs.twimg.com/profile_images/957484678855839746/pZJMD6qw_normal.jpg</v>
      </c>
      <c r="W23" s="83">
        <v>44004.467094907406</v>
      </c>
      <c r="X23" s="87">
        <v>44004</v>
      </c>
      <c r="Y23" s="89" t="s">
        <v>749</v>
      </c>
      <c r="Z23" s="84" t="str">
        <f>HYPERLINK("https://twitter.com/ellenbroad/status/1275023885243527169")</f>
        <v>https://twitter.com/ellenbroad/status/1275023885243527169</v>
      </c>
      <c r="AA23" s="81"/>
      <c r="AB23" s="81"/>
      <c r="AC23" s="89" t="s">
        <v>958</v>
      </c>
      <c r="AD23" s="81"/>
      <c r="AE23" s="81" t="b">
        <v>0</v>
      </c>
      <c r="AF23" s="81">
        <v>0</v>
      </c>
      <c r="AG23" s="89" t="s">
        <v>1149</v>
      </c>
      <c r="AH23" s="81" t="b">
        <v>0</v>
      </c>
      <c r="AI23" s="81" t="s">
        <v>1150</v>
      </c>
      <c r="AJ23" s="81"/>
      <c r="AK23" s="89" t="s">
        <v>1149</v>
      </c>
      <c r="AL23" s="81" t="b">
        <v>0</v>
      </c>
      <c r="AM23" s="81">
        <v>37</v>
      </c>
      <c r="AN23" s="89" t="s">
        <v>1142</v>
      </c>
      <c r="AO23" s="81" t="s">
        <v>1165</v>
      </c>
      <c r="AP23" s="81" t="b">
        <v>0</v>
      </c>
      <c r="AQ23" s="89" t="s">
        <v>1142</v>
      </c>
      <c r="AR23" s="81" t="s">
        <v>325</v>
      </c>
      <c r="AS23" s="81">
        <v>0</v>
      </c>
      <c r="AT23" s="81">
        <v>0</v>
      </c>
      <c r="AU23" s="81"/>
      <c r="AV23" s="81"/>
      <c r="AW23" s="81"/>
      <c r="AX23" s="81"/>
      <c r="AY23" s="81"/>
      <c r="AZ23" s="81"/>
      <c r="BA23" s="81"/>
      <c r="BB23" s="81"/>
      <c r="BC23">
        <v>1</v>
      </c>
      <c r="BD23" s="80" t="str">
        <f>REPLACE(INDEX(GroupVertices[Group],MATCH(Edges25[[#This Row],[Vertex 1]],GroupVertices[Vertex],0)),1,1,"")</f>
        <v>2</v>
      </c>
      <c r="BE23" s="80" t="str">
        <f>REPLACE(INDEX(GroupVertices[Group],MATCH(Edges25[[#This Row],[Vertex 2]],GroupVertices[Vertex],0)),1,1,"")</f>
        <v>2</v>
      </c>
      <c r="BF23" s="48"/>
      <c r="BG23" s="49"/>
      <c r="BH23" s="48"/>
      <c r="BI23" s="49"/>
      <c r="BJ23" s="48"/>
      <c r="BK23" s="49"/>
      <c r="BL23" s="48"/>
      <c r="BM23" s="49"/>
      <c r="BN23" s="48"/>
    </row>
    <row r="24" spans="1:66" ht="15">
      <c r="A24" s="66" t="s">
        <v>383</v>
      </c>
      <c r="B24" s="66" t="s">
        <v>513</v>
      </c>
      <c r="C24" s="67"/>
      <c r="D24" s="68"/>
      <c r="E24" s="69"/>
      <c r="F24" s="70"/>
      <c r="G24" s="67"/>
      <c r="H24" s="71"/>
      <c r="I24" s="72"/>
      <c r="J24" s="72"/>
      <c r="K24" s="34" t="s">
        <v>65</v>
      </c>
      <c r="L24" s="79">
        <v>34</v>
      </c>
      <c r="M24" s="79"/>
      <c r="N24" s="74"/>
      <c r="O24" s="81" t="s">
        <v>588</v>
      </c>
      <c r="P24" s="83">
        <v>44004.46806712963</v>
      </c>
      <c r="Q24" s="81" t="s">
        <v>595</v>
      </c>
      <c r="R24" s="81"/>
      <c r="S24" s="81"/>
      <c r="T24" s="81"/>
      <c r="U24" s="81"/>
      <c r="V24" s="84" t="str">
        <f>HYPERLINK("http://pbs.twimg.com/profile_images/378800000268650026/fd91606861cc8d50f3885ed3dddd8f15_normal.jpeg")</f>
        <v>http://pbs.twimg.com/profile_images/378800000268650026/fd91606861cc8d50f3885ed3dddd8f15_normal.jpeg</v>
      </c>
      <c r="W24" s="83">
        <v>44004.46806712963</v>
      </c>
      <c r="X24" s="87">
        <v>44004</v>
      </c>
      <c r="Y24" s="89" t="s">
        <v>750</v>
      </c>
      <c r="Z24" s="84" t="str">
        <f>HYPERLINK("https://twitter.com/jargonautical/status/1275024238311849987")</f>
        <v>https://twitter.com/jargonautical/status/1275024238311849987</v>
      </c>
      <c r="AA24" s="81"/>
      <c r="AB24" s="81"/>
      <c r="AC24" s="89" t="s">
        <v>959</v>
      </c>
      <c r="AD24" s="81"/>
      <c r="AE24" s="81" t="b">
        <v>0</v>
      </c>
      <c r="AF24" s="81">
        <v>0</v>
      </c>
      <c r="AG24" s="89" t="s">
        <v>1149</v>
      </c>
      <c r="AH24" s="81" t="b">
        <v>0</v>
      </c>
      <c r="AI24" s="81" t="s">
        <v>1150</v>
      </c>
      <c r="AJ24" s="81"/>
      <c r="AK24" s="89" t="s">
        <v>1149</v>
      </c>
      <c r="AL24" s="81" t="b">
        <v>0</v>
      </c>
      <c r="AM24" s="81">
        <v>37</v>
      </c>
      <c r="AN24" s="89" t="s">
        <v>1142</v>
      </c>
      <c r="AO24" s="81" t="s">
        <v>1172</v>
      </c>
      <c r="AP24" s="81" t="b">
        <v>0</v>
      </c>
      <c r="AQ24" s="89" t="s">
        <v>1142</v>
      </c>
      <c r="AR24" s="81" t="s">
        <v>325</v>
      </c>
      <c r="AS24" s="81">
        <v>0</v>
      </c>
      <c r="AT24" s="81">
        <v>0</v>
      </c>
      <c r="AU24" s="81"/>
      <c r="AV24" s="81"/>
      <c r="AW24" s="81"/>
      <c r="AX24" s="81"/>
      <c r="AY24" s="81"/>
      <c r="AZ24" s="81"/>
      <c r="BA24" s="81"/>
      <c r="BB24" s="81"/>
      <c r="BC24">
        <v>1</v>
      </c>
      <c r="BD24" s="80" t="str">
        <f>REPLACE(INDEX(GroupVertices[Group],MATCH(Edges25[[#This Row],[Vertex 1]],GroupVertices[Vertex],0)),1,1,"")</f>
        <v>2</v>
      </c>
      <c r="BE24" s="80" t="str">
        <f>REPLACE(INDEX(GroupVertices[Group],MATCH(Edges25[[#This Row],[Vertex 2]],GroupVertices[Vertex],0)),1,1,"")</f>
        <v>2</v>
      </c>
      <c r="BF24" s="48"/>
      <c r="BG24" s="49"/>
      <c r="BH24" s="48"/>
      <c r="BI24" s="49"/>
      <c r="BJ24" s="48"/>
      <c r="BK24" s="49"/>
      <c r="BL24" s="48"/>
      <c r="BM24" s="49"/>
      <c r="BN24" s="48"/>
    </row>
    <row r="25" spans="1:66" ht="15">
      <c r="A25" s="66" t="s">
        <v>384</v>
      </c>
      <c r="B25" s="66" t="s">
        <v>513</v>
      </c>
      <c r="C25" s="67"/>
      <c r="D25" s="68"/>
      <c r="E25" s="69"/>
      <c r="F25" s="70"/>
      <c r="G25" s="67"/>
      <c r="H25" s="71"/>
      <c r="I25" s="72"/>
      <c r="J25" s="72"/>
      <c r="K25" s="34" t="s">
        <v>65</v>
      </c>
      <c r="L25" s="79">
        <v>36</v>
      </c>
      <c r="M25" s="79"/>
      <c r="N25" s="74"/>
      <c r="O25" s="81" t="s">
        <v>588</v>
      </c>
      <c r="P25" s="83">
        <v>44004.46836805555</v>
      </c>
      <c r="Q25" s="81" t="s">
        <v>595</v>
      </c>
      <c r="R25" s="81"/>
      <c r="S25" s="81"/>
      <c r="T25" s="81"/>
      <c r="U25" s="81"/>
      <c r="V25" s="84" t="str">
        <f>HYPERLINK("http://pbs.twimg.com/profile_images/1231486337032826885/J26kp1W2_normal.jpg")</f>
        <v>http://pbs.twimg.com/profile_images/1231486337032826885/J26kp1W2_normal.jpg</v>
      </c>
      <c r="W25" s="83">
        <v>44004.46836805555</v>
      </c>
      <c r="X25" s="87">
        <v>44004</v>
      </c>
      <c r="Y25" s="89" t="s">
        <v>751</v>
      </c>
      <c r="Z25" s="84" t="str">
        <f>HYPERLINK("https://twitter.com/mets1977/status/1275024347749666820")</f>
        <v>https://twitter.com/mets1977/status/1275024347749666820</v>
      </c>
      <c r="AA25" s="81"/>
      <c r="AB25" s="81"/>
      <c r="AC25" s="89" t="s">
        <v>960</v>
      </c>
      <c r="AD25" s="81"/>
      <c r="AE25" s="81" t="b">
        <v>0</v>
      </c>
      <c r="AF25" s="81">
        <v>0</v>
      </c>
      <c r="AG25" s="89" t="s">
        <v>1149</v>
      </c>
      <c r="AH25" s="81" t="b">
        <v>0</v>
      </c>
      <c r="AI25" s="81" t="s">
        <v>1150</v>
      </c>
      <c r="AJ25" s="81"/>
      <c r="AK25" s="89" t="s">
        <v>1149</v>
      </c>
      <c r="AL25" s="81" t="b">
        <v>0</v>
      </c>
      <c r="AM25" s="81">
        <v>37</v>
      </c>
      <c r="AN25" s="89" t="s">
        <v>1142</v>
      </c>
      <c r="AO25" s="81" t="s">
        <v>1176</v>
      </c>
      <c r="AP25" s="81" t="b">
        <v>0</v>
      </c>
      <c r="AQ25" s="89" t="s">
        <v>1142</v>
      </c>
      <c r="AR25" s="81" t="s">
        <v>325</v>
      </c>
      <c r="AS25" s="81">
        <v>0</v>
      </c>
      <c r="AT25" s="81">
        <v>0</v>
      </c>
      <c r="AU25" s="81"/>
      <c r="AV25" s="81"/>
      <c r="AW25" s="81"/>
      <c r="AX25" s="81"/>
      <c r="AY25" s="81"/>
      <c r="AZ25" s="81"/>
      <c r="BA25" s="81"/>
      <c r="BB25" s="81"/>
      <c r="BC25">
        <v>1</v>
      </c>
      <c r="BD25" s="80" t="str">
        <f>REPLACE(INDEX(GroupVertices[Group],MATCH(Edges25[[#This Row],[Vertex 1]],GroupVertices[Vertex],0)),1,1,"")</f>
        <v>2</v>
      </c>
      <c r="BE25" s="80" t="str">
        <f>REPLACE(INDEX(GroupVertices[Group],MATCH(Edges25[[#This Row],[Vertex 2]],GroupVertices[Vertex],0)),1,1,"")</f>
        <v>2</v>
      </c>
      <c r="BF25" s="48"/>
      <c r="BG25" s="49"/>
      <c r="BH25" s="48"/>
      <c r="BI25" s="49"/>
      <c r="BJ25" s="48"/>
      <c r="BK25" s="49"/>
      <c r="BL25" s="48"/>
      <c r="BM25" s="49"/>
      <c r="BN25" s="48"/>
    </row>
    <row r="26" spans="1:66" ht="15">
      <c r="A26" s="66" t="s">
        <v>385</v>
      </c>
      <c r="B26" s="66" t="s">
        <v>513</v>
      </c>
      <c r="C26" s="67"/>
      <c r="D26" s="68"/>
      <c r="E26" s="69"/>
      <c r="F26" s="70"/>
      <c r="G26" s="67"/>
      <c r="H26" s="71"/>
      <c r="I26" s="72"/>
      <c r="J26" s="72"/>
      <c r="K26" s="34" t="s">
        <v>65</v>
      </c>
      <c r="L26" s="79">
        <v>38</v>
      </c>
      <c r="M26" s="79"/>
      <c r="N26" s="74"/>
      <c r="O26" s="81" t="s">
        <v>588</v>
      </c>
      <c r="P26" s="83">
        <v>44004.47193287037</v>
      </c>
      <c r="Q26" s="81" t="s">
        <v>595</v>
      </c>
      <c r="R26" s="81"/>
      <c r="S26" s="81"/>
      <c r="T26" s="81"/>
      <c r="U26" s="81"/>
      <c r="V26" s="84" t="str">
        <f>HYPERLINK("http://pbs.twimg.com/profile_images/1227314820749418496/ispRUpJU_normal.jpg")</f>
        <v>http://pbs.twimg.com/profile_images/1227314820749418496/ispRUpJU_normal.jpg</v>
      </c>
      <c r="W26" s="83">
        <v>44004.47193287037</v>
      </c>
      <c r="X26" s="87">
        <v>44004</v>
      </c>
      <c r="Y26" s="89" t="s">
        <v>752</v>
      </c>
      <c r="Z26" s="84" t="str">
        <f>HYPERLINK("https://twitter.com/mrj1971/status/1275025637879746560")</f>
        <v>https://twitter.com/mrj1971/status/1275025637879746560</v>
      </c>
      <c r="AA26" s="81"/>
      <c r="AB26" s="81"/>
      <c r="AC26" s="89" t="s">
        <v>961</v>
      </c>
      <c r="AD26" s="81"/>
      <c r="AE26" s="81" t="b">
        <v>0</v>
      </c>
      <c r="AF26" s="81">
        <v>0</v>
      </c>
      <c r="AG26" s="89" t="s">
        <v>1149</v>
      </c>
      <c r="AH26" s="81" t="b">
        <v>0</v>
      </c>
      <c r="AI26" s="81" t="s">
        <v>1150</v>
      </c>
      <c r="AJ26" s="81"/>
      <c r="AK26" s="89" t="s">
        <v>1149</v>
      </c>
      <c r="AL26" s="81" t="b">
        <v>0</v>
      </c>
      <c r="AM26" s="81">
        <v>37</v>
      </c>
      <c r="AN26" s="89" t="s">
        <v>1142</v>
      </c>
      <c r="AO26" s="81" t="s">
        <v>1172</v>
      </c>
      <c r="AP26" s="81" t="b">
        <v>0</v>
      </c>
      <c r="AQ26" s="89" t="s">
        <v>1142</v>
      </c>
      <c r="AR26" s="81" t="s">
        <v>325</v>
      </c>
      <c r="AS26" s="81">
        <v>0</v>
      </c>
      <c r="AT26" s="81">
        <v>0</v>
      </c>
      <c r="AU26" s="81"/>
      <c r="AV26" s="81"/>
      <c r="AW26" s="81"/>
      <c r="AX26" s="81"/>
      <c r="AY26" s="81"/>
      <c r="AZ26" s="81"/>
      <c r="BA26" s="81"/>
      <c r="BB26" s="81"/>
      <c r="BC26">
        <v>1</v>
      </c>
      <c r="BD26" s="80" t="str">
        <f>REPLACE(INDEX(GroupVertices[Group],MATCH(Edges25[[#This Row],[Vertex 1]],GroupVertices[Vertex],0)),1,1,"")</f>
        <v>2</v>
      </c>
      <c r="BE26" s="80" t="str">
        <f>REPLACE(INDEX(GroupVertices[Group],MATCH(Edges25[[#This Row],[Vertex 2]],GroupVertices[Vertex],0)),1,1,"")</f>
        <v>2</v>
      </c>
      <c r="BF26" s="48"/>
      <c r="BG26" s="49"/>
      <c r="BH26" s="48"/>
      <c r="BI26" s="49"/>
      <c r="BJ26" s="48"/>
      <c r="BK26" s="49"/>
      <c r="BL26" s="48"/>
      <c r="BM26" s="49"/>
      <c r="BN26" s="48"/>
    </row>
    <row r="27" spans="1:66" ht="15">
      <c r="A27" s="66" t="s">
        <v>386</v>
      </c>
      <c r="B27" s="66" t="s">
        <v>513</v>
      </c>
      <c r="C27" s="67"/>
      <c r="D27" s="68"/>
      <c r="E27" s="69"/>
      <c r="F27" s="70"/>
      <c r="G27" s="67"/>
      <c r="H27" s="71"/>
      <c r="I27" s="72"/>
      <c r="J27" s="72"/>
      <c r="K27" s="34" t="s">
        <v>65</v>
      </c>
      <c r="L27" s="79">
        <v>40</v>
      </c>
      <c r="M27" s="79"/>
      <c r="N27" s="74"/>
      <c r="O27" s="81" t="s">
        <v>588</v>
      </c>
      <c r="P27" s="83">
        <v>44004.47267361111</v>
      </c>
      <c r="Q27" s="81" t="s">
        <v>595</v>
      </c>
      <c r="R27" s="81"/>
      <c r="S27" s="81"/>
      <c r="T27" s="81"/>
      <c r="U27" s="81"/>
      <c r="V27" s="84" t="str">
        <f>HYPERLINK("http://pbs.twimg.com/profile_images/1119172166526885888/kPKCJx4E_normal.png")</f>
        <v>http://pbs.twimg.com/profile_images/1119172166526885888/kPKCJx4E_normal.png</v>
      </c>
      <c r="W27" s="83">
        <v>44004.47267361111</v>
      </c>
      <c r="X27" s="87">
        <v>44004</v>
      </c>
      <c r="Y27" s="89" t="s">
        <v>753</v>
      </c>
      <c r="Z27" s="84" t="str">
        <f>HYPERLINK("https://twitter.com/sophietaysom/status/1275025907619713025")</f>
        <v>https://twitter.com/sophietaysom/status/1275025907619713025</v>
      </c>
      <c r="AA27" s="81"/>
      <c r="AB27" s="81"/>
      <c r="AC27" s="89" t="s">
        <v>962</v>
      </c>
      <c r="AD27" s="81"/>
      <c r="AE27" s="81" t="b">
        <v>0</v>
      </c>
      <c r="AF27" s="81">
        <v>0</v>
      </c>
      <c r="AG27" s="89" t="s">
        <v>1149</v>
      </c>
      <c r="AH27" s="81" t="b">
        <v>0</v>
      </c>
      <c r="AI27" s="81" t="s">
        <v>1150</v>
      </c>
      <c r="AJ27" s="81"/>
      <c r="AK27" s="89" t="s">
        <v>1149</v>
      </c>
      <c r="AL27" s="81" t="b">
        <v>0</v>
      </c>
      <c r="AM27" s="81">
        <v>37</v>
      </c>
      <c r="AN27" s="89" t="s">
        <v>1142</v>
      </c>
      <c r="AO27" s="81" t="s">
        <v>1172</v>
      </c>
      <c r="AP27" s="81" t="b">
        <v>0</v>
      </c>
      <c r="AQ27" s="89" t="s">
        <v>1142</v>
      </c>
      <c r="AR27" s="81" t="s">
        <v>325</v>
      </c>
      <c r="AS27" s="81">
        <v>0</v>
      </c>
      <c r="AT27" s="81">
        <v>0</v>
      </c>
      <c r="AU27" s="81"/>
      <c r="AV27" s="81"/>
      <c r="AW27" s="81"/>
      <c r="AX27" s="81"/>
      <c r="AY27" s="81"/>
      <c r="AZ27" s="81"/>
      <c r="BA27" s="81"/>
      <c r="BB27" s="81"/>
      <c r="BC27">
        <v>1</v>
      </c>
      <c r="BD27" s="80" t="str">
        <f>REPLACE(INDEX(GroupVertices[Group],MATCH(Edges25[[#This Row],[Vertex 1]],GroupVertices[Vertex],0)),1,1,"")</f>
        <v>2</v>
      </c>
      <c r="BE27" s="80" t="str">
        <f>REPLACE(INDEX(GroupVertices[Group],MATCH(Edges25[[#This Row],[Vertex 2]],GroupVertices[Vertex],0)),1,1,"")</f>
        <v>2</v>
      </c>
      <c r="BF27" s="48"/>
      <c r="BG27" s="49"/>
      <c r="BH27" s="48"/>
      <c r="BI27" s="49"/>
      <c r="BJ27" s="48"/>
      <c r="BK27" s="49"/>
      <c r="BL27" s="48"/>
      <c r="BM27" s="49"/>
      <c r="BN27" s="48"/>
    </row>
    <row r="28" spans="1:66" ht="15">
      <c r="A28" s="66" t="s">
        <v>387</v>
      </c>
      <c r="B28" s="66" t="s">
        <v>523</v>
      </c>
      <c r="C28" s="67"/>
      <c r="D28" s="68"/>
      <c r="E28" s="69"/>
      <c r="F28" s="70"/>
      <c r="G28" s="67"/>
      <c r="H28" s="71"/>
      <c r="I28" s="72"/>
      <c r="J28" s="72"/>
      <c r="K28" s="34" t="s">
        <v>65</v>
      </c>
      <c r="L28" s="79">
        <v>42</v>
      </c>
      <c r="M28" s="79"/>
      <c r="N28" s="74"/>
      <c r="O28" s="81" t="s">
        <v>588</v>
      </c>
      <c r="P28" s="83">
        <v>44004.48336805555</v>
      </c>
      <c r="Q28" s="81" t="s">
        <v>596</v>
      </c>
      <c r="R28" s="81"/>
      <c r="S28" s="81"/>
      <c r="T28" s="81" t="s">
        <v>701</v>
      </c>
      <c r="U28" s="81"/>
      <c r="V28" s="84" t="str">
        <f>HYPERLINK("http://pbs.twimg.com/profile_images/783046525010206720/2ZGn4mZm_normal.jpg")</f>
        <v>http://pbs.twimg.com/profile_images/783046525010206720/2ZGn4mZm_normal.jpg</v>
      </c>
      <c r="W28" s="83">
        <v>44004.48336805555</v>
      </c>
      <c r="X28" s="87">
        <v>44004</v>
      </c>
      <c r="Y28" s="89" t="s">
        <v>754</v>
      </c>
      <c r="Z28" s="84" t="str">
        <f>HYPERLINK("https://twitter.com/aliciacastroar/status/1275029783324307477")</f>
        <v>https://twitter.com/aliciacastroar/status/1275029783324307477</v>
      </c>
      <c r="AA28" s="81"/>
      <c r="AB28" s="81"/>
      <c r="AC28" s="89" t="s">
        <v>963</v>
      </c>
      <c r="AD28" s="81"/>
      <c r="AE28" s="81" t="b">
        <v>0</v>
      </c>
      <c r="AF28" s="81">
        <v>0</v>
      </c>
      <c r="AG28" s="89" t="s">
        <v>1149</v>
      </c>
      <c r="AH28" s="81" t="b">
        <v>0</v>
      </c>
      <c r="AI28" s="81" t="s">
        <v>1150</v>
      </c>
      <c r="AJ28" s="81"/>
      <c r="AK28" s="89" t="s">
        <v>1149</v>
      </c>
      <c r="AL28" s="81" t="b">
        <v>0</v>
      </c>
      <c r="AM28" s="81">
        <v>4</v>
      </c>
      <c r="AN28" s="89" t="s">
        <v>968</v>
      </c>
      <c r="AO28" s="81" t="s">
        <v>1165</v>
      </c>
      <c r="AP28" s="81" t="b">
        <v>0</v>
      </c>
      <c r="AQ28" s="89" t="s">
        <v>968</v>
      </c>
      <c r="AR28" s="81" t="s">
        <v>325</v>
      </c>
      <c r="AS28" s="81">
        <v>0</v>
      </c>
      <c r="AT28" s="81">
        <v>0</v>
      </c>
      <c r="AU28" s="81"/>
      <c r="AV28" s="81"/>
      <c r="AW28" s="81"/>
      <c r="AX28" s="81"/>
      <c r="AY28" s="81"/>
      <c r="AZ28" s="81"/>
      <c r="BA28" s="81"/>
      <c r="BB28" s="81"/>
      <c r="BC28">
        <v>1</v>
      </c>
      <c r="BD28" s="80" t="str">
        <f>REPLACE(INDEX(GroupVertices[Group],MATCH(Edges25[[#This Row],[Vertex 1]],GroupVertices[Vertex],0)),1,1,"")</f>
        <v>14</v>
      </c>
      <c r="BE28" s="80" t="str">
        <f>REPLACE(INDEX(GroupVertices[Group],MATCH(Edges25[[#This Row],[Vertex 2]],GroupVertices[Vertex],0)),1,1,"")</f>
        <v>14</v>
      </c>
      <c r="BF28" s="48"/>
      <c r="BG28" s="49"/>
      <c r="BH28" s="48"/>
      <c r="BI28" s="49"/>
      <c r="BJ28" s="48"/>
      <c r="BK28" s="49"/>
      <c r="BL28" s="48"/>
      <c r="BM28" s="49"/>
      <c r="BN28" s="48"/>
    </row>
    <row r="29" spans="1:66" ht="15">
      <c r="A29" s="66" t="s">
        <v>388</v>
      </c>
      <c r="B29" s="66" t="s">
        <v>497</v>
      </c>
      <c r="C29" s="67"/>
      <c r="D29" s="68"/>
      <c r="E29" s="69"/>
      <c r="F29" s="70"/>
      <c r="G29" s="67"/>
      <c r="H29" s="71"/>
      <c r="I29" s="72"/>
      <c r="J29" s="72"/>
      <c r="K29" s="34" t="s">
        <v>65</v>
      </c>
      <c r="L29" s="79">
        <v>44</v>
      </c>
      <c r="M29" s="79"/>
      <c r="N29" s="74"/>
      <c r="O29" s="81" t="s">
        <v>586</v>
      </c>
      <c r="P29" s="83">
        <v>44004.5087037037</v>
      </c>
      <c r="Q29" s="81" t="s">
        <v>592</v>
      </c>
      <c r="R29" s="81"/>
      <c r="S29" s="81"/>
      <c r="T29" s="81" t="s">
        <v>698</v>
      </c>
      <c r="U29" s="81"/>
      <c r="V29" s="84" t="str">
        <f>HYPERLINK("http://pbs.twimg.com/profile_images/1217745234/For_twet_normal.jpg")</f>
        <v>http://pbs.twimg.com/profile_images/1217745234/For_twet_normal.jpg</v>
      </c>
      <c r="W29" s="83">
        <v>44004.5087037037</v>
      </c>
      <c r="X29" s="87">
        <v>44004</v>
      </c>
      <c r="Y29" s="89" t="s">
        <v>755</v>
      </c>
      <c r="Z29" s="84" t="str">
        <f>HYPERLINK("https://twitter.com/ecarrascobe/status/1275038964655759361")</f>
        <v>https://twitter.com/ecarrascobe/status/1275038964655759361</v>
      </c>
      <c r="AA29" s="81"/>
      <c r="AB29" s="81"/>
      <c r="AC29" s="89" t="s">
        <v>964</v>
      </c>
      <c r="AD29" s="81"/>
      <c r="AE29" s="81" t="b">
        <v>0</v>
      </c>
      <c r="AF29" s="81">
        <v>0</v>
      </c>
      <c r="AG29" s="89" t="s">
        <v>1149</v>
      </c>
      <c r="AH29" s="81" t="b">
        <v>1</v>
      </c>
      <c r="AI29" s="81" t="s">
        <v>1150</v>
      </c>
      <c r="AJ29" s="81"/>
      <c r="AK29" s="89" t="s">
        <v>1160</v>
      </c>
      <c r="AL29" s="81" t="b">
        <v>0</v>
      </c>
      <c r="AM29" s="81">
        <v>7</v>
      </c>
      <c r="AN29" s="89" t="s">
        <v>1119</v>
      </c>
      <c r="AO29" s="81" t="s">
        <v>1176</v>
      </c>
      <c r="AP29" s="81" t="b">
        <v>0</v>
      </c>
      <c r="AQ29" s="89" t="s">
        <v>1119</v>
      </c>
      <c r="AR29" s="81" t="s">
        <v>325</v>
      </c>
      <c r="AS29" s="81">
        <v>0</v>
      </c>
      <c r="AT29" s="81">
        <v>0</v>
      </c>
      <c r="AU29" s="81"/>
      <c r="AV29" s="81"/>
      <c r="AW29" s="81"/>
      <c r="AX29" s="81"/>
      <c r="AY29" s="81"/>
      <c r="AZ29" s="81"/>
      <c r="BA29" s="81"/>
      <c r="BB29" s="81"/>
      <c r="BC29">
        <v>1</v>
      </c>
      <c r="BD29" s="80" t="str">
        <f>REPLACE(INDEX(GroupVertices[Group],MATCH(Edges25[[#This Row],[Vertex 1]],GroupVertices[Vertex],0)),1,1,"")</f>
        <v>9</v>
      </c>
      <c r="BE29" s="80" t="str">
        <f>REPLACE(INDEX(GroupVertices[Group],MATCH(Edges25[[#This Row],[Vertex 2]],GroupVertices[Vertex],0)),1,1,"")</f>
        <v>9</v>
      </c>
      <c r="BF29" s="48">
        <v>1</v>
      </c>
      <c r="BG29" s="49">
        <v>16.666666666666668</v>
      </c>
      <c r="BH29" s="48">
        <v>0</v>
      </c>
      <c r="BI29" s="49">
        <v>0</v>
      </c>
      <c r="BJ29" s="48">
        <v>0</v>
      </c>
      <c r="BK29" s="49">
        <v>0</v>
      </c>
      <c r="BL29" s="48">
        <v>5</v>
      </c>
      <c r="BM29" s="49">
        <v>83.33333333333333</v>
      </c>
      <c r="BN29" s="48">
        <v>6</v>
      </c>
    </row>
    <row r="30" spans="1:66" ht="15">
      <c r="A30" s="66" t="s">
        <v>389</v>
      </c>
      <c r="B30" s="66" t="s">
        <v>513</v>
      </c>
      <c r="C30" s="67"/>
      <c r="D30" s="68"/>
      <c r="E30" s="69"/>
      <c r="F30" s="70"/>
      <c r="G30" s="67"/>
      <c r="H30" s="71"/>
      <c r="I30" s="72"/>
      <c r="J30" s="72"/>
      <c r="K30" s="34" t="s">
        <v>65</v>
      </c>
      <c r="L30" s="79">
        <v>45</v>
      </c>
      <c r="M30" s="79"/>
      <c r="N30" s="74"/>
      <c r="O30" s="81" t="s">
        <v>588</v>
      </c>
      <c r="P30" s="83">
        <v>44004.51230324074</v>
      </c>
      <c r="Q30" s="81" t="s">
        <v>595</v>
      </c>
      <c r="R30" s="81"/>
      <c r="S30" s="81"/>
      <c r="T30" s="81"/>
      <c r="U30" s="81"/>
      <c r="V30" s="84" t="str">
        <f>HYPERLINK("http://pbs.twimg.com/profile_images/1181222482612817921/Y8P69F8B_normal.jpg")</f>
        <v>http://pbs.twimg.com/profile_images/1181222482612817921/Y8P69F8B_normal.jpg</v>
      </c>
      <c r="W30" s="83">
        <v>44004.51230324074</v>
      </c>
      <c r="X30" s="87">
        <v>44004</v>
      </c>
      <c r="Y30" s="89" t="s">
        <v>756</v>
      </c>
      <c r="Z30" s="84" t="str">
        <f>HYPERLINK("https://twitter.com/joesb/status/1275040268186726400")</f>
        <v>https://twitter.com/joesb/status/1275040268186726400</v>
      </c>
      <c r="AA30" s="81"/>
      <c r="AB30" s="81"/>
      <c r="AC30" s="89" t="s">
        <v>965</v>
      </c>
      <c r="AD30" s="81"/>
      <c r="AE30" s="81" t="b">
        <v>0</v>
      </c>
      <c r="AF30" s="81">
        <v>0</v>
      </c>
      <c r="AG30" s="89" t="s">
        <v>1149</v>
      </c>
      <c r="AH30" s="81" t="b">
        <v>0</v>
      </c>
      <c r="AI30" s="81" t="s">
        <v>1150</v>
      </c>
      <c r="AJ30" s="81"/>
      <c r="AK30" s="89" t="s">
        <v>1149</v>
      </c>
      <c r="AL30" s="81" t="b">
        <v>0</v>
      </c>
      <c r="AM30" s="81">
        <v>37</v>
      </c>
      <c r="AN30" s="89" t="s">
        <v>1142</v>
      </c>
      <c r="AO30" s="81" t="s">
        <v>1165</v>
      </c>
      <c r="AP30" s="81" t="b">
        <v>0</v>
      </c>
      <c r="AQ30" s="89" t="s">
        <v>1142</v>
      </c>
      <c r="AR30" s="81" t="s">
        <v>325</v>
      </c>
      <c r="AS30" s="81">
        <v>0</v>
      </c>
      <c r="AT30" s="81">
        <v>0</v>
      </c>
      <c r="AU30" s="81"/>
      <c r="AV30" s="81"/>
      <c r="AW30" s="81"/>
      <c r="AX30" s="81"/>
      <c r="AY30" s="81"/>
      <c r="AZ30" s="81"/>
      <c r="BA30" s="81"/>
      <c r="BB30" s="81"/>
      <c r="BC30">
        <v>1</v>
      </c>
      <c r="BD30" s="80" t="str">
        <f>REPLACE(INDEX(GroupVertices[Group],MATCH(Edges25[[#This Row],[Vertex 1]],GroupVertices[Vertex],0)),1,1,"")</f>
        <v>2</v>
      </c>
      <c r="BE30" s="80" t="str">
        <f>REPLACE(INDEX(GroupVertices[Group],MATCH(Edges25[[#This Row],[Vertex 2]],GroupVertices[Vertex],0)),1,1,"")</f>
        <v>2</v>
      </c>
      <c r="BF30" s="48"/>
      <c r="BG30" s="49"/>
      <c r="BH30" s="48"/>
      <c r="BI30" s="49"/>
      <c r="BJ30" s="48"/>
      <c r="BK30" s="49"/>
      <c r="BL30" s="48"/>
      <c r="BM30" s="49"/>
      <c r="BN30" s="48"/>
    </row>
    <row r="31" spans="1:66" ht="15">
      <c r="A31" s="66" t="s">
        <v>390</v>
      </c>
      <c r="B31" s="66" t="s">
        <v>524</v>
      </c>
      <c r="C31" s="67"/>
      <c r="D31" s="68"/>
      <c r="E31" s="69"/>
      <c r="F31" s="70"/>
      <c r="G31" s="67"/>
      <c r="H31" s="71"/>
      <c r="I31" s="72"/>
      <c r="J31" s="72"/>
      <c r="K31" s="34" t="s">
        <v>65</v>
      </c>
      <c r="L31" s="79">
        <v>47</v>
      </c>
      <c r="M31" s="79"/>
      <c r="N31" s="74"/>
      <c r="O31" s="81" t="s">
        <v>588</v>
      </c>
      <c r="P31" s="83">
        <v>44004.512719907405</v>
      </c>
      <c r="Q31" s="81" t="s">
        <v>597</v>
      </c>
      <c r="R31" s="81"/>
      <c r="S31" s="81"/>
      <c r="T31" s="81" t="s">
        <v>699</v>
      </c>
      <c r="U31" s="81"/>
      <c r="V31" s="84" t="str">
        <f>HYPERLINK("http://pbs.twimg.com/profile_images/1249468566811934725/02Zw7Jf6_normal.jpg")</f>
        <v>http://pbs.twimg.com/profile_images/1249468566811934725/02Zw7Jf6_normal.jpg</v>
      </c>
      <c r="W31" s="83">
        <v>44004.512719907405</v>
      </c>
      <c r="X31" s="87">
        <v>44004</v>
      </c>
      <c r="Y31" s="89" t="s">
        <v>757</v>
      </c>
      <c r="Z31" s="84" t="str">
        <f>HYPERLINK("https://twitter.com/fvas/status/1275040417747173377")</f>
        <v>https://twitter.com/fvas/status/1275040417747173377</v>
      </c>
      <c r="AA31" s="81"/>
      <c r="AB31" s="81"/>
      <c r="AC31" s="89" t="s">
        <v>966</v>
      </c>
      <c r="AD31" s="81"/>
      <c r="AE31" s="81" t="b">
        <v>0</v>
      </c>
      <c r="AF31" s="81">
        <v>0</v>
      </c>
      <c r="AG31" s="89" t="s">
        <v>1149</v>
      </c>
      <c r="AH31" s="81" t="b">
        <v>0</v>
      </c>
      <c r="AI31" s="81" t="s">
        <v>1150</v>
      </c>
      <c r="AJ31" s="81"/>
      <c r="AK31" s="89" t="s">
        <v>1149</v>
      </c>
      <c r="AL31" s="81" t="b">
        <v>0</v>
      </c>
      <c r="AM31" s="81">
        <v>6</v>
      </c>
      <c r="AN31" s="89" t="s">
        <v>1124</v>
      </c>
      <c r="AO31" s="81" t="s">
        <v>1176</v>
      </c>
      <c r="AP31" s="81" t="b">
        <v>0</v>
      </c>
      <c r="AQ31" s="89" t="s">
        <v>1124</v>
      </c>
      <c r="AR31" s="81" t="s">
        <v>325</v>
      </c>
      <c r="AS31" s="81">
        <v>0</v>
      </c>
      <c r="AT31" s="81">
        <v>0</v>
      </c>
      <c r="AU31" s="81"/>
      <c r="AV31" s="81"/>
      <c r="AW31" s="81"/>
      <c r="AX31" s="81"/>
      <c r="AY31" s="81"/>
      <c r="AZ31" s="81"/>
      <c r="BA31" s="81"/>
      <c r="BB31" s="81"/>
      <c r="BC31">
        <v>1</v>
      </c>
      <c r="BD31" s="80" t="str">
        <f>REPLACE(INDEX(GroupVertices[Group],MATCH(Edges25[[#This Row],[Vertex 1]],GroupVertices[Vertex],0)),1,1,"")</f>
        <v>5</v>
      </c>
      <c r="BE31" s="80" t="str">
        <f>REPLACE(INDEX(GroupVertices[Group],MATCH(Edges25[[#This Row],[Vertex 2]],GroupVertices[Vertex],0)),1,1,"")</f>
        <v>5</v>
      </c>
      <c r="BF31" s="48"/>
      <c r="BG31" s="49"/>
      <c r="BH31" s="48"/>
      <c r="BI31" s="49"/>
      <c r="BJ31" s="48"/>
      <c r="BK31" s="49"/>
      <c r="BL31" s="48"/>
      <c r="BM31" s="49"/>
      <c r="BN31" s="48"/>
    </row>
    <row r="32" spans="1:66" ht="15">
      <c r="A32" s="66" t="s">
        <v>391</v>
      </c>
      <c r="B32" s="66" t="s">
        <v>513</v>
      </c>
      <c r="C32" s="67"/>
      <c r="D32" s="68"/>
      <c r="E32" s="69"/>
      <c r="F32" s="70"/>
      <c r="G32" s="67"/>
      <c r="H32" s="71"/>
      <c r="I32" s="72"/>
      <c r="J32" s="72"/>
      <c r="K32" s="34" t="s">
        <v>65</v>
      </c>
      <c r="L32" s="79">
        <v>50</v>
      </c>
      <c r="M32" s="79"/>
      <c r="N32" s="74"/>
      <c r="O32" s="81" t="s">
        <v>588</v>
      </c>
      <c r="P32" s="83">
        <v>44004.520636574074</v>
      </c>
      <c r="Q32" s="81" t="s">
        <v>595</v>
      </c>
      <c r="R32" s="81"/>
      <c r="S32" s="81"/>
      <c r="T32" s="81"/>
      <c r="U32" s="81"/>
      <c r="V32" s="84" t="str">
        <f>HYPERLINK("http://pbs.twimg.com/profile_images/1175825868532461569/L1ohgpWh_normal.jpg")</f>
        <v>http://pbs.twimg.com/profile_images/1175825868532461569/L1ohgpWh_normal.jpg</v>
      </c>
      <c r="W32" s="83">
        <v>44004.520636574074</v>
      </c>
      <c r="X32" s="87">
        <v>44004</v>
      </c>
      <c r="Y32" s="89" t="s">
        <v>758</v>
      </c>
      <c r="Z32" s="84" t="str">
        <f>HYPERLINK("https://twitter.com/dasbarrett/status/1275043286978375685")</f>
        <v>https://twitter.com/dasbarrett/status/1275043286978375685</v>
      </c>
      <c r="AA32" s="81"/>
      <c r="AB32" s="81"/>
      <c r="AC32" s="89" t="s">
        <v>967</v>
      </c>
      <c r="AD32" s="81"/>
      <c r="AE32" s="81" t="b">
        <v>0</v>
      </c>
      <c r="AF32" s="81">
        <v>0</v>
      </c>
      <c r="AG32" s="89" t="s">
        <v>1149</v>
      </c>
      <c r="AH32" s="81" t="b">
        <v>0</v>
      </c>
      <c r="AI32" s="81" t="s">
        <v>1150</v>
      </c>
      <c r="AJ32" s="81"/>
      <c r="AK32" s="89" t="s">
        <v>1149</v>
      </c>
      <c r="AL32" s="81" t="b">
        <v>0</v>
      </c>
      <c r="AM32" s="81">
        <v>37</v>
      </c>
      <c r="AN32" s="89" t="s">
        <v>1142</v>
      </c>
      <c r="AO32" s="81" t="s">
        <v>1165</v>
      </c>
      <c r="AP32" s="81" t="b">
        <v>0</v>
      </c>
      <c r="AQ32" s="89" t="s">
        <v>1142</v>
      </c>
      <c r="AR32" s="81" t="s">
        <v>325</v>
      </c>
      <c r="AS32" s="81">
        <v>0</v>
      </c>
      <c r="AT32" s="81">
        <v>0</v>
      </c>
      <c r="AU32" s="81"/>
      <c r="AV32" s="81"/>
      <c r="AW32" s="81"/>
      <c r="AX32" s="81"/>
      <c r="AY32" s="81"/>
      <c r="AZ32" s="81"/>
      <c r="BA32" s="81"/>
      <c r="BB32" s="81"/>
      <c r="BC32">
        <v>1</v>
      </c>
      <c r="BD32" s="80" t="str">
        <f>REPLACE(INDEX(GroupVertices[Group],MATCH(Edges25[[#This Row],[Vertex 1]],GroupVertices[Vertex],0)),1,1,"")</f>
        <v>2</v>
      </c>
      <c r="BE32" s="80" t="str">
        <f>REPLACE(INDEX(GroupVertices[Group],MATCH(Edges25[[#This Row],[Vertex 2]],GroupVertices[Vertex],0)),1,1,"")</f>
        <v>2</v>
      </c>
      <c r="BF32" s="48"/>
      <c r="BG32" s="49"/>
      <c r="BH32" s="48"/>
      <c r="BI32" s="49"/>
      <c r="BJ32" s="48"/>
      <c r="BK32" s="49"/>
      <c r="BL32" s="48"/>
      <c r="BM32" s="49"/>
      <c r="BN32" s="48"/>
    </row>
    <row r="33" spans="1:66" ht="15">
      <c r="A33" s="66" t="s">
        <v>392</v>
      </c>
      <c r="B33" s="66" t="s">
        <v>523</v>
      </c>
      <c r="C33" s="67"/>
      <c r="D33" s="68"/>
      <c r="E33" s="69"/>
      <c r="F33" s="70"/>
      <c r="G33" s="67"/>
      <c r="H33" s="71"/>
      <c r="I33" s="72"/>
      <c r="J33" s="72"/>
      <c r="K33" s="34" t="s">
        <v>65</v>
      </c>
      <c r="L33" s="79">
        <v>52</v>
      </c>
      <c r="M33" s="79"/>
      <c r="N33" s="74"/>
      <c r="O33" s="81" t="s">
        <v>587</v>
      </c>
      <c r="P33" s="83">
        <v>44000.57202546296</v>
      </c>
      <c r="Q33" s="81" t="s">
        <v>596</v>
      </c>
      <c r="R33" s="84" t="str">
        <f>HYPERLINK("https://www.theguardian.com/world/2020/jun/18/covid-19-excess-death-rates-more-than-twice-uk-average-for-19-english-councils")</f>
        <v>https://www.theguardian.com/world/2020/jun/18/covid-19-excess-death-rates-more-than-twice-uk-average-for-19-english-councils</v>
      </c>
      <c r="S33" s="81" t="s">
        <v>677</v>
      </c>
      <c r="T33" s="81" t="s">
        <v>702</v>
      </c>
      <c r="U33" s="84" t="str">
        <f>HYPERLINK("https://pbs.twimg.com/media/EazHnIGXkAEoFx1.jpg")</f>
        <v>https://pbs.twimg.com/media/EazHnIGXkAEoFx1.jpg</v>
      </c>
      <c r="V33" s="84" t="str">
        <f>HYPERLINK("https://pbs.twimg.com/media/EazHnIGXkAEoFx1.jpg")</f>
        <v>https://pbs.twimg.com/media/EazHnIGXkAEoFx1.jpg</v>
      </c>
      <c r="W33" s="83">
        <v>44000.57202546296</v>
      </c>
      <c r="X33" s="87">
        <v>44000</v>
      </c>
      <c r="Y33" s="89" t="s">
        <v>759</v>
      </c>
      <c r="Z33" s="84" t="str">
        <f>HYPERLINK("https://twitter.com/cijournalism/status/1273612357369987074")</f>
        <v>https://twitter.com/cijournalism/status/1273612357369987074</v>
      </c>
      <c r="AA33" s="81"/>
      <c r="AB33" s="81"/>
      <c r="AC33" s="89" t="s">
        <v>968</v>
      </c>
      <c r="AD33" s="81"/>
      <c r="AE33" s="81" t="b">
        <v>0</v>
      </c>
      <c r="AF33" s="81">
        <v>3</v>
      </c>
      <c r="AG33" s="89" t="s">
        <v>1149</v>
      </c>
      <c r="AH33" s="81" t="b">
        <v>0</v>
      </c>
      <c r="AI33" s="81" t="s">
        <v>1150</v>
      </c>
      <c r="AJ33" s="81"/>
      <c r="AK33" s="89" t="s">
        <v>1149</v>
      </c>
      <c r="AL33" s="81" t="b">
        <v>0</v>
      </c>
      <c r="AM33" s="81">
        <v>4</v>
      </c>
      <c r="AN33" s="89" t="s">
        <v>1149</v>
      </c>
      <c r="AO33" s="81" t="s">
        <v>1172</v>
      </c>
      <c r="AP33" s="81" t="b">
        <v>0</v>
      </c>
      <c r="AQ33" s="89" t="s">
        <v>968</v>
      </c>
      <c r="AR33" s="81" t="s">
        <v>586</v>
      </c>
      <c r="AS33" s="81">
        <v>0</v>
      </c>
      <c r="AT33" s="81">
        <v>0</v>
      </c>
      <c r="AU33" s="81"/>
      <c r="AV33" s="81"/>
      <c r="AW33" s="81"/>
      <c r="AX33" s="81"/>
      <c r="AY33" s="81"/>
      <c r="AZ33" s="81"/>
      <c r="BA33" s="81"/>
      <c r="BB33" s="81"/>
      <c r="BC33">
        <v>1</v>
      </c>
      <c r="BD33" s="80" t="str">
        <f>REPLACE(INDEX(GroupVertices[Group],MATCH(Edges25[[#This Row],[Vertex 1]],GroupVertices[Vertex],0)),1,1,"")</f>
        <v>14</v>
      </c>
      <c r="BE33" s="80" t="str">
        <f>REPLACE(INDEX(GroupVertices[Group],MATCH(Edges25[[#This Row],[Vertex 2]],GroupVertices[Vertex],0)),1,1,"")</f>
        <v>14</v>
      </c>
      <c r="BF33" s="48">
        <v>0</v>
      </c>
      <c r="BG33" s="49">
        <v>0</v>
      </c>
      <c r="BH33" s="48">
        <v>1</v>
      </c>
      <c r="BI33" s="49">
        <v>4.166666666666667</v>
      </c>
      <c r="BJ33" s="48">
        <v>0</v>
      </c>
      <c r="BK33" s="49">
        <v>0</v>
      </c>
      <c r="BL33" s="48">
        <v>23</v>
      </c>
      <c r="BM33" s="49">
        <v>95.83333333333333</v>
      </c>
      <c r="BN33" s="48">
        <v>24</v>
      </c>
    </row>
    <row r="34" spans="1:66" ht="15">
      <c r="A34" s="66" t="s">
        <v>393</v>
      </c>
      <c r="B34" s="66" t="s">
        <v>523</v>
      </c>
      <c r="C34" s="67"/>
      <c r="D34" s="68"/>
      <c r="E34" s="69"/>
      <c r="F34" s="70"/>
      <c r="G34" s="67"/>
      <c r="H34" s="71"/>
      <c r="I34" s="72"/>
      <c r="J34" s="72"/>
      <c r="K34" s="34" t="s">
        <v>65</v>
      </c>
      <c r="L34" s="79">
        <v>53</v>
      </c>
      <c r="M34" s="79"/>
      <c r="N34" s="74"/>
      <c r="O34" s="81" t="s">
        <v>588</v>
      </c>
      <c r="P34" s="83">
        <v>44004.53255787037</v>
      </c>
      <c r="Q34" s="81" t="s">
        <v>596</v>
      </c>
      <c r="R34" s="81"/>
      <c r="S34" s="81"/>
      <c r="T34" s="81" t="s">
        <v>701</v>
      </c>
      <c r="U34" s="81"/>
      <c r="V34" s="84" t="str">
        <f>HYPERLINK("http://pbs.twimg.com/profile_images/911891391/paaaaaaaaaa_normal.jpg")</f>
        <v>http://pbs.twimg.com/profile_images/911891391/paaaaaaaaaa_normal.jpg</v>
      </c>
      <c r="W34" s="83">
        <v>44004.53255787037</v>
      </c>
      <c r="X34" s="87">
        <v>44004</v>
      </c>
      <c r="Y34" s="89" t="s">
        <v>760</v>
      </c>
      <c r="Z34" s="84" t="str">
        <f>HYPERLINK("https://twitter.com/marcelodgr67/status/1275047608617242625")</f>
        <v>https://twitter.com/marcelodgr67/status/1275047608617242625</v>
      </c>
      <c r="AA34" s="81"/>
      <c r="AB34" s="81"/>
      <c r="AC34" s="89" t="s">
        <v>969</v>
      </c>
      <c r="AD34" s="81"/>
      <c r="AE34" s="81" t="b">
        <v>0</v>
      </c>
      <c r="AF34" s="81">
        <v>0</v>
      </c>
      <c r="AG34" s="89" t="s">
        <v>1149</v>
      </c>
      <c r="AH34" s="81" t="b">
        <v>0</v>
      </c>
      <c r="AI34" s="81" t="s">
        <v>1150</v>
      </c>
      <c r="AJ34" s="81"/>
      <c r="AK34" s="89" t="s">
        <v>1149</v>
      </c>
      <c r="AL34" s="81" t="b">
        <v>0</v>
      </c>
      <c r="AM34" s="81">
        <v>4</v>
      </c>
      <c r="AN34" s="89" t="s">
        <v>968</v>
      </c>
      <c r="AO34" s="81" t="s">
        <v>1176</v>
      </c>
      <c r="AP34" s="81" t="b">
        <v>0</v>
      </c>
      <c r="AQ34" s="89" t="s">
        <v>968</v>
      </c>
      <c r="AR34" s="81" t="s">
        <v>325</v>
      </c>
      <c r="AS34" s="81">
        <v>0</v>
      </c>
      <c r="AT34" s="81">
        <v>0</v>
      </c>
      <c r="AU34" s="81"/>
      <c r="AV34" s="81"/>
      <c r="AW34" s="81"/>
      <c r="AX34" s="81"/>
      <c r="AY34" s="81"/>
      <c r="AZ34" s="81"/>
      <c r="BA34" s="81"/>
      <c r="BB34" s="81"/>
      <c r="BC34">
        <v>1</v>
      </c>
      <c r="BD34" s="80" t="str">
        <f>REPLACE(INDEX(GroupVertices[Group],MATCH(Edges25[[#This Row],[Vertex 1]],GroupVertices[Vertex],0)),1,1,"")</f>
        <v>14</v>
      </c>
      <c r="BE34" s="80" t="str">
        <f>REPLACE(INDEX(GroupVertices[Group],MATCH(Edges25[[#This Row],[Vertex 2]],GroupVertices[Vertex],0)),1,1,"")</f>
        <v>14</v>
      </c>
      <c r="BF34" s="48"/>
      <c r="BG34" s="49"/>
      <c r="BH34" s="48"/>
      <c r="BI34" s="49"/>
      <c r="BJ34" s="48"/>
      <c r="BK34" s="49"/>
      <c r="BL34" s="48"/>
      <c r="BM34" s="49"/>
      <c r="BN34" s="48"/>
    </row>
    <row r="35" spans="1:66" ht="15">
      <c r="A35" s="66" t="s">
        <v>394</v>
      </c>
      <c r="B35" s="66" t="s">
        <v>524</v>
      </c>
      <c r="C35" s="67"/>
      <c r="D35" s="68"/>
      <c r="E35" s="69"/>
      <c r="F35" s="70"/>
      <c r="G35" s="67"/>
      <c r="H35" s="71"/>
      <c r="I35" s="72"/>
      <c r="J35" s="72"/>
      <c r="K35" s="34" t="s">
        <v>65</v>
      </c>
      <c r="L35" s="79">
        <v>55</v>
      </c>
      <c r="M35" s="79"/>
      <c r="N35" s="74"/>
      <c r="O35" s="81" t="s">
        <v>588</v>
      </c>
      <c r="P35" s="83">
        <v>44004.53498842593</v>
      </c>
      <c r="Q35" s="81" t="s">
        <v>597</v>
      </c>
      <c r="R35" s="81"/>
      <c r="S35" s="81"/>
      <c r="T35" s="81" t="s">
        <v>699</v>
      </c>
      <c r="U35" s="81"/>
      <c r="V35" s="84" t="str">
        <f>HYPERLINK("http://pbs.twimg.com/profile_images/1180539516811124736/U0w4DB3S_normal.jpg")</f>
        <v>http://pbs.twimg.com/profile_images/1180539516811124736/U0w4DB3S_normal.jpg</v>
      </c>
      <c r="W35" s="83">
        <v>44004.53498842593</v>
      </c>
      <c r="X35" s="87">
        <v>44004</v>
      </c>
      <c r="Y35" s="89" t="s">
        <v>761</v>
      </c>
      <c r="Z35" s="84" t="str">
        <f>HYPERLINK("https://twitter.com/anaserranot/status/1275048486891855873")</f>
        <v>https://twitter.com/anaserranot/status/1275048486891855873</v>
      </c>
      <c r="AA35" s="81"/>
      <c r="AB35" s="81"/>
      <c r="AC35" s="89" t="s">
        <v>970</v>
      </c>
      <c r="AD35" s="81"/>
      <c r="AE35" s="81" t="b">
        <v>0</v>
      </c>
      <c r="AF35" s="81">
        <v>0</v>
      </c>
      <c r="AG35" s="89" t="s">
        <v>1149</v>
      </c>
      <c r="AH35" s="81" t="b">
        <v>0</v>
      </c>
      <c r="AI35" s="81" t="s">
        <v>1150</v>
      </c>
      <c r="AJ35" s="81"/>
      <c r="AK35" s="89" t="s">
        <v>1149</v>
      </c>
      <c r="AL35" s="81" t="b">
        <v>0</v>
      </c>
      <c r="AM35" s="81">
        <v>6</v>
      </c>
      <c r="AN35" s="89" t="s">
        <v>1124</v>
      </c>
      <c r="AO35" s="81" t="s">
        <v>1165</v>
      </c>
      <c r="AP35" s="81" t="b">
        <v>0</v>
      </c>
      <c r="AQ35" s="89" t="s">
        <v>1124</v>
      </c>
      <c r="AR35" s="81" t="s">
        <v>325</v>
      </c>
      <c r="AS35" s="81">
        <v>0</v>
      </c>
      <c r="AT35" s="81">
        <v>0</v>
      </c>
      <c r="AU35" s="81"/>
      <c r="AV35" s="81"/>
      <c r="AW35" s="81"/>
      <c r="AX35" s="81"/>
      <c r="AY35" s="81"/>
      <c r="AZ35" s="81"/>
      <c r="BA35" s="81"/>
      <c r="BB35" s="81"/>
      <c r="BC35">
        <v>1</v>
      </c>
      <c r="BD35" s="80" t="str">
        <f>REPLACE(INDEX(GroupVertices[Group],MATCH(Edges25[[#This Row],[Vertex 1]],GroupVertices[Vertex],0)),1,1,"")</f>
        <v>5</v>
      </c>
      <c r="BE35" s="80" t="str">
        <f>REPLACE(INDEX(GroupVertices[Group],MATCH(Edges25[[#This Row],[Vertex 2]],GroupVertices[Vertex],0)),1,1,"")</f>
        <v>5</v>
      </c>
      <c r="BF35" s="48"/>
      <c r="BG35" s="49"/>
      <c r="BH35" s="48"/>
      <c r="BI35" s="49"/>
      <c r="BJ35" s="48"/>
      <c r="BK35" s="49"/>
      <c r="BL35" s="48"/>
      <c r="BM35" s="49"/>
      <c r="BN35" s="48"/>
    </row>
    <row r="36" spans="1:66" ht="15">
      <c r="A36" s="66" t="s">
        <v>395</v>
      </c>
      <c r="B36" s="66" t="s">
        <v>513</v>
      </c>
      <c r="C36" s="67"/>
      <c r="D36" s="68"/>
      <c r="E36" s="69"/>
      <c r="F36" s="70"/>
      <c r="G36" s="67"/>
      <c r="H36" s="71"/>
      <c r="I36" s="72"/>
      <c r="J36" s="72"/>
      <c r="K36" s="34" t="s">
        <v>65</v>
      </c>
      <c r="L36" s="79">
        <v>58</v>
      </c>
      <c r="M36" s="79"/>
      <c r="N36" s="74"/>
      <c r="O36" s="81" t="s">
        <v>588</v>
      </c>
      <c r="P36" s="83">
        <v>44004.536944444444</v>
      </c>
      <c r="Q36" s="81" t="s">
        <v>595</v>
      </c>
      <c r="R36" s="81"/>
      <c r="S36" s="81"/>
      <c r="T36" s="81"/>
      <c r="U36" s="81"/>
      <c r="V36" s="84" t="str">
        <f>HYPERLINK("http://pbs.twimg.com/profile_images/1018391950406373376/oAMTohyh_normal.jpg")</f>
        <v>http://pbs.twimg.com/profile_images/1018391950406373376/oAMTohyh_normal.jpg</v>
      </c>
      <c r="W36" s="83">
        <v>44004.536944444444</v>
      </c>
      <c r="X36" s="87">
        <v>44004</v>
      </c>
      <c r="Y36" s="89" t="s">
        <v>762</v>
      </c>
      <c r="Z36" s="84" t="str">
        <f>HYPERLINK("https://twitter.com/jeremy_morley/status/1275049198547763204")</f>
        <v>https://twitter.com/jeremy_morley/status/1275049198547763204</v>
      </c>
      <c r="AA36" s="81"/>
      <c r="AB36" s="81"/>
      <c r="AC36" s="89" t="s">
        <v>971</v>
      </c>
      <c r="AD36" s="81"/>
      <c r="AE36" s="81" t="b">
        <v>0</v>
      </c>
      <c r="AF36" s="81">
        <v>0</v>
      </c>
      <c r="AG36" s="89" t="s">
        <v>1149</v>
      </c>
      <c r="AH36" s="81" t="b">
        <v>0</v>
      </c>
      <c r="AI36" s="81" t="s">
        <v>1150</v>
      </c>
      <c r="AJ36" s="81"/>
      <c r="AK36" s="89" t="s">
        <v>1149</v>
      </c>
      <c r="AL36" s="81" t="b">
        <v>0</v>
      </c>
      <c r="AM36" s="81">
        <v>37</v>
      </c>
      <c r="AN36" s="89" t="s">
        <v>1142</v>
      </c>
      <c r="AO36" s="81" t="s">
        <v>1165</v>
      </c>
      <c r="AP36" s="81" t="b">
        <v>0</v>
      </c>
      <c r="AQ36" s="89" t="s">
        <v>1142</v>
      </c>
      <c r="AR36" s="81" t="s">
        <v>325</v>
      </c>
      <c r="AS36" s="81">
        <v>0</v>
      </c>
      <c r="AT36" s="81">
        <v>0</v>
      </c>
      <c r="AU36" s="81"/>
      <c r="AV36" s="81"/>
      <c r="AW36" s="81"/>
      <c r="AX36" s="81"/>
      <c r="AY36" s="81"/>
      <c r="AZ36" s="81"/>
      <c r="BA36" s="81"/>
      <c r="BB36" s="81"/>
      <c r="BC36">
        <v>1</v>
      </c>
      <c r="BD36" s="80" t="str">
        <f>REPLACE(INDEX(GroupVertices[Group],MATCH(Edges25[[#This Row],[Vertex 1]],GroupVertices[Vertex],0)),1,1,"")</f>
        <v>2</v>
      </c>
      <c r="BE36" s="80" t="str">
        <f>REPLACE(INDEX(GroupVertices[Group],MATCH(Edges25[[#This Row],[Vertex 2]],GroupVertices[Vertex],0)),1,1,"")</f>
        <v>2</v>
      </c>
      <c r="BF36" s="48"/>
      <c r="BG36" s="49"/>
      <c r="BH36" s="48"/>
      <c r="BI36" s="49"/>
      <c r="BJ36" s="48"/>
      <c r="BK36" s="49"/>
      <c r="BL36" s="48"/>
      <c r="BM36" s="49"/>
      <c r="BN36" s="48"/>
    </row>
    <row r="37" spans="1:66" ht="15">
      <c r="A37" s="66" t="s">
        <v>396</v>
      </c>
      <c r="B37" s="66" t="s">
        <v>513</v>
      </c>
      <c r="C37" s="67"/>
      <c r="D37" s="68"/>
      <c r="E37" s="69"/>
      <c r="F37" s="70"/>
      <c r="G37" s="67"/>
      <c r="H37" s="71"/>
      <c r="I37" s="72"/>
      <c r="J37" s="72"/>
      <c r="K37" s="34" t="s">
        <v>65</v>
      </c>
      <c r="L37" s="79">
        <v>60</v>
      </c>
      <c r="M37" s="79"/>
      <c r="N37" s="74"/>
      <c r="O37" s="81" t="s">
        <v>588</v>
      </c>
      <c r="P37" s="83">
        <v>44004.55709490741</v>
      </c>
      <c r="Q37" s="81" t="s">
        <v>595</v>
      </c>
      <c r="R37" s="81"/>
      <c r="S37" s="81"/>
      <c r="T37" s="81"/>
      <c r="U37" s="81"/>
      <c r="V37" s="84" t="str">
        <f>HYPERLINK("http://pbs.twimg.com/profile_images/1035175023437336576/PlWu55Xt_normal.jpg")</f>
        <v>http://pbs.twimg.com/profile_images/1035175023437336576/PlWu55Xt_normal.jpg</v>
      </c>
      <c r="W37" s="83">
        <v>44004.55709490741</v>
      </c>
      <c r="X37" s="87">
        <v>44004</v>
      </c>
      <c r="Y37" s="89" t="s">
        <v>763</v>
      </c>
      <c r="Z37" s="84" t="str">
        <f>HYPERLINK("https://twitter.com/jenit/status/1275056500394921984")</f>
        <v>https://twitter.com/jenit/status/1275056500394921984</v>
      </c>
      <c r="AA37" s="81"/>
      <c r="AB37" s="81"/>
      <c r="AC37" s="89" t="s">
        <v>972</v>
      </c>
      <c r="AD37" s="81"/>
      <c r="AE37" s="81" t="b">
        <v>0</v>
      </c>
      <c r="AF37" s="81">
        <v>0</v>
      </c>
      <c r="AG37" s="89" t="s">
        <v>1149</v>
      </c>
      <c r="AH37" s="81" t="b">
        <v>0</v>
      </c>
      <c r="AI37" s="81" t="s">
        <v>1150</v>
      </c>
      <c r="AJ37" s="81"/>
      <c r="AK37" s="89" t="s">
        <v>1149</v>
      </c>
      <c r="AL37" s="81" t="b">
        <v>0</v>
      </c>
      <c r="AM37" s="81">
        <v>37</v>
      </c>
      <c r="AN37" s="89" t="s">
        <v>1142</v>
      </c>
      <c r="AO37" s="81" t="s">
        <v>1176</v>
      </c>
      <c r="AP37" s="81" t="b">
        <v>0</v>
      </c>
      <c r="AQ37" s="89" t="s">
        <v>1142</v>
      </c>
      <c r="AR37" s="81" t="s">
        <v>325</v>
      </c>
      <c r="AS37" s="81">
        <v>0</v>
      </c>
      <c r="AT37" s="81">
        <v>0</v>
      </c>
      <c r="AU37" s="81"/>
      <c r="AV37" s="81"/>
      <c r="AW37" s="81"/>
      <c r="AX37" s="81"/>
      <c r="AY37" s="81"/>
      <c r="AZ37" s="81"/>
      <c r="BA37" s="81"/>
      <c r="BB37" s="81"/>
      <c r="BC37">
        <v>1</v>
      </c>
      <c r="BD37" s="80" t="str">
        <f>REPLACE(INDEX(GroupVertices[Group],MATCH(Edges25[[#This Row],[Vertex 1]],GroupVertices[Vertex],0)),1,1,"")</f>
        <v>2</v>
      </c>
      <c r="BE37" s="80" t="str">
        <f>REPLACE(INDEX(GroupVertices[Group],MATCH(Edges25[[#This Row],[Vertex 2]],GroupVertices[Vertex],0)),1,1,"")</f>
        <v>2</v>
      </c>
      <c r="BF37" s="48"/>
      <c r="BG37" s="49"/>
      <c r="BH37" s="48"/>
      <c r="BI37" s="49"/>
      <c r="BJ37" s="48"/>
      <c r="BK37" s="49"/>
      <c r="BL37" s="48"/>
      <c r="BM37" s="49"/>
      <c r="BN37" s="48"/>
    </row>
    <row r="38" spans="1:66" ht="15">
      <c r="A38" s="66" t="s">
        <v>397</v>
      </c>
      <c r="B38" s="66" t="s">
        <v>524</v>
      </c>
      <c r="C38" s="67"/>
      <c r="D38" s="68"/>
      <c r="E38" s="69"/>
      <c r="F38" s="70"/>
      <c r="G38" s="67"/>
      <c r="H38" s="71"/>
      <c r="I38" s="72"/>
      <c r="J38" s="72"/>
      <c r="K38" s="34" t="s">
        <v>65</v>
      </c>
      <c r="L38" s="79">
        <v>62</v>
      </c>
      <c r="M38" s="79"/>
      <c r="N38" s="74"/>
      <c r="O38" s="81" t="s">
        <v>588</v>
      </c>
      <c r="P38" s="83">
        <v>44004.568773148145</v>
      </c>
      <c r="Q38" s="81" t="s">
        <v>597</v>
      </c>
      <c r="R38" s="81"/>
      <c r="S38" s="81"/>
      <c r="T38" s="81" t="s">
        <v>699</v>
      </c>
      <c r="U38" s="81"/>
      <c r="V38" s="84" t="str">
        <f>HYPERLINK("http://pbs.twimg.com/profile_images/1042441961368629249/OZo_zt9b_normal.jpg")</f>
        <v>http://pbs.twimg.com/profile_images/1042441961368629249/OZo_zt9b_normal.jpg</v>
      </c>
      <c r="W38" s="83">
        <v>44004.568773148145</v>
      </c>
      <c r="X38" s="87">
        <v>44004</v>
      </c>
      <c r="Y38" s="89" t="s">
        <v>764</v>
      </c>
      <c r="Z38" s="84" t="str">
        <f>HYPERLINK("https://twitter.com/susanagarayoa/status/1275060730555842561")</f>
        <v>https://twitter.com/susanagarayoa/status/1275060730555842561</v>
      </c>
      <c r="AA38" s="81"/>
      <c r="AB38" s="81"/>
      <c r="AC38" s="89" t="s">
        <v>973</v>
      </c>
      <c r="AD38" s="81"/>
      <c r="AE38" s="81" t="b">
        <v>0</v>
      </c>
      <c r="AF38" s="81">
        <v>0</v>
      </c>
      <c r="AG38" s="89" t="s">
        <v>1149</v>
      </c>
      <c r="AH38" s="81" t="b">
        <v>0</v>
      </c>
      <c r="AI38" s="81" t="s">
        <v>1150</v>
      </c>
      <c r="AJ38" s="81"/>
      <c r="AK38" s="89" t="s">
        <v>1149</v>
      </c>
      <c r="AL38" s="81" t="b">
        <v>0</v>
      </c>
      <c r="AM38" s="81">
        <v>6</v>
      </c>
      <c r="AN38" s="89" t="s">
        <v>1124</v>
      </c>
      <c r="AO38" s="81" t="s">
        <v>1165</v>
      </c>
      <c r="AP38" s="81" t="b">
        <v>0</v>
      </c>
      <c r="AQ38" s="89" t="s">
        <v>1124</v>
      </c>
      <c r="AR38" s="81" t="s">
        <v>325</v>
      </c>
      <c r="AS38" s="81">
        <v>0</v>
      </c>
      <c r="AT38" s="81">
        <v>0</v>
      </c>
      <c r="AU38" s="81"/>
      <c r="AV38" s="81"/>
      <c r="AW38" s="81"/>
      <c r="AX38" s="81"/>
      <c r="AY38" s="81"/>
      <c r="AZ38" s="81"/>
      <c r="BA38" s="81"/>
      <c r="BB38" s="81"/>
      <c r="BC38">
        <v>1</v>
      </c>
      <c r="BD38" s="80" t="str">
        <f>REPLACE(INDEX(GroupVertices[Group],MATCH(Edges25[[#This Row],[Vertex 1]],GroupVertices[Vertex],0)),1,1,"")</f>
        <v>5</v>
      </c>
      <c r="BE38" s="80" t="str">
        <f>REPLACE(INDEX(GroupVertices[Group],MATCH(Edges25[[#This Row],[Vertex 2]],GroupVertices[Vertex],0)),1,1,"")</f>
        <v>5</v>
      </c>
      <c r="BF38" s="48"/>
      <c r="BG38" s="49"/>
      <c r="BH38" s="48"/>
      <c r="BI38" s="49"/>
      <c r="BJ38" s="48"/>
      <c r="BK38" s="49"/>
      <c r="BL38" s="48"/>
      <c r="BM38" s="49"/>
      <c r="BN38" s="48"/>
    </row>
    <row r="39" spans="1:66" ht="15">
      <c r="A39" s="66" t="s">
        <v>398</v>
      </c>
      <c r="B39" s="66" t="s">
        <v>526</v>
      </c>
      <c r="C39" s="67"/>
      <c r="D39" s="68"/>
      <c r="E39" s="69"/>
      <c r="F39" s="70"/>
      <c r="G39" s="67"/>
      <c r="H39" s="71"/>
      <c r="I39" s="72"/>
      <c r="J39" s="72"/>
      <c r="K39" s="34" t="s">
        <v>65</v>
      </c>
      <c r="L39" s="79">
        <v>65</v>
      </c>
      <c r="M39" s="79"/>
      <c r="N39" s="74"/>
      <c r="O39" s="81" t="s">
        <v>587</v>
      </c>
      <c r="P39" s="83">
        <v>44004.57572916667</v>
      </c>
      <c r="Q39" s="81" t="s">
        <v>598</v>
      </c>
      <c r="R39" s="84" t="str">
        <f>HYPERLINK("https://interactive.aljazeera.com/aje/2020/saving-the-nile/index.html")</f>
        <v>https://interactive.aljazeera.com/aje/2020/saving-the-nile/index.html</v>
      </c>
      <c r="S39" s="81" t="s">
        <v>678</v>
      </c>
      <c r="T39" s="81" t="s">
        <v>703</v>
      </c>
      <c r="U39" s="81"/>
      <c r="V39" s="84" t="str">
        <f>HYPERLINK("http://pbs.twimg.com/profile_images/1023052984811438080/R5xMoijf_normal.jpg")</f>
        <v>http://pbs.twimg.com/profile_images/1023052984811438080/R5xMoijf_normal.jpg</v>
      </c>
      <c r="W39" s="83">
        <v>44004.57572916667</v>
      </c>
      <c r="X39" s="87">
        <v>44004</v>
      </c>
      <c r="Y39" s="89" t="s">
        <v>765</v>
      </c>
      <c r="Z39" s="84" t="str">
        <f>HYPERLINK("https://twitter.com/hlutwama/status/1275063253047992324")</f>
        <v>https://twitter.com/hlutwama/status/1275063253047992324</v>
      </c>
      <c r="AA39" s="81"/>
      <c r="AB39" s="81"/>
      <c r="AC39" s="89" t="s">
        <v>974</v>
      </c>
      <c r="AD39" s="81"/>
      <c r="AE39" s="81" t="b">
        <v>0</v>
      </c>
      <c r="AF39" s="81">
        <v>1</v>
      </c>
      <c r="AG39" s="89" t="s">
        <v>1149</v>
      </c>
      <c r="AH39" s="81" t="b">
        <v>0</v>
      </c>
      <c r="AI39" s="81" t="s">
        <v>1150</v>
      </c>
      <c r="AJ39" s="81"/>
      <c r="AK39" s="89" t="s">
        <v>1149</v>
      </c>
      <c r="AL39" s="81" t="b">
        <v>0</v>
      </c>
      <c r="AM39" s="81">
        <v>0</v>
      </c>
      <c r="AN39" s="89" t="s">
        <v>1149</v>
      </c>
      <c r="AO39" s="81" t="s">
        <v>1172</v>
      </c>
      <c r="AP39" s="81" t="b">
        <v>0</v>
      </c>
      <c r="AQ39" s="89" t="s">
        <v>974</v>
      </c>
      <c r="AR39" s="81" t="s">
        <v>325</v>
      </c>
      <c r="AS39" s="81">
        <v>0</v>
      </c>
      <c r="AT39" s="81">
        <v>0</v>
      </c>
      <c r="AU39" s="81"/>
      <c r="AV39" s="81"/>
      <c r="AW39" s="81"/>
      <c r="AX39" s="81"/>
      <c r="AY39" s="81"/>
      <c r="AZ39" s="81"/>
      <c r="BA39" s="81"/>
      <c r="BB39" s="81"/>
      <c r="BC39">
        <v>1</v>
      </c>
      <c r="BD39" s="80" t="str">
        <f>REPLACE(INDEX(GroupVertices[Group],MATCH(Edges25[[#This Row],[Vertex 1]],GroupVertices[Vertex],0)),1,1,"")</f>
        <v>3</v>
      </c>
      <c r="BE39" s="80" t="str">
        <f>REPLACE(INDEX(GroupVertices[Group],MATCH(Edges25[[#This Row],[Vertex 2]],GroupVertices[Vertex],0)),1,1,"")</f>
        <v>3</v>
      </c>
      <c r="BF39" s="48"/>
      <c r="BG39" s="49"/>
      <c r="BH39" s="48"/>
      <c r="BI39" s="49"/>
      <c r="BJ39" s="48"/>
      <c r="BK39" s="49"/>
      <c r="BL39" s="48"/>
      <c r="BM39" s="49"/>
      <c r="BN39" s="48"/>
    </row>
    <row r="40" spans="1:66" ht="15">
      <c r="A40" s="66" t="s">
        <v>399</v>
      </c>
      <c r="B40" s="66" t="s">
        <v>497</v>
      </c>
      <c r="C40" s="67"/>
      <c r="D40" s="68"/>
      <c r="E40" s="69"/>
      <c r="F40" s="70"/>
      <c r="G40" s="67"/>
      <c r="H40" s="71"/>
      <c r="I40" s="72"/>
      <c r="J40" s="72"/>
      <c r="K40" s="34" t="s">
        <v>65</v>
      </c>
      <c r="L40" s="79">
        <v>67</v>
      </c>
      <c r="M40" s="79"/>
      <c r="N40" s="74"/>
      <c r="O40" s="81" t="s">
        <v>586</v>
      </c>
      <c r="P40" s="83">
        <v>44004.580347222225</v>
      </c>
      <c r="Q40" s="81" t="s">
        <v>592</v>
      </c>
      <c r="R40" s="81"/>
      <c r="S40" s="81"/>
      <c r="T40" s="81" t="s">
        <v>698</v>
      </c>
      <c r="U40" s="81"/>
      <c r="V40" s="84" t="str">
        <f>HYPERLINK("http://pbs.twimg.com/profile_images/378800000573874304/8d69ae96654c67dbde48e40b2b94638d_normal.jpeg")</f>
        <v>http://pbs.twimg.com/profile_images/378800000573874304/8d69ae96654c67dbde48e40b2b94638d_normal.jpeg</v>
      </c>
      <c r="W40" s="83">
        <v>44004.580347222225</v>
      </c>
      <c r="X40" s="87">
        <v>44004</v>
      </c>
      <c r="Y40" s="89" t="s">
        <v>766</v>
      </c>
      <c r="Z40" s="84" t="str">
        <f>HYPERLINK("https://twitter.com/sergiogarciamor/status/1275064927611281409")</f>
        <v>https://twitter.com/sergiogarciamor/status/1275064927611281409</v>
      </c>
      <c r="AA40" s="81"/>
      <c r="AB40" s="81"/>
      <c r="AC40" s="89" t="s">
        <v>975</v>
      </c>
      <c r="AD40" s="81"/>
      <c r="AE40" s="81" t="b">
        <v>0</v>
      </c>
      <c r="AF40" s="81">
        <v>0</v>
      </c>
      <c r="AG40" s="89" t="s">
        <v>1149</v>
      </c>
      <c r="AH40" s="81" t="b">
        <v>1</v>
      </c>
      <c r="AI40" s="81" t="s">
        <v>1150</v>
      </c>
      <c r="AJ40" s="81"/>
      <c r="AK40" s="89" t="s">
        <v>1160</v>
      </c>
      <c r="AL40" s="81" t="b">
        <v>0</v>
      </c>
      <c r="AM40" s="81">
        <v>7</v>
      </c>
      <c r="AN40" s="89" t="s">
        <v>1119</v>
      </c>
      <c r="AO40" s="81" t="s">
        <v>1176</v>
      </c>
      <c r="AP40" s="81" t="b">
        <v>0</v>
      </c>
      <c r="AQ40" s="89" t="s">
        <v>1119</v>
      </c>
      <c r="AR40" s="81" t="s">
        <v>325</v>
      </c>
      <c r="AS40" s="81">
        <v>0</v>
      </c>
      <c r="AT40" s="81">
        <v>0</v>
      </c>
      <c r="AU40" s="81"/>
      <c r="AV40" s="81"/>
      <c r="AW40" s="81"/>
      <c r="AX40" s="81"/>
      <c r="AY40" s="81"/>
      <c r="AZ40" s="81"/>
      <c r="BA40" s="81"/>
      <c r="BB40" s="81"/>
      <c r="BC40">
        <v>1</v>
      </c>
      <c r="BD40" s="80" t="str">
        <f>REPLACE(INDEX(GroupVertices[Group],MATCH(Edges25[[#This Row],[Vertex 1]],GroupVertices[Vertex],0)),1,1,"")</f>
        <v>9</v>
      </c>
      <c r="BE40" s="80" t="str">
        <f>REPLACE(INDEX(GroupVertices[Group],MATCH(Edges25[[#This Row],[Vertex 2]],GroupVertices[Vertex],0)),1,1,"")</f>
        <v>9</v>
      </c>
      <c r="BF40" s="48">
        <v>1</v>
      </c>
      <c r="BG40" s="49">
        <v>16.666666666666668</v>
      </c>
      <c r="BH40" s="48">
        <v>0</v>
      </c>
      <c r="BI40" s="49">
        <v>0</v>
      </c>
      <c r="BJ40" s="48">
        <v>0</v>
      </c>
      <c r="BK40" s="49">
        <v>0</v>
      </c>
      <c r="BL40" s="48">
        <v>5</v>
      </c>
      <c r="BM40" s="49">
        <v>83.33333333333333</v>
      </c>
      <c r="BN40" s="48">
        <v>6</v>
      </c>
    </row>
    <row r="41" spans="1:66" ht="15">
      <c r="A41" s="66" t="s">
        <v>400</v>
      </c>
      <c r="B41" s="66" t="s">
        <v>526</v>
      </c>
      <c r="C41" s="67"/>
      <c r="D41" s="68"/>
      <c r="E41" s="69"/>
      <c r="F41" s="70"/>
      <c r="G41" s="67"/>
      <c r="H41" s="71"/>
      <c r="I41" s="72"/>
      <c r="J41" s="72"/>
      <c r="K41" s="34" t="s">
        <v>65</v>
      </c>
      <c r="L41" s="79">
        <v>68</v>
      </c>
      <c r="M41" s="79"/>
      <c r="N41" s="74"/>
      <c r="O41" s="81" t="s">
        <v>587</v>
      </c>
      <c r="P41" s="83">
        <v>44004.598715277774</v>
      </c>
      <c r="Q41" s="81" t="s">
        <v>599</v>
      </c>
      <c r="R41" s="84" t="str">
        <f>HYPERLINK("https://interactive.aljazeera.com/aje/2020/saving-the-nile/index.html")</f>
        <v>https://interactive.aljazeera.com/aje/2020/saving-the-nile/index.html</v>
      </c>
      <c r="S41" s="81" t="s">
        <v>678</v>
      </c>
      <c r="T41" s="81" t="s">
        <v>703</v>
      </c>
      <c r="U41" s="81"/>
      <c r="V41" s="84" t="str">
        <f>HYPERLINK("http://abs.twimg.com/sticky/default_profile_images/default_profile_normal.png")</f>
        <v>http://abs.twimg.com/sticky/default_profile_images/default_profile_normal.png</v>
      </c>
      <c r="W41" s="83">
        <v>44004.598715277774</v>
      </c>
      <c r="X41" s="87">
        <v>44004</v>
      </c>
      <c r="Y41" s="89" t="s">
        <v>767</v>
      </c>
      <c r="Z41" s="84" t="str">
        <f>HYPERLINK("https://twitter.com/rorisangshomang/status/1275071583497777153")</f>
        <v>https://twitter.com/rorisangshomang/status/1275071583497777153</v>
      </c>
      <c r="AA41" s="81"/>
      <c r="AB41" s="81"/>
      <c r="AC41" s="89" t="s">
        <v>976</v>
      </c>
      <c r="AD41" s="81"/>
      <c r="AE41" s="81" t="b">
        <v>0</v>
      </c>
      <c r="AF41" s="81">
        <v>0</v>
      </c>
      <c r="AG41" s="89" t="s">
        <v>1149</v>
      </c>
      <c r="AH41" s="81" t="b">
        <v>0</v>
      </c>
      <c r="AI41" s="81" t="s">
        <v>1150</v>
      </c>
      <c r="AJ41" s="81"/>
      <c r="AK41" s="89" t="s">
        <v>1149</v>
      </c>
      <c r="AL41" s="81" t="b">
        <v>0</v>
      </c>
      <c r="AM41" s="81">
        <v>0</v>
      </c>
      <c r="AN41" s="89" t="s">
        <v>1149</v>
      </c>
      <c r="AO41" s="81" t="s">
        <v>1176</v>
      </c>
      <c r="AP41" s="81" t="b">
        <v>0</v>
      </c>
      <c r="AQ41" s="89" t="s">
        <v>976</v>
      </c>
      <c r="AR41" s="81" t="s">
        <v>325</v>
      </c>
      <c r="AS41" s="81">
        <v>0</v>
      </c>
      <c r="AT41" s="81">
        <v>0</v>
      </c>
      <c r="AU41" s="81"/>
      <c r="AV41" s="81"/>
      <c r="AW41" s="81"/>
      <c r="AX41" s="81"/>
      <c r="AY41" s="81"/>
      <c r="AZ41" s="81"/>
      <c r="BA41" s="81"/>
      <c r="BB41" s="81"/>
      <c r="BC41">
        <v>1</v>
      </c>
      <c r="BD41" s="80" t="str">
        <f>REPLACE(INDEX(GroupVertices[Group],MATCH(Edges25[[#This Row],[Vertex 1]],GroupVertices[Vertex],0)),1,1,"")</f>
        <v>3</v>
      </c>
      <c r="BE41" s="80" t="str">
        <f>REPLACE(INDEX(GroupVertices[Group],MATCH(Edges25[[#This Row],[Vertex 2]],GroupVertices[Vertex],0)),1,1,"")</f>
        <v>3</v>
      </c>
      <c r="BF41" s="48"/>
      <c r="BG41" s="49"/>
      <c r="BH41" s="48"/>
      <c r="BI41" s="49"/>
      <c r="BJ41" s="48"/>
      <c r="BK41" s="49"/>
      <c r="BL41" s="48"/>
      <c r="BM41" s="49"/>
      <c r="BN41" s="48"/>
    </row>
    <row r="42" spans="1:66" ht="15">
      <c r="A42" s="66" t="s">
        <v>401</v>
      </c>
      <c r="B42" s="66" t="s">
        <v>526</v>
      </c>
      <c r="C42" s="67"/>
      <c r="D42" s="68"/>
      <c r="E42" s="69"/>
      <c r="F42" s="70"/>
      <c r="G42" s="67"/>
      <c r="H42" s="71"/>
      <c r="I42" s="72"/>
      <c r="J42" s="72"/>
      <c r="K42" s="34" t="s">
        <v>65</v>
      </c>
      <c r="L42" s="79">
        <v>70</v>
      </c>
      <c r="M42" s="79"/>
      <c r="N42" s="74"/>
      <c r="O42" s="81" t="s">
        <v>587</v>
      </c>
      <c r="P42" s="83">
        <v>44004.61444444444</v>
      </c>
      <c r="Q42" s="81" t="s">
        <v>600</v>
      </c>
      <c r="R42" s="84" t="str">
        <f>HYPERLINK("https://interactive.aljazeera.com/aje/2020/saving-the-nile/index.html")</f>
        <v>https://interactive.aljazeera.com/aje/2020/saving-the-nile/index.html</v>
      </c>
      <c r="S42" s="81" t="s">
        <v>678</v>
      </c>
      <c r="T42" s="81" t="s">
        <v>703</v>
      </c>
      <c r="U42" s="81"/>
      <c r="V42" s="84" t="str">
        <f>HYPERLINK("http://pbs.twimg.com/profile_images/1154077318664663041/hcieLb5Z_normal.jpg")</f>
        <v>http://pbs.twimg.com/profile_images/1154077318664663041/hcieLb5Z_normal.jpg</v>
      </c>
      <c r="W42" s="83">
        <v>44004.61444444444</v>
      </c>
      <c r="X42" s="87">
        <v>44004</v>
      </c>
      <c r="Y42" s="89" t="s">
        <v>768</v>
      </c>
      <c r="Z42" s="84" t="str">
        <f>HYPERLINK("https://twitter.com/natalia_ojewska/status/1275077283196227584")</f>
        <v>https://twitter.com/natalia_ojewska/status/1275077283196227584</v>
      </c>
      <c r="AA42" s="81"/>
      <c r="AB42" s="81"/>
      <c r="AC42" s="89" t="s">
        <v>977</v>
      </c>
      <c r="AD42" s="81"/>
      <c r="AE42" s="81" t="b">
        <v>0</v>
      </c>
      <c r="AF42" s="81">
        <v>0</v>
      </c>
      <c r="AG42" s="89" t="s">
        <v>1149</v>
      </c>
      <c r="AH42" s="81" t="b">
        <v>0</v>
      </c>
      <c r="AI42" s="81" t="s">
        <v>1150</v>
      </c>
      <c r="AJ42" s="81"/>
      <c r="AK42" s="89" t="s">
        <v>1149</v>
      </c>
      <c r="AL42" s="81" t="b">
        <v>0</v>
      </c>
      <c r="AM42" s="81">
        <v>0</v>
      </c>
      <c r="AN42" s="89" t="s">
        <v>1149</v>
      </c>
      <c r="AO42" s="81" t="s">
        <v>1172</v>
      </c>
      <c r="AP42" s="81" t="b">
        <v>0</v>
      </c>
      <c r="AQ42" s="89" t="s">
        <v>977</v>
      </c>
      <c r="AR42" s="81" t="s">
        <v>325</v>
      </c>
      <c r="AS42" s="81">
        <v>0</v>
      </c>
      <c r="AT42" s="81">
        <v>0</v>
      </c>
      <c r="AU42" s="81"/>
      <c r="AV42" s="81"/>
      <c r="AW42" s="81"/>
      <c r="AX42" s="81"/>
      <c r="AY42" s="81"/>
      <c r="AZ42" s="81"/>
      <c r="BA42" s="81"/>
      <c r="BB42" s="81"/>
      <c r="BC42">
        <v>1</v>
      </c>
      <c r="BD42" s="80" t="str">
        <f>REPLACE(INDEX(GroupVertices[Group],MATCH(Edges25[[#This Row],[Vertex 1]],GroupVertices[Vertex],0)),1,1,"")</f>
        <v>3</v>
      </c>
      <c r="BE42" s="80" t="str">
        <f>REPLACE(INDEX(GroupVertices[Group],MATCH(Edges25[[#This Row],[Vertex 2]],GroupVertices[Vertex],0)),1,1,"")</f>
        <v>3</v>
      </c>
      <c r="BF42" s="48"/>
      <c r="BG42" s="49"/>
      <c r="BH42" s="48"/>
      <c r="BI42" s="49"/>
      <c r="BJ42" s="48"/>
      <c r="BK42" s="49"/>
      <c r="BL42" s="48"/>
      <c r="BM42" s="49"/>
      <c r="BN42" s="48"/>
    </row>
    <row r="43" spans="1:66" ht="15">
      <c r="A43" s="66" t="s">
        <v>402</v>
      </c>
      <c r="B43" s="66" t="s">
        <v>528</v>
      </c>
      <c r="C43" s="67"/>
      <c r="D43" s="68"/>
      <c r="E43" s="69"/>
      <c r="F43" s="70"/>
      <c r="G43" s="67"/>
      <c r="H43" s="71"/>
      <c r="I43" s="72"/>
      <c r="J43" s="72"/>
      <c r="K43" s="34" t="s">
        <v>65</v>
      </c>
      <c r="L43" s="79">
        <v>72</v>
      </c>
      <c r="M43" s="79"/>
      <c r="N43" s="74"/>
      <c r="O43" s="81" t="s">
        <v>588</v>
      </c>
      <c r="P43" s="83">
        <v>44004.622511574074</v>
      </c>
      <c r="Q43" s="81" t="s">
        <v>601</v>
      </c>
      <c r="R43" s="81"/>
      <c r="S43" s="81"/>
      <c r="T43" s="81" t="s">
        <v>704</v>
      </c>
      <c r="U43" s="81"/>
      <c r="V43" s="84" t="str">
        <f>HYPERLINK("http://pbs.twimg.com/profile_images/1054905398749265920/6BN7Qsue_normal.jpg")</f>
        <v>http://pbs.twimg.com/profile_images/1054905398749265920/6BN7Qsue_normal.jpg</v>
      </c>
      <c r="W43" s="83">
        <v>44004.622511574074</v>
      </c>
      <c r="X43" s="87">
        <v>44004</v>
      </c>
      <c r="Y43" s="89" t="s">
        <v>769</v>
      </c>
      <c r="Z43" s="84" t="str">
        <f>HYPERLINK("https://twitter.com/_davidmeidinger/status/1275080204541517826")</f>
        <v>https://twitter.com/_davidmeidinger/status/1275080204541517826</v>
      </c>
      <c r="AA43" s="81"/>
      <c r="AB43" s="81"/>
      <c r="AC43" s="89" t="s">
        <v>978</v>
      </c>
      <c r="AD43" s="81"/>
      <c r="AE43" s="81" t="b">
        <v>0</v>
      </c>
      <c r="AF43" s="81">
        <v>0</v>
      </c>
      <c r="AG43" s="89" t="s">
        <v>1149</v>
      </c>
      <c r="AH43" s="81" t="b">
        <v>0</v>
      </c>
      <c r="AI43" s="81" t="s">
        <v>1152</v>
      </c>
      <c r="AJ43" s="81"/>
      <c r="AK43" s="89" t="s">
        <v>1149</v>
      </c>
      <c r="AL43" s="81" t="b">
        <v>0</v>
      </c>
      <c r="AM43" s="81">
        <v>3</v>
      </c>
      <c r="AN43" s="89" t="s">
        <v>1146</v>
      </c>
      <c r="AO43" s="81" t="s">
        <v>1176</v>
      </c>
      <c r="AP43" s="81" t="b">
        <v>0</v>
      </c>
      <c r="AQ43" s="89" t="s">
        <v>1146</v>
      </c>
      <c r="AR43" s="81" t="s">
        <v>325</v>
      </c>
      <c r="AS43" s="81">
        <v>0</v>
      </c>
      <c r="AT43" s="81">
        <v>0</v>
      </c>
      <c r="AU43" s="81"/>
      <c r="AV43" s="81"/>
      <c r="AW43" s="81"/>
      <c r="AX43" s="81"/>
      <c r="AY43" s="81"/>
      <c r="AZ43" s="81"/>
      <c r="BA43" s="81"/>
      <c r="BB43" s="81"/>
      <c r="BC43">
        <v>1</v>
      </c>
      <c r="BD43" s="80" t="str">
        <f>REPLACE(INDEX(GroupVertices[Group],MATCH(Edges25[[#This Row],[Vertex 1]],GroupVertices[Vertex],0)),1,1,"")</f>
        <v>10</v>
      </c>
      <c r="BE43" s="80" t="str">
        <f>REPLACE(INDEX(GroupVertices[Group],MATCH(Edges25[[#This Row],[Vertex 2]],GroupVertices[Vertex],0)),1,1,"")</f>
        <v>10</v>
      </c>
      <c r="BF43" s="48"/>
      <c r="BG43" s="49"/>
      <c r="BH43" s="48"/>
      <c r="BI43" s="49"/>
      <c r="BJ43" s="48"/>
      <c r="BK43" s="49"/>
      <c r="BL43" s="48"/>
      <c r="BM43" s="49"/>
      <c r="BN43" s="48"/>
    </row>
    <row r="44" spans="1:66" ht="15">
      <c r="A44" s="66" t="s">
        <v>403</v>
      </c>
      <c r="B44" s="66" t="s">
        <v>528</v>
      </c>
      <c r="C44" s="67"/>
      <c r="D44" s="68"/>
      <c r="E44" s="69"/>
      <c r="F44" s="70"/>
      <c r="G44" s="67"/>
      <c r="H44" s="71"/>
      <c r="I44" s="72"/>
      <c r="J44" s="72"/>
      <c r="K44" s="34" t="s">
        <v>65</v>
      </c>
      <c r="L44" s="79">
        <v>74</v>
      </c>
      <c r="M44" s="79"/>
      <c r="N44" s="74"/>
      <c r="O44" s="81" t="s">
        <v>588</v>
      </c>
      <c r="P44" s="83">
        <v>44004.623819444445</v>
      </c>
      <c r="Q44" s="81" t="s">
        <v>601</v>
      </c>
      <c r="R44" s="81"/>
      <c r="S44" s="81"/>
      <c r="T44" s="81" t="s">
        <v>704</v>
      </c>
      <c r="U44" s="81"/>
      <c r="V44" s="84" t="str">
        <f>HYPERLINK("http://pbs.twimg.com/profile_images/1031312316430725120/IzOnwH8b_normal.jpg")</f>
        <v>http://pbs.twimg.com/profile_images/1031312316430725120/IzOnwH8b_normal.jpg</v>
      </c>
      <c r="W44" s="83">
        <v>44004.623819444445</v>
      </c>
      <c r="X44" s="87">
        <v>44004</v>
      </c>
      <c r="Y44" s="89" t="s">
        <v>770</v>
      </c>
      <c r="Z44" s="84" t="str">
        <f>HYPERLINK("https://twitter.com/michael_gegg/status/1275080678279794691")</f>
        <v>https://twitter.com/michael_gegg/status/1275080678279794691</v>
      </c>
      <c r="AA44" s="81"/>
      <c r="AB44" s="81"/>
      <c r="AC44" s="89" t="s">
        <v>979</v>
      </c>
      <c r="AD44" s="81"/>
      <c r="AE44" s="81" t="b">
        <v>0</v>
      </c>
      <c r="AF44" s="81">
        <v>0</v>
      </c>
      <c r="AG44" s="89" t="s">
        <v>1149</v>
      </c>
      <c r="AH44" s="81" t="b">
        <v>0</v>
      </c>
      <c r="AI44" s="81" t="s">
        <v>1152</v>
      </c>
      <c r="AJ44" s="81"/>
      <c r="AK44" s="89" t="s">
        <v>1149</v>
      </c>
      <c r="AL44" s="81" t="b">
        <v>0</v>
      </c>
      <c r="AM44" s="81">
        <v>3</v>
      </c>
      <c r="AN44" s="89" t="s">
        <v>1146</v>
      </c>
      <c r="AO44" s="81" t="s">
        <v>1165</v>
      </c>
      <c r="AP44" s="81" t="b">
        <v>0</v>
      </c>
      <c r="AQ44" s="89" t="s">
        <v>1146</v>
      </c>
      <c r="AR44" s="81" t="s">
        <v>325</v>
      </c>
      <c r="AS44" s="81">
        <v>0</v>
      </c>
      <c r="AT44" s="81">
        <v>0</v>
      </c>
      <c r="AU44" s="81"/>
      <c r="AV44" s="81"/>
      <c r="AW44" s="81"/>
      <c r="AX44" s="81"/>
      <c r="AY44" s="81"/>
      <c r="AZ44" s="81"/>
      <c r="BA44" s="81"/>
      <c r="BB44" s="81"/>
      <c r="BC44">
        <v>1</v>
      </c>
      <c r="BD44" s="80" t="str">
        <f>REPLACE(INDEX(GroupVertices[Group],MATCH(Edges25[[#This Row],[Vertex 1]],GroupVertices[Vertex],0)),1,1,"")</f>
        <v>10</v>
      </c>
      <c r="BE44" s="80" t="str">
        <f>REPLACE(INDEX(GroupVertices[Group],MATCH(Edges25[[#This Row],[Vertex 2]],GroupVertices[Vertex],0)),1,1,"")</f>
        <v>10</v>
      </c>
      <c r="BF44" s="48"/>
      <c r="BG44" s="49"/>
      <c r="BH44" s="48"/>
      <c r="BI44" s="49"/>
      <c r="BJ44" s="48"/>
      <c r="BK44" s="49"/>
      <c r="BL44" s="48"/>
      <c r="BM44" s="49"/>
      <c r="BN44" s="48"/>
    </row>
    <row r="45" spans="1:66" ht="15">
      <c r="A45" s="66" t="s">
        <v>404</v>
      </c>
      <c r="B45" s="66" t="s">
        <v>529</v>
      </c>
      <c r="C45" s="67"/>
      <c r="D45" s="68"/>
      <c r="E45" s="69"/>
      <c r="F45" s="70"/>
      <c r="G45" s="67"/>
      <c r="H45" s="71"/>
      <c r="I45" s="72"/>
      <c r="J45" s="72"/>
      <c r="K45" s="34" t="s">
        <v>65</v>
      </c>
      <c r="L45" s="79">
        <v>76</v>
      </c>
      <c r="M45" s="79"/>
      <c r="N45" s="74"/>
      <c r="O45" s="81" t="s">
        <v>588</v>
      </c>
      <c r="P45" s="83">
        <v>44004.63253472222</v>
      </c>
      <c r="Q45" s="81" t="s">
        <v>602</v>
      </c>
      <c r="R45" s="81"/>
      <c r="S45" s="81"/>
      <c r="T45" s="81"/>
      <c r="U45" s="81"/>
      <c r="V45" s="84" t="str">
        <f>HYPERLINK("http://pbs.twimg.com/profile_images/1049422406476009472/MXDKrEeP_normal.jpg")</f>
        <v>http://pbs.twimg.com/profile_images/1049422406476009472/MXDKrEeP_normal.jpg</v>
      </c>
      <c r="W45" s="83">
        <v>44004.63253472222</v>
      </c>
      <c r="X45" s="87">
        <v>44004</v>
      </c>
      <c r="Y45" s="89" t="s">
        <v>771</v>
      </c>
      <c r="Z45" s="84" t="str">
        <f>HYPERLINK("https://twitter.com/emielvnh/status/1275083837018603520")</f>
        <v>https://twitter.com/emielvnh/status/1275083837018603520</v>
      </c>
      <c r="AA45" s="81"/>
      <c r="AB45" s="81"/>
      <c r="AC45" s="89" t="s">
        <v>980</v>
      </c>
      <c r="AD45" s="81"/>
      <c r="AE45" s="81" t="b">
        <v>0</v>
      </c>
      <c r="AF45" s="81">
        <v>0</v>
      </c>
      <c r="AG45" s="89" t="s">
        <v>1149</v>
      </c>
      <c r="AH45" s="81" t="b">
        <v>0</v>
      </c>
      <c r="AI45" s="81" t="s">
        <v>1153</v>
      </c>
      <c r="AJ45" s="81"/>
      <c r="AK45" s="89" t="s">
        <v>1149</v>
      </c>
      <c r="AL45" s="81" t="b">
        <v>0</v>
      </c>
      <c r="AM45" s="81">
        <v>3</v>
      </c>
      <c r="AN45" s="89" t="s">
        <v>1108</v>
      </c>
      <c r="AO45" s="81" t="s">
        <v>1176</v>
      </c>
      <c r="AP45" s="81" t="b">
        <v>0</v>
      </c>
      <c r="AQ45" s="89" t="s">
        <v>1108</v>
      </c>
      <c r="AR45" s="81" t="s">
        <v>325</v>
      </c>
      <c r="AS45" s="81">
        <v>0</v>
      </c>
      <c r="AT45" s="81">
        <v>0</v>
      </c>
      <c r="AU45" s="81"/>
      <c r="AV45" s="81"/>
      <c r="AW45" s="81"/>
      <c r="AX45" s="81"/>
      <c r="AY45" s="81"/>
      <c r="AZ45" s="81"/>
      <c r="BA45" s="81"/>
      <c r="BB45" s="81"/>
      <c r="BC45">
        <v>1</v>
      </c>
      <c r="BD45" s="80" t="str">
        <f>REPLACE(INDEX(GroupVertices[Group],MATCH(Edges25[[#This Row],[Vertex 1]],GroupVertices[Vertex],0)),1,1,"")</f>
        <v>11</v>
      </c>
      <c r="BE45" s="80" t="str">
        <f>REPLACE(INDEX(GroupVertices[Group],MATCH(Edges25[[#This Row],[Vertex 2]],GroupVertices[Vertex],0)),1,1,"")</f>
        <v>11</v>
      </c>
      <c r="BF45" s="48"/>
      <c r="BG45" s="49"/>
      <c r="BH45" s="48"/>
      <c r="BI45" s="49"/>
      <c r="BJ45" s="48"/>
      <c r="BK45" s="49"/>
      <c r="BL45" s="48"/>
      <c r="BM45" s="49"/>
      <c r="BN45" s="48"/>
    </row>
    <row r="46" spans="1:66" ht="15">
      <c r="A46" s="66" t="s">
        <v>405</v>
      </c>
      <c r="B46" s="66" t="s">
        <v>405</v>
      </c>
      <c r="C46" s="67"/>
      <c r="D46" s="68"/>
      <c r="E46" s="69"/>
      <c r="F46" s="70"/>
      <c r="G46" s="67"/>
      <c r="H46" s="71"/>
      <c r="I46" s="72"/>
      <c r="J46" s="72"/>
      <c r="K46" s="34" t="s">
        <v>65</v>
      </c>
      <c r="L46" s="79">
        <v>78</v>
      </c>
      <c r="M46" s="79"/>
      <c r="N46" s="74"/>
      <c r="O46" s="81" t="s">
        <v>325</v>
      </c>
      <c r="P46" s="83">
        <v>44004.633125</v>
      </c>
      <c r="Q46" s="81" t="s">
        <v>603</v>
      </c>
      <c r="R46" s="81"/>
      <c r="S46" s="81"/>
      <c r="T46" s="81" t="s">
        <v>705</v>
      </c>
      <c r="U46" s="84" t="str">
        <f>HYPERLINK("https://pbs.twimg.com/media/EbICLqEVAAAQBsJ.jpg")</f>
        <v>https://pbs.twimg.com/media/EbICLqEVAAAQBsJ.jpg</v>
      </c>
      <c r="V46" s="84" t="str">
        <f>HYPERLINK("https://pbs.twimg.com/media/EbICLqEVAAAQBsJ.jpg")</f>
        <v>https://pbs.twimg.com/media/EbICLqEVAAAQBsJ.jpg</v>
      </c>
      <c r="W46" s="83">
        <v>44004.633125</v>
      </c>
      <c r="X46" s="87">
        <v>44004</v>
      </c>
      <c r="Y46" s="89" t="s">
        <v>772</v>
      </c>
      <c r="Z46" s="84" t="str">
        <f>HYPERLINK("https://twitter.com/mikaelmusic1/status/1275084049728409601")</f>
        <v>https://twitter.com/mikaelmusic1/status/1275084049728409601</v>
      </c>
      <c r="AA46" s="81"/>
      <c r="AB46" s="81"/>
      <c r="AC46" s="89" t="s">
        <v>981</v>
      </c>
      <c r="AD46" s="81"/>
      <c r="AE46" s="81" t="b">
        <v>0</v>
      </c>
      <c r="AF46" s="81">
        <v>1</v>
      </c>
      <c r="AG46" s="89" t="s">
        <v>1149</v>
      </c>
      <c r="AH46" s="81" t="b">
        <v>0</v>
      </c>
      <c r="AI46" s="81" t="s">
        <v>1154</v>
      </c>
      <c r="AJ46" s="81"/>
      <c r="AK46" s="89" t="s">
        <v>1149</v>
      </c>
      <c r="AL46" s="81" t="b">
        <v>0</v>
      </c>
      <c r="AM46" s="81">
        <v>0</v>
      </c>
      <c r="AN46" s="89" t="s">
        <v>1149</v>
      </c>
      <c r="AO46" s="81" t="s">
        <v>1176</v>
      </c>
      <c r="AP46" s="81" t="b">
        <v>0</v>
      </c>
      <c r="AQ46" s="89" t="s">
        <v>981</v>
      </c>
      <c r="AR46" s="81" t="s">
        <v>325</v>
      </c>
      <c r="AS46" s="81">
        <v>0</v>
      </c>
      <c r="AT46" s="81">
        <v>0</v>
      </c>
      <c r="AU46" s="81"/>
      <c r="AV46" s="81"/>
      <c r="AW46" s="81"/>
      <c r="AX46" s="81"/>
      <c r="AY46" s="81"/>
      <c r="AZ46" s="81"/>
      <c r="BA46" s="81"/>
      <c r="BB46" s="81"/>
      <c r="BC46">
        <v>1</v>
      </c>
      <c r="BD46" s="80" t="str">
        <f>REPLACE(INDEX(GroupVertices[Group],MATCH(Edges25[[#This Row],[Vertex 1]],GroupVertices[Vertex],0)),1,1,"")</f>
        <v>8</v>
      </c>
      <c r="BE46" s="80" t="str">
        <f>REPLACE(INDEX(GroupVertices[Group],MATCH(Edges25[[#This Row],[Vertex 2]],GroupVertices[Vertex],0)),1,1,"")</f>
        <v>8</v>
      </c>
      <c r="BF46" s="48">
        <v>0</v>
      </c>
      <c r="BG46" s="49">
        <v>0</v>
      </c>
      <c r="BH46" s="48">
        <v>0</v>
      </c>
      <c r="BI46" s="49">
        <v>0</v>
      </c>
      <c r="BJ46" s="48">
        <v>0</v>
      </c>
      <c r="BK46" s="49">
        <v>0</v>
      </c>
      <c r="BL46" s="48">
        <v>23</v>
      </c>
      <c r="BM46" s="49">
        <v>100</v>
      </c>
      <c r="BN46" s="48">
        <v>23</v>
      </c>
    </row>
    <row r="47" spans="1:66" ht="15">
      <c r="A47" s="66" t="s">
        <v>406</v>
      </c>
      <c r="B47" s="66" t="s">
        <v>529</v>
      </c>
      <c r="C47" s="67"/>
      <c r="D47" s="68"/>
      <c r="E47" s="69"/>
      <c r="F47" s="70"/>
      <c r="G47" s="67"/>
      <c r="H47" s="71"/>
      <c r="I47" s="72"/>
      <c r="J47" s="72"/>
      <c r="K47" s="34" t="s">
        <v>65</v>
      </c>
      <c r="L47" s="79">
        <v>79</v>
      </c>
      <c r="M47" s="79"/>
      <c r="N47" s="74"/>
      <c r="O47" s="81" t="s">
        <v>588</v>
      </c>
      <c r="P47" s="83">
        <v>44004.645590277774</v>
      </c>
      <c r="Q47" s="81" t="s">
        <v>602</v>
      </c>
      <c r="R47" s="81"/>
      <c r="S47" s="81"/>
      <c r="T47" s="81"/>
      <c r="U47" s="81"/>
      <c r="V47" s="84" t="str">
        <f>HYPERLINK("http://pbs.twimg.com/profile_images/1245331442130980869/RdGTsJZQ_normal.jpg")</f>
        <v>http://pbs.twimg.com/profile_images/1245331442130980869/RdGTsJZQ_normal.jpg</v>
      </c>
      <c r="W47" s="83">
        <v>44004.645590277774</v>
      </c>
      <c r="X47" s="87">
        <v>44004</v>
      </c>
      <c r="Y47" s="89" t="s">
        <v>773</v>
      </c>
      <c r="Z47" s="84" t="str">
        <f>HYPERLINK("https://twitter.com/alex_vnc_/status/1275088570869571586")</f>
        <v>https://twitter.com/alex_vnc_/status/1275088570869571586</v>
      </c>
      <c r="AA47" s="81"/>
      <c r="AB47" s="81"/>
      <c r="AC47" s="89" t="s">
        <v>982</v>
      </c>
      <c r="AD47" s="81"/>
      <c r="AE47" s="81" t="b">
        <v>0</v>
      </c>
      <c r="AF47" s="81">
        <v>0</v>
      </c>
      <c r="AG47" s="89" t="s">
        <v>1149</v>
      </c>
      <c r="AH47" s="81" t="b">
        <v>0</v>
      </c>
      <c r="AI47" s="81" t="s">
        <v>1153</v>
      </c>
      <c r="AJ47" s="81"/>
      <c r="AK47" s="89" t="s">
        <v>1149</v>
      </c>
      <c r="AL47" s="81" t="b">
        <v>0</v>
      </c>
      <c r="AM47" s="81">
        <v>3</v>
      </c>
      <c r="AN47" s="89" t="s">
        <v>1108</v>
      </c>
      <c r="AO47" s="81" t="s">
        <v>1176</v>
      </c>
      <c r="AP47" s="81" t="b">
        <v>0</v>
      </c>
      <c r="AQ47" s="89" t="s">
        <v>1108</v>
      </c>
      <c r="AR47" s="81" t="s">
        <v>325</v>
      </c>
      <c r="AS47" s="81">
        <v>0</v>
      </c>
      <c r="AT47" s="81">
        <v>0</v>
      </c>
      <c r="AU47" s="81"/>
      <c r="AV47" s="81"/>
      <c r="AW47" s="81"/>
      <c r="AX47" s="81"/>
      <c r="AY47" s="81"/>
      <c r="AZ47" s="81"/>
      <c r="BA47" s="81"/>
      <c r="BB47" s="81"/>
      <c r="BC47">
        <v>1</v>
      </c>
      <c r="BD47" s="80" t="str">
        <f>REPLACE(INDEX(GroupVertices[Group],MATCH(Edges25[[#This Row],[Vertex 1]],GroupVertices[Vertex],0)),1,1,"")</f>
        <v>11</v>
      </c>
      <c r="BE47" s="80" t="str">
        <f>REPLACE(INDEX(GroupVertices[Group],MATCH(Edges25[[#This Row],[Vertex 2]],GroupVertices[Vertex],0)),1,1,"")</f>
        <v>11</v>
      </c>
      <c r="BF47" s="48"/>
      <c r="BG47" s="49"/>
      <c r="BH47" s="48"/>
      <c r="BI47" s="49"/>
      <c r="BJ47" s="48"/>
      <c r="BK47" s="49"/>
      <c r="BL47" s="48"/>
      <c r="BM47" s="49"/>
      <c r="BN47" s="48"/>
    </row>
    <row r="48" spans="1:66" ht="15">
      <c r="A48" s="66" t="s">
        <v>407</v>
      </c>
      <c r="B48" s="66" t="s">
        <v>530</v>
      </c>
      <c r="C48" s="67"/>
      <c r="D48" s="68"/>
      <c r="E48" s="69"/>
      <c r="F48" s="70"/>
      <c r="G48" s="67"/>
      <c r="H48" s="71"/>
      <c r="I48" s="72"/>
      <c r="J48" s="72"/>
      <c r="K48" s="34" t="s">
        <v>65</v>
      </c>
      <c r="L48" s="79">
        <v>81</v>
      </c>
      <c r="M48" s="79"/>
      <c r="N48" s="74"/>
      <c r="O48" s="81" t="s">
        <v>588</v>
      </c>
      <c r="P48" s="83">
        <v>44004.64983796296</v>
      </c>
      <c r="Q48" s="81" t="s">
        <v>604</v>
      </c>
      <c r="R48" s="81"/>
      <c r="S48" s="81"/>
      <c r="T48" s="81" t="s">
        <v>706</v>
      </c>
      <c r="U48" s="81"/>
      <c r="V48" s="84" t="str">
        <f>HYPERLINK("http://pbs.twimg.com/profile_images/1188845400595275776/0wa5l7cr_normal.jpg")</f>
        <v>http://pbs.twimg.com/profile_images/1188845400595275776/0wa5l7cr_normal.jpg</v>
      </c>
      <c r="W48" s="83">
        <v>44004.64983796296</v>
      </c>
      <c r="X48" s="87">
        <v>44004</v>
      </c>
      <c r="Y48" s="89" t="s">
        <v>774</v>
      </c>
      <c r="Z48" s="84" t="str">
        <f>HYPERLINK("https://twitter.com/konstantinosant/status/1275090109654859776")</f>
        <v>https://twitter.com/konstantinosant/status/1275090109654859776</v>
      </c>
      <c r="AA48" s="81"/>
      <c r="AB48" s="81"/>
      <c r="AC48" s="89" t="s">
        <v>983</v>
      </c>
      <c r="AD48" s="81"/>
      <c r="AE48" s="81" t="b">
        <v>0</v>
      </c>
      <c r="AF48" s="81">
        <v>0</v>
      </c>
      <c r="AG48" s="89" t="s">
        <v>1149</v>
      </c>
      <c r="AH48" s="81" t="b">
        <v>0</v>
      </c>
      <c r="AI48" s="81" t="s">
        <v>1150</v>
      </c>
      <c r="AJ48" s="81"/>
      <c r="AK48" s="89" t="s">
        <v>1149</v>
      </c>
      <c r="AL48" s="81" t="b">
        <v>0</v>
      </c>
      <c r="AM48" s="81">
        <v>3</v>
      </c>
      <c r="AN48" s="89" t="s">
        <v>996</v>
      </c>
      <c r="AO48" s="81" t="s">
        <v>1176</v>
      </c>
      <c r="AP48" s="81" t="b">
        <v>0</v>
      </c>
      <c r="AQ48" s="89" t="s">
        <v>996</v>
      </c>
      <c r="AR48" s="81" t="s">
        <v>325</v>
      </c>
      <c r="AS48" s="81">
        <v>0</v>
      </c>
      <c r="AT48" s="81">
        <v>0</v>
      </c>
      <c r="AU48" s="81"/>
      <c r="AV48" s="81"/>
      <c r="AW48" s="81"/>
      <c r="AX48" s="81"/>
      <c r="AY48" s="81"/>
      <c r="AZ48" s="81"/>
      <c r="BA48" s="81"/>
      <c r="BB48" s="81"/>
      <c r="BC48">
        <v>1</v>
      </c>
      <c r="BD48" s="80" t="str">
        <f>REPLACE(INDEX(GroupVertices[Group],MATCH(Edges25[[#This Row],[Vertex 1]],GroupVertices[Vertex],0)),1,1,"")</f>
        <v>12</v>
      </c>
      <c r="BE48" s="80" t="str">
        <f>REPLACE(INDEX(GroupVertices[Group],MATCH(Edges25[[#This Row],[Vertex 2]],GroupVertices[Vertex],0)),1,1,"")</f>
        <v>12</v>
      </c>
      <c r="BF48" s="48"/>
      <c r="BG48" s="49"/>
      <c r="BH48" s="48"/>
      <c r="BI48" s="49"/>
      <c r="BJ48" s="48"/>
      <c r="BK48" s="49"/>
      <c r="BL48" s="48"/>
      <c r="BM48" s="49"/>
      <c r="BN48" s="48"/>
    </row>
    <row r="49" spans="1:66" ht="15">
      <c r="A49" s="66" t="s">
        <v>408</v>
      </c>
      <c r="B49" s="66" t="s">
        <v>524</v>
      </c>
      <c r="C49" s="67"/>
      <c r="D49" s="68"/>
      <c r="E49" s="69"/>
      <c r="F49" s="70"/>
      <c r="G49" s="67"/>
      <c r="H49" s="71"/>
      <c r="I49" s="72"/>
      <c r="J49" s="72"/>
      <c r="K49" s="34" t="s">
        <v>65</v>
      </c>
      <c r="L49" s="79">
        <v>83</v>
      </c>
      <c r="M49" s="79"/>
      <c r="N49" s="74"/>
      <c r="O49" s="81" t="s">
        <v>588</v>
      </c>
      <c r="P49" s="83">
        <v>44004.652916666666</v>
      </c>
      <c r="Q49" s="81" t="s">
        <v>597</v>
      </c>
      <c r="R49" s="81"/>
      <c r="S49" s="81"/>
      <c r="T49" s="81" t="s">
        <v>699</v>
      </c>
      <c r="U49" s="81"/>
      <c r="V49" s="84" t="str">
        <f>HYPERLINK("http://pbs.twimg.com/profile_images/1067845427377119234/_jD5Ca22_normal.jpg")</f>
        <v>http://pbs.twimg.com/profile_images/1067845427377119234/_jD5Ca22_normal.jpg</v>
      </c>
      <c r="W49" s="83">
        <v>44004.652916666666</v>
      </c>
      <c r="X49" s="87">
        <v>44004</v>
      </c>
      <c r="Y49" s="89" t="s">
        <v>775</v>
      </c>
      <c r="Z49" s="84" t="str">
        <f>HYPERLINK("https://twitter.com/tikiblagojev/status/1275091225595523073")</f>
        <v>https://twitter.com/tikiblagojev/status/1275091225595523073</v>
      </c>
      <c r="AA49" s="81"/>
      <c r="AB49" s="81"/>
      <c r="AC49" s="89" t="s">
        <v>984</v>
      </c>
      <c r="AD49" s="81"/>
      <c r="AE49" s="81" t="b">
        <v>0</v>
      </c>
      <c r="AF49" s="81">
        <v>0</v>
      </c>
      <c r="AG49" s="89" t="s">
        <v>1149</v>
      </c>
      <c r="AH49" s="81" t="b">
        <v>0</v>
      </c>
      <c r="AI49" s="81" t="s">
        <v>1150</v>
      </c>
      <c r="AJ49" s="81"/>
      <c r="AK49" s="89" t="s">
        <v>1149</v>
      </c>
      <c r="AL49" s="81" t="b">
        <v>0</v>
      </c>
      <c r="AM49" s="81">
        <v>6</v>
      </c>
      <c r="AN49" s="89" t="s">
        <v>1124</v>
      </c>
      <c r="AO49" s="81" t="s">
        <v>1165</v>
      </c>
      <c r="AP49" s="81" t="b">
        <v>0</v>
      </c>
      <c r="AQ49" s="89" t="s">
        <v>1124</v>
      </c>
      <c r="AR49" s="81" t="s">
        <v>325</v>
      </c>
      <c r="AS49" s="81">
        <v>0</v>
      </c>
      <c r="AT49" s="81">
        <v>0</v>
      </c>
      <c r="AU49" s="81"/>
      <c r="AV49" s="81"/>
      <c r="AW49" s="81"/>
      <c r="AX49" s="81"/>
      <c r="AY49" s="81"/>
      <c r="AZ49" s="81"/>
      <c r="BA49" s="81"/>
      <c r="BB49" s="81"/>
      <c r="BC49">
        <v>1</v>
      </c>
      <c r="BD49" s="80" t="str">
        <f>REPLACE(INDEX(GroupVertices[Group],MATCH(Edges25[[#This Row],[Vertex 1]],GroupVertices[Vertex],0)),1,1,"")</f>
        <v>5</v>
      </c>
      <c r="BE49" s="80" t="str">
        <f>REPLACE(INDEX(GroupVertices[Group],MATCH(Edges25[[#This Row],[Vertex 2]],GroupVertices[Vertex],0)),1,1,"")</f>
        <v>5</v>
      </c>
      <c r="BF49" s="48"/>
      <c r="BG49" s="49"/>
      <c r="BH49" s="48"/>
      <c r="BI49" s="49"/>
      <c r="BJ49" s="48"/>
      <c r="BK49" s="49"/>
      <c r="BL49" s="48"/>
      <c r="BM49" s="49"/>
      <c r="BN49" s="48"/>
    </row>
    <row r="50" spans="1:66" ht="15">
      <c r="A50" s="66" t="s">
        <v>409</v>
      </c>
      <c r="B50" s="66" t="s">
        <v>531</v>
      </c>
      <c r="C50" s="67"/>
      <c r="D50" s="68"/>
      <c r="E50" s="69"/>
      <c r="F50" s="70"/>
      <c r="G50" s="67"/>
      <c r="H50" s="71"/>
      <c r="I50" s="72"/>
      <c r="J50" s="72"/>
      <c r="K50" s="34" t="s">
        <v>65</v>
      </c>
      <c r="L50" s="79">
        <v>86</v>
      </c>
      <c r="M50" s="79"/>
      <c r="N50" s="74"/>
      <c r="O50" s="81" t="s">
        <v>588</v>
      </c>
      <c r="P50" s="83">
        <v>44004.66960648148</v>
      </c>
      <c r="Q50" s="81" t="s">
        <v>605</v>
      </c>
      <c r="R50" s="81"/>
      <c r="S50" s="81"/>
      <c r="T50" s="81"/>
      <c r="U50" s="81"/>
      <c r="V50" s="84" t="str">
        <f>HYPERLINK("http://pbs.twimg.com/profile_images/2647814014/8f3c3c61ca163e32c3e085a5d8fd66e2_normal.jpeg")</f>
        <v>http://pbs.twimg.com/profile_images/2647814014/8f3c3c61ca163e32c3e085a5d8fd66e2_normal.jpeg</v>
      </c>
      <c r="W50" s="83">
        <v>44004.66960648148</v>
      </c>
      <c r="X50" s="87">
        <v>44004</v>
      </c>
      <c r="Y50" s="89" t="s">
        <v>776</v>
      </c>
      <c r="Z50" s="84" t="str">
        <f>HYPERLINK("https://twitter.com/glynmottershead/status/1275097273668636672")</f>
        <v>https://twitter.com/glynmottershead/status/1275097273668636672</v>
      </c>
      <c r="AA50" s="81"/>
      <c r="AB50" s="81"/>
      <c r="AC50" s="89" t="s">
        <v>985</v>
      </c>
      <c r="AD50" s="81"/>
      <c r="AE50" s="81" t="b">
        <v>0</v>
      </c>
      <c r="AF50" s="81">
        <v>0</v>
      </c>
      <c r="AG50" s="89" t="s">
        <v>1149</v>
      </c>
      <c r="AH50" s="81" t="b">
        <v>0</v>
      </c>
      <c r="AI50" s="81" t="s">
        <v>1150</v>
      </c>
      <c r="AJ50" s="81"/>
      <c r="AK50" s="89" t="s">
        <v>1149</v>
      </c>
      <c r="AL50" s="81" t="b">
        <v>0</v>
      </c>
      <c r="AM50" s="81">
        <v>5</v>
      </c>
      <c r="AN50" s="89" t="s">
        <v>994</v>
      </c>
      <c r="AO50" s="81" t="s">
        <v>1165</v>
      </c>
      <c r="AP50" s="81" t="b">
        <v>0</v>
      </c>
      <c r="AQ50" s="89" t="s">
        <v>994</v>
      </c>
      <c r="AR50" s="81" t="s">
        <v>325</v>
      </c>
      <c r="AS50" s="81">
        <v>0</v>
      </c>
      <c r="AT50" s="81">
        <v>0</v>
      </c>
      <c r="AU50" s="81"/>
      <c r="AV50" s="81"/>
      <c r="AW50" s="81"/>
      <c r="AX50" s="81"/>
      <c r="AY50" s="81"/>
      <c r="AZ50" s="81"/>
      <c r="BA50" s="81"/>
      <c r="BB50" s="81"/>
      <c r="BC50">
        <v>1</v>
      </c>
      <c r="BD50" s="80" t="str">
        <f>REPLACE(INDEX(GroupVertices[Group],MATCH(Edges25[[#This Row],[Vertex 1]],GroupVertices[Vertex],0)),1,1,"")</f>
        <v>7</v>
      </c>
      <c r="BE50" s="80" t="str">
        <f>REPLACE(INDEX(GroupVertices[Group],MATCH(Edges25[[#This Row],[Vertex 2]],GroupVertices[Vertex],0)),1,1,"")</f>
        <v>7</v>
      </c>
      <c r="BF50" s="48"/>
      <c r="BG50" s="49"/>
      <c r="BH50" s="48"/>
      <c r="BI50" s="49"/>
      <c r="BJ50" s="48"/>
      <c r="BK50" s="49"/>
      <c r="BL50" s="48"/>
      <c r="BM50" s="49"/>
      <c r="BN50" s="48"/>
    </row>
    <row r="51" spans="1:66" ht="15">
      <c r="A51" s="66" t="s">
        <v>410</v>
      </c>
      <c r="B51" s="66" t="s">
        <v>530</v>
      </c>
      <c r="C51" s="67"/>
      <c r="D51" s="68"/>
      <c r="E51" s="69"/>
      <c r="F51" s="70"/>
      <c r="G51" s="67"/>
      <c r="H51" s="71"/>
      <c r="I51" s="72"/>
      <c r="J51" s="72"/>
      <c r="K51" s="34" t="s">
        <v>65</v>
      </c>
      <c r="L51" s="79">
        <v>89</v>
      </c>
      <c r="M51" s="79"/>
      <c r="N51" s="74"/>
      <c r="O51" s="81" t="s">
        <v>588</v>
      </c>
      <c r="P51" s="83">
        <v>44004.67471064815</v>
      </c>
      <c r="Q51" s="81" t="s">
        <v>604</v>
      </c>
      <c r="R51" s="81"/>
      <c r="S51" s="81"/>
      <c r="T51" s="81" t="s">
        <v>706</v>
      </c>
      <c r="U51" s="81"/>
      <c r="V51" s="84" t="str">
        <f>HYPERLINK("http://pbs.twimg.com/profile_images/1085889901206405120/CXGkLkkg_normal.jpg")</f>
        <v>http://pbs.twimg.com/profile_images/1085889901206405120/CXGkLkkg_normal.jpg</v>
      </c>
      <c r="W51" s="83">
        <v>44004.67471064815</v>
      </c>
      <c r="X51" s="87">
        <v>44004</v>
      </c>
      <c r="Y51" s="89" t="s">
        <v>777</v>
      </c>
      <c r="Z51" s="84" t="str">
        <f>HYPERLINK("https://twitter.com/guipizzini/status/1275099122744336385")</f>
        <v>https://twitter.com/guipizzini/status/1275099122744336385</v>
      </c>
      <c r="AA51" s="81"/>
      <c r="AB51" s="81"/>
      <c r="AC51" s="89" t="s">
        <v>986</v>
      </c>
      <c r="AD51" s="81"/>
      <c r="AE51" s="81" t="b">
        <v>0</v>
      </c>
      <c r="AF51" s="81">
        <v>0</v>
      </c>
      <c r="AG51" s="89" t="s">
        <v>1149</v>
      </c>
      <c r="AH51" s="81" t="b">
        <v>0</v>
      </c>
      <c r="AI51" s="81" t="s">
        <v>1150</v>
      </c>
      <c r="AJ51" s="81"/>
      <c r="AK51" s="89" t="s">
        <v>1149</v>
      </c>
      <c r="AL51" s="81" t="b">
        <v>0</v>
      </c>
      <c r="AM51" s="81">
        <v>3</v>
      </c>
      <c r="AN51" s="89" t="s">
        <v>996</v>
      </c>
      <c r="AO51" s="81" t="s">
        <v>1165</v>
      </c>
      <c r="AP51" s="81" t="b">
        <v>0</v>
      </c>
      <c r="AQ51" s="89" t="s">
        <v>996</v>
      </c>
      <c r="AR51" s="81" t="s">
        <v>325</v>
      </c>
      <c r="AS51" s="81">
        <v>0</v>
      </c>
      <c r="AT51" s="81">
        <v>0</v>
      </c>
      <c r="AU51" s="81"/>
      <c r="AV51" s="81"/>
      <c r="AW51" s="81"/>
      <c r="AX51" s="81"/>
      <c r="AY51" s="81"/>
      <c r="AZ51" s="81"/>
      <c r="BA51" s="81"/>
      <c r="BB51" s="81"/>
      <c r="BC51">
        <v>1</v>
      </c>
      <c r="BD51" s="80" t="str">
        <f>REPLACE(INDEX(GroupVertices[Group],MATCH(Edges25[[#This Row],[Vertex 1]],GroupVertices[Vertex],0)),1,1,"")</f>
        <v>12</v>
      </c>
      <c r="BE51" s="80" t="str">
        <f>REPLACE(INDEX(GroupVertices[Group],MATCH(Edges25[[#This Row],[Vertex 2]],GroupVertices[Vertex],0)),1,1,"")</f>
        <v>12</v>
      </c>
      <c r="BF51" s="48"/>
      <c r="BG51" s="49"/>
      <c r="BH51" s="48"/>
      <c r="BI51" s="49"/>
      <c r="BJ51" s="48"/>
      <c r="BK51" s="49"/>
      <c r="BL51" s="48"/>
      <c r="BM51" s="49"/>
      <c r="BN51" s="48"/>
    </row>
    <row r="52" spans="1:66" ht="15">
      <c r="A52" s="66" t="s">
        <v>411</v>
      </c>
      <c r="B52" s="66" t="s">
        <v>513</v>
      </c>
      <c r="C52" s="67"/>
      <c r="D52" s="68"/>
      <c r="E52" s="69"/>
      <c r="F52" s="70"/>
      <c r="G52" s="67"/>
      <c r="H52" s="71"/>
      <c r="I52" s="72"/>
      <c r="J52" s="72"/>
      <c r="K52" s="34" t="s">
        <v>65</v>
      </c>
      <c r="L52" s="79">
        <v>91</v>
      </c>
      <c r="M52" s="79"/>
      <c r="N52" s="74"/>
      <c r="O52" s="81" t="s">
        <v>588</v>
      </c>
      <c r="P52" s="83">
        <v>44004.69012731482</v>
      </c>
      <c r="Q52" s="81" t="s">
        <v>595</v>
      </c>
      <c r="R52" s="81"/>
      <c r="S52" s="81"/>
      <c r="T52" s="81"/>
      <c r="U52" s="81"/>
      <c r="V52" s="84" t="str">
        <f>HYPERLINK("http://pbs.twimg.com/profile_images/1214608871299469313/qJktmlL2_normal.jpg")</f>
        <v>http://pbs.twimg.com/profile_images/1214608871299469313/qJktmlL2_normal.jpg</v>
      </c>
      <c r="W52" s="83">
        <v>44004.69012731482</v>
      </c>
      <c r="X52" s="87">
        <v>44004</v>
      </c>
      <c r="Y52" s="89" t="s">
        <v>778</v>
      </c>
      <c r="Z52" s="84" t="str">
        <f>HYPERLINK("https://twitter.com/mcnatch/status/1275104710610083845")</f>
        <v>https://twitter.com/mcnatch/status/1275104710610083845</v>
      </c>
      <c r="AA52" s="81"/>
      <c r="AB52" s="81"/>
      <c r="AC52" s="89" t="s">
        <v>987</v>
      </c>
      <c r="AD52" s="81"/>
      <c r="AE52" s="81" t="b">
        <v>0</v>
      </c>
      <c r="AF52" s="81">
        <v>0</v>
      </c>
      <c r="AG52" s="89" t="s">
        <v>1149</v>
      </c>
      <c r="AH52" s="81" t="b">
        <v>0</v>
      </c>
      <c r="AI52" s="81" t="s">
        <v>1150</v>
      </c>
      <c r="AJ52" s="81"/>
      <c r="AK52" s="89" t="s">
        <v>1149</v>
      </c>
      <c r="AL52" s="81" t="b">
        <v>0</v>
      </c>
      <c r="AM52" s="81">
        <v>37</v>
      </c>
      <c r="AN52" s="89" t="s">
        <v>1142</v>
      </c>
      <c r="AO52" s="81" t="s">
        <v>1165</v>
      </c>
      <c r="AP52" s="81" t="b">
        <v>0</v>
      </c>
      <c r="AQ52" s="89" t="s">
        <v>1142</v>
      </c>
      <c r="AR52" s="81" t="s">
        <v>325</v>
      </c>
      <c r="AS52" s="81">
        <v>0</v>
      </c>
      <c r="AT52" s="81">
        <v>0</v>
      </c>
      <c r="AU52" s="81"/>
      <c r="AV52" s="81"/>
      <c r="AW52" s="81"/>
      <c r="AX52" s="81"/>
      <c r="AY52" s="81"/>
      <c r="AZ52" s="81"/>
      <c r="BA52" s="81"/>
      <c r="BB52" s="81"/>
      <c r="BC52">
        <v>1</v>
      </c>
      <c r="BD52" s="80" t="str">
        <f>REPLACE(INDEX(GroupVertices[Group],MATCH(Edges25[[#This Row],[Vertex 1]],GroupVertices[Vertex],0)),1,1,"")</f>
        <v>2</v>
      </c>
      <c r="BE52" s="80" t="str">
        <f>REPLACE(INDEX(GroupVertices[Group],MATCH(Edges25[[#This Row],[Vertex 2]],GroupVertices[Vertex],0)),1,1,"")</f>
        <v>2</v>
      </c>
      <c r="BF52" s="48"/>
      <c r="BG52" s="49"/>
      <c r="BH52" s="48"/>
      <c r="BI52" s="49"/>
      <c r="BJ52" s="48"/>
      <c r="BK52" s="49"/>
      <c r="BL52" s="48"/>
      <c r="BM52" s="49"/>
      <c r="BN52" s="48"/>
    </row>
    <row r="53" spans="1:66" ht="15">
      <c r="A53" s="66" t="s">
        <v>412</v>
      </c>
      <c r="B53" s="66" t="s">
        <v>513</v>
      </c>
      <c r="C53" s="67"/>
      <c r="D53" s="68"/>
      <c r="E53" s="69"/>
      <c r="F53" s="70"/>
      <c r="G53" s="67"/>
      <c r="H53" s="71"/>
      <c r="I53" s="72"/>
      <c r="J53" s="72"/>
      <c r="K53" s="34" t="s">
        <v>65</v>
      </c>
      <c r="L53" s="79">
        <v>93</v>
      </c>
      <c r="M53" s="79"/>
      <c r="N53" s="74"/>
      <c r="O53" s="81" t="s">
        <v>588</v>
      </c>
      <c r="P53" s="83">
        <v>44004.69186342593</v>
      </c>
      <c r="Q53" s="81" t="s">
        <v>595</v>
      </c>
      <c r="R53" s="81"/>
      <c r="S53" s="81"/>
      <c r="T53" s="81"/>
      <c r="U53" s="81"/>
      <c r="V53" s="84" t="str">
        <f>HYPERLINK("http://pbs.twimg.com/profile_images/874729548323094528/NP7PyiPy_normal.jpg")</f>
        <v>http://pbs.twimg.com/profile_images/874729548323094528/NP7PyiPy_normal.jpg</v>
      </c>
      <c r="W53" s="83">
        <v>44004.69186342593</v>
      </c>
      <c r="X53" s="87">
        <v>44004</v>
      </c>
      <c r="Y53" s="89" t="s">
        <v>779</v>
      </c>
      <c r="Z53" s="84" t="str">
        <f>HYPERLINK("https://twitter.com/lukestanbra/status/1275105339319386113")</f>
        <v>https://twitter.com/lukestanbra/status/1275105339319386113</v>
      </c>
      <c r="AA53" s="81"/>
      <c r="AB53" s="81"/>
      <c r="AC53" s="89" t="s">
        <v>988</v>
      </c>
      <c r="AD53" s="81"/>
      <c r="AE53" s="81" t="b">
        <v>0</v>
      </c>
      <c r="AF53" s="81">
        <v>0</v>
      </c>
      <c r="AG53" s="89" t="s">
        <v>1149</v>
      </c>
      <c r="AH53" s="81" t="b">
        <v>0</v>
      </c>
      <c r="AI53" s="81" t="s">
        <v>1150</v>
      </c>
      <c r="AJ53" s="81"/>
      <c r="AK53" s="89" t="s">
        <v>1149</v>
      </c>
      <c r="AL53" s="81" t="b">
        <v>0</v>
      </c>
      <c r="AM53" s="81">
        <v>37</v>
      </c>
      <c r="AN53" s="89" t="s">
        <v>1142</v>
      </c>
      <c r="AO53" s="81" t="s">
        <v>1176</v>
      </c>
      <c r="AP53" s="81" t="b">
        <v>0</v>
      </c>
      <c r="AQ53" s="89" t="s">
        <v>1142</v>
      </c>
      <c r="AR53" s="81" t="s">
        <v>325</v>
      </c>
      <c r="AS53" s="81">
        <v>0</v>
      </c>
      <c r="AT53" s="81">
        <v>0</v>
      </c>
      <c r="AU53" s="81"/>
      <c r="AV53" s="81"/>
      <c r="AW53" s="81"/>
      <c r="AX53" s="81"/>
      <c r="AY53" s="81"/>
      <c r="AZ53" s="81"/>
      <c r="BA53" s="81"/>
      <c r="BB53" s="81"/>
      <c r="BC53">
        <v>1</v>
      </c>
      <c r="BD53" s="80" t="str">
        <f>REPLACE(INDEX(GroupVertices[Group],MATCH(Edges25[[#This Row],[Vertex 1]],GroupVertices[Vertex],0)),1,1,"")</f>
        <v>2</v>
      </c>
      <c r="BE53" s="80" t="str">
        <f>REPLACE(INDEX(GroupVertices[Group],MATCH(Edges25[[#This Row],[Vertex 2]],GroupVertices[Vertex],0)),1,1,"")</f>
        <v>2</v>
      </c>
      <c r="BF53" s="48"/>
      <c r="BG53" s="49"/>
      <c r="BH53" s="48"/>
      <c r="BI53" s="49"/>
      <c r="BJ53" s="48"/>
      <c r="BK53" s="49"/>
      <c r="BL53" s="48"/>
      <c r="BM53" s="49"/>
      <c r="BN53" s="48"/>
    </row>
    <row r="54" spans="1:66" ht="15">
      <c r="A54" s="66" t="s">
        <v>413</v>
      </c>
      <c r="B54" s="66" t="s">
        <v>526</v>
      </c>
      <c r="C54" s="67"/>
      <c r="D54" s="68"/>
      <c r="E54" s="69"/>
      <c r="F54" s="70"/>
      <c r="G54" s="67"/>
      <c r="H54" s="71"/>
      <c r="I54" s="72"/>
      <c r="J54" s="72"/>
      <c r="K54" s="34" t="s">
        <v>65</v>
      </c>
      <c r="L54" s="79">
        <v>95</v>
      </c>
      <c r="M54" s="79"/>
      <c r="N54" s="74"/>
      <c r="O54" s="81" t="s">
        <v>587</v>
      </c>
      <c r="P54" s="83">
        <v>44004.694131944445</v>
      </c>
      <c r="Q54" s="81" t="s">
        <v>606</v>
      </c>
      <c r="R54" s="84" t="str">
        <f>HYPERLINK("https://interactive.aljazeera.com/aje/2020/saving-the-nile/index.html")</f>
        <v>https://interactive.aljazeera.com/aje/2020/saving-the-nile/index.html</v>
      </c>
      <c r="S54" s="81" t="s">
        <v>678</v>
      </c>
      <c r="T54" s="81" t="s">
        <v>703</v>
      </c>
      <c r="U54" s="81"/>
      <c r="V54" s="84" t="str">
        <f>HYPERLINK("http://pbs.twimg.com/profile_images/1259946967242870786/VBIslPot_normal.jpg")</f>
        <v>http://pbs.twimg.com/profile_images/1259946967242870786/VBIslPot_normal.jpg</v>
      </c>
      <c r="W54" s="83">
        <v>44004.694131944445</v>
      </c>
      <c r="X54" s="87">
        <v>44004</v>
      </c>
      <c r="Y54" s="89" t="s">
        <v>780</v>
      </c>
      <c r="Z54" s="84" t="str">
        <f>HYPERLINK("https://twitter.com/mo_shamah/status/1275106161944117253")</f>
        <v>https://twitter.com/mo_shamah/status/1275106161944117253</v>
      </c>
      <c r="AA54" s="81"/>
      <c r="AB54" s="81"/>
      <c r="AC54" s="89" t="s">
        <v>989</v>
      </c>
      <c r="AD54" s="81"/>
      <c r="AE54" s="81" t="b">
        <v>0</v>
      </c>
      <c r="AF54" s="81">
        <v>0</v>
      </c>
      <c r="AG54" s="89" t="s">
        <v>1149</v>
      </c>
      <c r="AH54" s="81" t="b">
        <v>0</v>
      </c>
      <c r="AI54" s="81" t="s">
        <v>1150</v>
      </c>
      <c r="AJ54" s="81"/>
      <c r="AK54" s="89" t="s">
        <v>1149</v>
      </c>
      <c r="AL54" s="81" t="b">
        <v>0</v>
      </c>
      <c r="AM54" s="81">
        <v>0</v>
      </c>
      <c r="AN54" s="89" t="s">
        <v>1149</v>
      </c>
      <c r="AO54" s="81" t="s">
        <v>1176</v>
      </c>
      <c r="AP54" s="81" t="b">
        <v>0</v>
      </c>
      <c r="AQ54" s="89" t="s">
        <v>989</v>
      </c>
      <c r="AR54" s="81" t="s">
        <v>325</v>
      </c>
      <c r="AS54" s="81">
        <v>0</v>
      </c>
      <c r="AT54" s="81">
        <v>0</v>
      </c>
      <c r="AU54" s="81"/>
      <c r="AV54" s="81"/>
      <c r="AW54" s="81"/>
      <c r="AX54" s="81"/>
      <c r="AY54" s="81"/>
      <c r="AZ54" s="81"/>
      <c r="BA54" s="81"/>
      <c r="BB54" s="81"/>
      <c r="BC54">
        <v>1</v>
      </c>
      <c r="BD54" s="80" t="str">
        <f>REPLACE(INDEX(GroupVertices[Group],MATCH(Edges25[[#This Row],[Vertex 1]],GroupVertices[Vertex],0)),1,1,"")</f>
        <v>3</v>
      </c>
      <c r="BE54" s="80" t="str">
        <f>REPLACE(INDEX(GroupVertices[Group],MATCH(Edges25[[#This Row],[Vertex 2]],GroupVertices[Vertex],0)),1,1,"")</f>
        <v>3</v>
      </c>
      <c r="BF54" s="48"/>
      <c r="BG54" s="49"/>
      <c r="BH54" s="48"/>
      <c r="BI54" s="49"/>
      <c r="BJ54" s="48"/>
      <c r="BK54" s="49"/>
      <c r="BL54" s="48"/>
      <c r="BM54" s="49"/>
      <c r="BN54" s="48"/>
    </row>
    <row r="55" spans="1:66" ht="15">
      <c r="A55" s="66" t="s">
        <v>414</v>
      </c>
      <c r="B55" s="66" t="s">
        <v>531</v>
      </c>
      <c r="C55" s="67"/>
      <c r="D55" s="68"/>
      <c r="E55" s="69"/>
      <c r="F55" s="70"/>
      <c r="G55" s="67"/>
      <c r="H55" s="71"/>
      <c r="I55" s="72"/>
      <c r="J55" s="72"/>
      <c r="K55" s="34" t="s">
        <v>65</v>
      </c>
      <c r="L55" s="79">
        <v>97</v>
      </c>
      <c r="M55" s="79"/>
      <c r="N55" s="74"/>
      <c r="O55" s="81" t="s">
        <v>588</v>
      </c>
      <c r="P55" s="83">
        <v>44004.708020833335</v>
      </c>
      <c r="Q55" s="81" t="s">
        <v>605</v>
      </c>
      <c r="R55" s="81"/>
      <c r="S55" s="81"/>
      <c r="T55" s="81"/>
      <c r="U55" s="81"/>
      <c r="V55" s="84" t="str">
        <f>HYPERLINK("http://pbs.twimg.com/profile_images/1275099031748952072/_X1v6SKX_normal.jpg")</f>
        <v>http://pbs.twimg.com/profile_images/1275099031748952072/_X1v6SKX_normal.jpg</v>
      </c>
      <c r="W55" s="83">
        <v>44004.708020833335</v>
      </c>
      <c r="X55" s="87">
        <v>44004</v>
      </c>
      <c r="Y55" s="89" t="s">
        <v>781</v>
      </c>
      <c r="Z55" s="84" t="str">
        <f>HYPERLINK("https://twitter.com/psychingitout/status/1275111192604872704")</f>
        <v>https://twitter.com/psychingitout/status/1275111192604872704</v>
      </c>
      <c r="AA55" s="81"/>
      <c r="AB55" s="81"/>
      <c r="AC55" s="89" t="s">
        <v>990</v>
      </c>
      <c r="AD55" s="81"/>
      <c r="AE55" s="81" t="b">
        <v>0</v>
      </c>
      <c r="AF55" s="81">
        <v>0</v>
      </c>
      <c r="AG55" s="89" t="s">
        <v>1149</v>
      </c>
      <c r="AH55" s="81" t="b">
        <v>0</v>
      </c>
      <c r="AI55" s="81" t="s">
        <v>1150</v>
      </c>
      <c r="AJ55" s="81"/>
      <c r="AK55" s="89" t="s">
        <v>1149</v>
      </c>
      <c r="AL55" s="81" t="b">
        <v>0</v>
      </c>
      <c r="AM55" s="81">
        <v>5</v>
      </c>
      <c r="AN55" s="89" t="s">
        <v>994</v>
      </c>
      <c r="AO55" s="81" t="s">
        <v>1176</v>
      </c>
      <c r="AP55" s="81" t="b">
        <v>0</v>
      </c>
      <c r="AQ55" s="89" t="s">
        <v>994</v>
      </c>
      <c r="AR55" s="81" t="s">
        <v>325</v>
      </c>
      <c r="AS55" s="81">
        <v>0</v>
      </c>
      <c r="AT55" s="81">
        <v>0</v>
      </c>
      <c r="AU55" s="81"/>
      <c r="AV55" s="81"/>
      <c r="AW55" s="81"/>
      <c r="AX55" s="81"/>
      <c r="AY55" s="81"/>
      <c r="AZ55" s="81"/>
      <c r="BA55" s="81"/>
      <c r="BB55" s="81"/>
      <c r="BC55">
        <v>1</v>
      </c>
      <c r="BD55" s="80" t="str">
        <f>REPLACE(INDEX(GroupVertices[Group],MATCH(Edges25[[#This Row],[Vertex 1]],GroupVertices[Vertex],0)),1,1,"")</f>
        <v>7</v>
      </c>
      <c r="BE55" s="80" t="str">
        <f>REPLACE(INDEX(GroupVertices[Group],MATCH(Edges25[[#This Row],[Vertex 2]],GroupVertices[Vertex],0)),1,1,"")</f>
        <v>7</v>
      </c>
      <c r="BF55" s="48"/>
      <c r="BG55" s="49"/>
      <c r="BH55" s="48"/>
      <c r="BI55" s="49"/>
      <c r="BJ55" s="48"/>
      <c r="BK55" s="49"/>
      <c r="BL55" s="48"/>
      <c r="BM55" s="49"/>
      <c r="BN55" s="48"/>
    </row>
    <row r="56" spans="1:66" ht="15">
      <c r="A56" s="66" t="s">
        <v>415</v>
      </c>
      <c r="B56" s="66" t="s">
        <v>526</v>
      </c>
      <c r="C56" s="67"/>
      <c r="D56" s="68"/>
      <c r="E56" s="69"/>
      <c r="F56" s="70"/>
      <c r="G56" s="67"/>
      <c r="H56" s="71"/>
      <c r="I56" s="72"/>
      <c r="J56" s="72"/>
      <c r="K56" s="34" t="s">
        <v>65</v>
      </c>
      <c r="L56" s="79">
        <v>100</v>
      </c>
      <c r="M56" s="79"/>
      <c r="N56" s="74"/>
      <c r="O56" s="81" t="s">
        <v>587</v>
      </c>
      <c r="P56" s="83">
        <v>44004.70898148148</v>
      </c>
      <c r="Q56" s="81" t="s">
        <v>607</v>
      </c>
      <c r="R56" s="84" t="str">
        <f>HYPERLINK("https://interactive.aljazeera.com/aje/2020/saving-the-nile/index.html")</f>
        <v>https://interactive.aljazeera.com/aje/2020/saving-the-nile/index.html</v>
      </c>
      <c r="S56" s="81" t="s">
        <v>678</v>
      </c>
      <c r="T56" s="81" t="s">
        <v>703</v>
      </c>
      <c r="U56" s="81"/>
      <c r="V56" s="84" t="str">
        <f>HYPERLINK("http://pbs.twimg.com/profile_images/1171365730362769409/_spJA1T7_normal.jpg")</f>
        <v>http://pbs.twimg.com/profile_images/1171365730362769409/_spJA1T7_normal.jpg</v>
      </c>
      <c r="W56" s="83">
        <v>44004.70898148148</v>
      </c>
      <c r="X56" s="87">
        <v>44004</v>
      </c>
      <c r="Y56" s="89" t="s">
        <v>782</v>
      </c>
      <c r="Z56" s="84" t="str">
        <f>HYPERLINK("https://twitter.com/missg_dhsgeog/status/1275111539520012293")</f>
        <v>https://twitter.com/missg_dhsgeog/status/1275111539520012293</v>
      </c>
      <c r="AA56" s="81"/>
      <c r="AB56" s="81"/>
      <c r="AC56" s="89" t="s">
        <v>991</v>
      </c>
      <c r="AD56" s="81"/>
      <c r="AE56" s="81" t="b">
        <v>0</v>
      </c>
      <c r="AF56" s="81">
        <v>0</v>
      </c>
      <c r="AG56" s="89" t="s">
        <v>1149</v>
      </c>
      <c r="AH56" s="81" t="b">
        <v>0</v>
      </c>
      <c r="AI56" s="81" t="s">
        <v>1150</v>
      </c>
      <c r="AJ56" s="81"/>
      <c r="AK56" s="89" t="s">
        <v>1149</v>
      </c>
      <c r="AL56" s="81" t="b">
        <v>0</v>
      </c>
      <c r="AM56" s="81">
        <v>0</v>
      </c>
      <c r="AN56" s="89" t="s">
        <v>1149</v>
      </c>
      <c r="AO56" s="81" t="s">
        <v>1165</v>
      </c>
      <c r="AP56" s="81" t="b">
        <v>0</v>
      </c>
      <c r="AQ56" s="89" t="s">
        <v>991</v>
      </c>
      <c r="AR56" s="81" t="s">
        <v>325</v>
      </c>
      <c r="AS56" s="81">
        <v>0</v>
      </c>
      <c r="AT56" s="81">
        <v>0</v>
      </c>
      <c r="AU56" s="81"/>
      <c r="AV56" s="81"/>
      <c r="AW56" s="81"/>
      <c r="AX56" s="81"/>
      <c r="AY56" s="81"/>
      <c r="AZ56" s="81"/>
      <c r="BA56" s="81"/>
      <c r="BB56" s="81"/>
      <c r="BC56">
        <v>1</v>
      </c>
      <c r="BD56" s="80" t="str">
        <f>REPLACE(INDEX(GroupVertices[Group],MATCH(Edges25[[#This Row],[Vertex 1]],GroupVertices[Vertex],0)),1,1,"")</f>
        <v>3</v>
      </c>
      <c r="BE56" s="80" t="str">
        <f>REPLACE(INDEX(GroupVertices[Group],MATCH(Edges25[[#This Row],[Vertex 2]],GroupVertices[Vertex],0)),1,1,"")</f>
        <v>3</v>
      </c>
      <c r="BF56" s="48"/>
      <c r="BG56" s="49"/>
      <c r="BH56" s="48"/>
      <c r="BI56" s="49"/>
      <c r="BJ56" s="48"/>
      <c r="BK56" s="49"/>
      <c r="BL56" s="48"/>
      <c r="BM56" s="49"/>
      <c r="BN56" s="48"/>
    </row>
    <row r="57" spans="1:66" ht="15">
      <c r="A57" s="66" t="s">
        <v>416</v>
      </c>
      <c r="B57" s="66" t="s">
        <v>531</v>
      </c>
      <c r="C57" s="67"/>
      <c r="D57" s="68"/>
      <c r="E57" s="69"/>
      <c r="F57" s="70"/>
      <c r="G57" s="67"/>
      <c r="H57" s="71"/>
      <c r="I57" s="72"/>
      <c r="J57" s="72"/>
      <c r="K57" s="34" t="s">
        <v>65</v>
      </c>
      <c r="L57" s="79">
        <v>102</v>
      </c>
      <c r="M57" s="79"/>
      <c r="N57" s="74"/>
      <c r="O57" s="81" t="s">
        <v>588</v>
      </c>
      <c r="P57" s="83">
        <v>44004.71512731481</v>
      </c>
      <c r="Q57" s="81" t="s">
        <v>605</v>
      </c>
      <c r="R57" s="81"/>
      <c r="S57" s="81"/>
      <c r="T57" s="81"/>
      <c r="U57" s="81"/>
      <c r="V57" s="84" t="str">
        <f>HYPERLINK("http://pbs.twimg.com/profile_images/747158769671475200/w4M2qo_t_normal.jpg")</f>
        <v>http://pbs.twimg.com/profile_images/747158769671475200/w4M2qo_t_normal.jpg</v>
      </c>
      <c r="W57" s="83">
        <v>44004.71512731481</v>
      </c>
      <c r="X57" s="87">
        <v>44004</v>
      </c>
      <c r="Y57" s="89" t="s">
        <v>783</v>
      </c>
      <c r="Z57" s="84" t="str">
        <f>HYPERLINK("https://twitter.com/oscwilliams/status/1275113767429459969")</f>
        <v>https://twitter.com/oscwilliams/status/1275113767429459969</v>
      </c>
      <c r="AA57" s="81"/>
      <c r="AB57" s="81"/>
      <c r="AC57" s="89" t="s">
        <v>992</v>
      </c>
      <c r="AD57" s="81"/>
      <c r="AE57" s="81" t="b">
        <v>0</v>
      </c>
      <c r="AF57" s="81">
        <v>0</v>
      </c>
      <c r="AG57" s="89" t="s">
        <v>1149</v>
      </c>
      <c r="AH57" s="81" t="b">
        <v>0</v>
      </c>
      <c r="AI57" s="81" t="s">
        <v>1150</v>
      </c>
      <c r="AJ57" s="81"/>
      <c r="AK57" s="89" t="s">
        <v>1149</v>
      </c>
      <c r="AL57" s="81" t="b">
        <v>0</v>
      </c>
      <c r="AM57" s="81">
        <v>5</v>
      </c>
      <c r="AN57" s="89" t="s">
        <v>994</v>
      </c>
      <c r="AO57" s="81" t="s">
        <v>1165</v>
      </c>
      <c r="AP57" s="81" t="b">
        <v>0</v>
      </c>
      <c r="AQ57" s="89" t="s">
        <v>994</v>
      </c>
      <c r="AR57" s="81" t="s">
        <v>325</v>
      </c>
      <c r="AS57" s="81">
        <v>0</v>
      </c>
      <c r="AT57" s="81">
        <v>0</v>
      </c>
      <c r="AU57" s="81"/>
      <c r="AV57" s="81"/>
      <c r="AW57" s="81"/>
      <c r="AX57" s="81"/>
      <c r="AY57" s="81"/>
      <c r="AZ57" s="81"/>
      <c r="BA57" s="81"/>
      <c r="BB57" s="81"/>
      <c r="BC57">
        <v>1</v>
      </c>
      <c r="BD57" s="80" t="str">
        <f>REPLACE(INDEX(GroupVertices[Group],MATCH(Edges25[[#This Row],[Vertex 1]],GroupVertices[Vertex],0)),1,1,"")</f>
        <v>7</v>
      </c>
      <c r="BE57" s="80" t="str">
        <f>REPLACE(INDEX(GroupVertices[Group],MATCH(Edges25[[#This Row],[Vertex 2]],GroupVertices[Vertex],0)),1,1,"")</f>
        <v>7</v>
      </c>
      <c r="BF57" s="48"/>
      <c r="BG57" s="49"/>
      <c r="BH57" s="48"/>
      <c r="BI57" s="49"/>
      <c r="BJ57" s="48"/>
      <c r="BK57" s="49"/>
      <c r="BL57" s="48"/>
      <c r="BM57" s="49"/>
      <c r="BN57" s="48"/>
    </row>
    <row r="58" spans="1:66" ht="15">
      <c r="A58" s="66" t="s">
        <v>417</v>
      </c>
      <c r="B58" s="66" t="s">
        <v>531</v>
      </c>
      <c r="C58" s="67"/>
      <c r="D58" s="68"/>
      <c r="E58" s="69"/>
      <c r="F58" s="70"/>
      <c r="G58" s="67"/>
      <c r="H58" s="71"/>
      <c r="I58" s="72"/>
      <c r="J58" s="72"/>
      <c r="K58" s="34" t="s">
        <v>65</v>
      </c>
      <c r="L58" s="79">
        <v>105</v>
      </c>
      <c r="M58" s="79"/>
      <c r="N58" s="74"/>
      <c r="O58" s="81" t="s">
        <v>588</v>
      </c>
      <c r="P58" s="83">
        <v>44004.71524305556</v>
      </c>
      <c r="Q58" s="81" t="s">
        <v>605</v>
      </c>
      <c r="R58" s="81"/>
      <c r="S58" s="81"/>
      <c r="T58" s="81"/>
      <c r="U58" s="81"/>
      <c r="V58" s="84" t="str">
        <f>HYPERLINK("http://pbs.twimg.com/profile_images/1172243646038577157/PeV0BOU1_normal.jpg")</f>
        <v>http://pbs.twimg.com/profile_images/1172243646038577157/PeV0BOU1_normal.jpg</v>
      </c>
      <c r="W58" s="83">
        <v>44004.71524305556</v>
      </c>
      <c r="X58" s="87">
        <v>44004</v>
      </c>
      <c r="Y58" s="89" t="s">
        <v>784</v>
      </c>
      <c r="Z58" s="84" t="str">
        <f>HYPERLINK("https://twitter.com/emilyctamkin/status/1275113808726495232")</f>
        <v>https://twitter.com/emilyctamkin/status/1275113808726495232</v>
      </c>
      <c r="AA58" s="81"/>
      <c r="AB58" s="81"/>
      <c r="AC58" s="89" t="s">
        <v>993</v>
      </c>
      <c r="AD58" s="81"/>
      <c r="AE58" s="81" t="b">
        <v>0</v>
      </c>
      <c r="AF58" s="81">
        <v>0</v>
      </c>
      <c r="AG58" s="89" t="s">
        <v>1149</v>
      </c>
      <c r="AH58" s="81" t="b">
        <v>0</v>
      </c>
      <c r="AI58" s="81" t="s">
        <v>1150</v>
      </c>
      <c r="AJ58" s="81"/>
      <c r="AK58" s="89" t="s">
        <v>1149</v>
      </c>
      <c r="AL58" s="81" t="b">
        <v>0</v>
      </c>
      <c r="AM58" s="81">
        <v>5</v>
      </c>
      <c r="AN58" s="89" t="s">
        <v>994</v>
      </c>
      <c r="AO58" s="81" t="s">
        <v>1172</v>
      </c>
      <c r="AP58" s="81" t="b">
        <v>0</v>
      </c>
      <c r="AQ58" s="89" t="s">
        <v>994</v>
      </c>
      <c r="AR58" s="81" t="s">
        <v>325</v>
      </c>
      <c r="AS58" s="81">
        <v>0</v>
      </c>
      <c r="AT58" s="81">
        <v>0</v>
      </c>
      <c r="AU58" s="81"/>
      <c r="AV58" s="81"/>
      <c r="AW58" s="81"/>
      <c r="AX58" s="81"/>
      <c r="AY58" s="81"/>
      <c r="AZ58" s="81"/>
      <c r="BA58" s="81"/>
      <c r="BB58" s="81"/>
      <c r="BC58">
        <v>1</v>
      </c>
      <c r="BD58" s="80" t="str">
        <f>REPLACE(INDEX(GroupVertices[Group],MATCH(Edges25[[#This Row],[Vertex 1]],GroupVertices[Vertex],0)),1,1,"")</f>
        <v>7</v>
      </c>
      <c r="BE58" s="80" t="str">
        <f>REPLACE(INDEX(GroupVertices[Group],MATCH(Edges25[[#This Row],[Vertex 2]],GroupVertices[Vertex],0)),1,1,"")</f>
        <v>7</v>
      </c>
      <c r="BF58" s="48"/>
      <c r="BG58" s="49"/>
      <c r="BH58" s="48"/>
      <c r="BI58" s="49"/>
      <c r="BJ58" s="48"/>
      <c r="BK58" s="49"/>
      <c r="BL58" s="48"/>
      <c r="BM58" s="49"/>
      <c r="BN58" s="48"/>
    </row>
    <row r="59" spans="1:66" ht="15">
      <c r="A59" s="66" t="s">
        <v>418</v>
      </c>
      <c r="B59" s="66" t="s">
        <v>531</v>
      </c>
      <c r="C59" s="67"/>
      <c r="D59" s="68"/>
      <c r="E59" s="69"/>
      <c r="F59" s="70"/>
      <c r="G59" s="67"/>
      <c r="H59" s="71"/>
      <c r="I59" s="72"/>
      <c r="J59" s="72"/>
      <c r="K59" s="34" t="s">
        <v>65</v>
      </c>
      <c r="L59" s="79">
        <v>108</v>
      </c>
      <c r="M59" s="79"/>
      <c r="N59" s="74"/>
      <c r="O59" s="81" t="s">
        <v>587</v>
      </c>
      <c r="P59" s="83">
        <v>44004.62712962963</v>
      </c>
      <c r="Q59" s="81" t="s">
        <v>605</v>
      </c>
      <c r="R59" s="81"/>
      <c r="S59" s="81"/>
      <c r="T59" s="81" t="s">
        <v>707</v>
      </c>
      <c r="U59" s="81"/>
      <c r="V59" s="84" t="str">
        <f>HYPERLINK("http://pbs.twimg.com/profile_images/1034720657655963648/loP-DJvI_normal.jpg")</f>
        <v>http://pbs.twimg.com/profile_images/1034720657655963648/loP-DJvI_normal.jpg</v>
      </c>
      <c r="W59" s="83">
        <v>44004.62712962963</v>
      </c>
      <c r="X59" s="87">
        <v>44004</v>
      </c>
      <c r="Y59" s="89" t="s">
        <v>785</v>
      </c>
      <c r="Z59" s="84" t="str">
        <f>HYPERLINK("https://twitter.com/patrick_e_scott/status/1275081880954527746")</f>
        <v>https://twitter.com/patrick_e_scott/status/1275081880954527746</v>
      </c>
      <c r="AA59" s="81"/>
      <c r="AB59" s="81"/>
      <c r="AC59" s="89" t="s">
        <v>994</v>
      </c>
      <c r="AD59" s="81"/>
      <c r="AE59" s="81" t="b">
        <v>0</v>
      </c>
      <c r="AF59" s="81">
        <v>82</v>
      </c>
      <c r="AG59" s="89" t="s">
        <v>1149</v>
      </c>
      <c r="AH59" s="81" t="b">
        <v>0</v>
      </c>
      <c r="AI59" s="81" t="s">
        <v>1150</v>
      </c>
      <c r="AJ59" s="81"/>
      <c r="AK59" s="89" t="s">
        <v>1149</v>
      </c>
      <c r="AL59" s="81" t="b">
        <v>0</v>
      </c>
      <c r="AM59" s="81">
        <v>5</v>
      </c>
      <c r="AN59" s="89" t="s">
        <v>1149</v>
      </c>
      <c r="AO59" s="81" t="s">
        <v>1172</v>
      </c>
      <c r="AP59" s="81" t="b">
        <v>0</v>
      </c>
      <c r="AQ59" s="89" t="s">
        <v>994</v>
      </c>
      <c r="AR59" s="81" t="s">
        <v>325</v>
      </c>
      <c r="AS59" s="81">
        <v>0</v>
      </c>
      <c r="AT59" s="81">
        <v>0</v>
      </c>
      <c r="AU59" s="81"/>
      <c r="AV59" s="81"/>
      <c r="AW59" s="81"/>
      <c r="AX59" s="81"/>
      <c r="AY59" s="81"/>
      <c r="AZ59" s="81"/>
      <c r="BA59" s="81"/>
      <c r="BB59" s="81"/>
      <c r="BC59">
        <v>1</v>
      </c>
      <c r="BD59" s="80" t="str">
        <f>REPLACE(INDEX(GroupVertices[Group],MATCH(Edges25[[#This Row],[Vertex 1]],GroupVertices[Vertex],0)),1,1,"")</f>
        <v>7</v>
      </c>
      <c r="BE59" s="80" t="str">
        <f>REPLACE(INDEX(GroupVertices[Group],MATCH(Edges25[[#This Row],[Vertex 2]],GroupVertices[Vertex],0)),1,1,"")</f>
        <v>7</v>
      </c>
      <c r="BF59" s="48"/>
      <c r="BG59" s="49"/>
      <c r="BH59" s="48"/>
      <c r="BI59" s="49"/>
      <c r="BJ59" s="48"/>
      <c r="BK59" s="49"/>
      <c r="BL59" s="48"/>
      <c r="BM59" s="49"/>
      <c r="BN59" s="48"/>
    </row>
    <row r="60" spans="1:66" ht="15">
      <c r="A60" s="66" t="s">
        <v>419</v>
      </c>
      <c r="B60" s="66" t="s">
        <v>531</v>
      </c>
      <c r="C60" s="67"/>
      <c r="D60" s="68"/>
      <c r="E60" s="69"/>
      <c r="F60" s="70"/>
      <c r="G60" s="67"/>
      <c r="H60" s="71"/>
      <c r="I60" s="72"/>
      <c r="J60" s="72"/>
      <c r="K60" s="34" t="s">
        <v>65</v>
      </c>
      <c r="L60" s="79">
        <v>109</v>
      </c>
      <c r="M60" s="79"/>
      <c r="N60" s="74"/>
      <c r="O60" s="81" t="s">
        <v>588</v>
      </c>
      <c r="P60" s="83">
        <v>44004.72467592593</v>
      </c>
      <c r="Q60" s="81" t="s">
        <v>605</v>
      </c>
      <c r="R60" s="81"/>
      <c r="S60" s="81"/>
      <c r="T60" s="81"/>
      <c r="U60" s="81"/>
      <c r="V60" s="84" t="str">
        <f>HYPERLINK("http://pbs.twimg.com/profile_images/730103087457652736/w24ivGRo_normal.jpg")</f>
        <v>http://pbs.twimg.com/profile_images/730103087457652736/w24ivGRo_normal.jpg</v>
      </c>
      <c r="W60" s="83">
        <v>44004.72467592593</v>
      </c>
      <c r="X60" s="87">
        <v>44004</v>
      </c>
      <c r="Y60" s="89" t="s">
        <v>786</v>
      </c>
      <c r="Z60" s="84" t="str">
        <f>HYPERLINK("https://twitter.com/rob_w_ingram/status/1275117227541397504")</f>
        <v>https://twitter.com/rob_w_ingram/status/1275117227541397504</v>
      </c>
      <c r="AA60" s="81"/>
      <c r="AB60" s="81"/>
      <c r="AC60" s="89" t="s">
        <v>995</v>
      </c>
      <c r="AD60" s="81"/>
      <c r="AE60" s="81" t="b">
        <v>0</v>
      </c>
      <c r="AF60" s="81">
        <v>0</v>
      </c>
      <c r="AG60" s="89" t="s">
        <v>1149</v>
      </c>
      <c r="AH60" s="81" t="b">
        <v>0</v>
      </c>
      <c r="AI60" s="81" t="s">
        <v>1150</v>
      </c>
      <c r="AJ60" s="81"/>
      <c r="AK60" s="89" t="s">
        <v>1149</v>
      </c>
      <c r="AL60" s="81" t="b">
        <v>0</v>
      </c>
      <c r="AM60" s="81">
        <v>5</v>
      </c>
      <c r="AN60" s="89" t="s">
        <v>994</v>
      </c>
      <c r="AO60" s="81" t="s">
        <v>1165</v>
      </c>
      <c r="AP60" s="81" t="b">
        <v>0</v>
      </c>
      <c r="AQ60" s="89" t="s">
        <v>994</v>
      </c>
      <c r="AR60" s="81" t="s">
        <v>325</v>
      </c>
      <c r="AS60" s="81">
        <v>0</v>
      </c>
      <c r="AT60" s="81">
        <v>0</v>
      </c>
      <c r="AU60" s="81"/>
      <c r="AV60" s="81"/>
      <c r="AW60" s="81"/>
      <c r="AX60" s="81"/>
      <c r="AY60" s="81"/>
      <c r="AZ60" s="81"/>
      <c r="BA60" s="81"/>
      <c r="BB60" s="81"/>
      <c r="BC60">
        <v>1</v>
      </c>
      <c r="BD60" s="80" t="str">
        <f>REPLACE(INDEX(GroupVertices[Group],MATCH(Edges25[[#This Row],[Vertex 1]],GroupVertices[Vertex],0)),1,1,"")</f>
        <v>7</v>
      </c>
      <c r="BE60" s="80" t="str">
        <f>REPLACE(INDEX(GroupVertices[Group],MATCH(Edges25[[#This Row],[Vertex 2]],GroupVertices[Vertex],0)),1,1,"")</f>
        <v>7</v>
      </c>
      <c r="BF60" s="48"/>
      <c r="BG60" s="49"/>
      <c r="BH60" s="48"/>
      <c r="BI60" s="49"/>
      <c r="BJ60" s="48"/>
      <c r="BK60" s="49"/>
      <c r="BL60" s="48"/>
      <c r="BM60" s="49"/>
      <c r="BN60" s="48"/>
    </row>
    <row r="61" spans="1:66" ht="15">
      <c r="A61" s="66" t="s">
        <v>420</v>
      </c>
      <c r="B61" s="66" t="s">
        <v>530</v>
      </c>
      <c r="C61" s="67"/>
      <c r="D61" s="68"/>
      <c r="E61" s="69"/>
      <c r="F61" s="70"/>
      <c r="G61" s="67"/>
      <c r="H61" s="71"/>
      <c r="I61" s="72"/>
      <c r="J61" s="72"/>
      <c r="K61" s="34" t="s">
        <v>65</v>
      </c>
      <c r="L61" s="79">
        <v>113</v>
      </c>
      <c r="M61" s="79"/>
      <c r="N61" s="74"/>
      <c r="O61" s="81" t="s">
        <v>587</v>
      </c>
      <c r="P61" s="83">
        <v>44004.637708333335</v>
      </c>
      <c r="Q61" s="81" t="s">
        <v>604</v>
      </c>
      <c r="R61" s="84" t="str">
        <f>HYPERLINK("https://t.ly/Y31r")</f>
        <v>https://t.ly/Y31r</v>
      </c>
      <c r="S61" s="81" t="s">
        <v>679</v>
      </c>
      <c r="T61" s="81" t="s">
        <v>708</v>
      </c>
      <c r="U61" s="84" t="str">
        <f>HYPERLINK("https://pbs.twimg.com/media/EbIC030XYAATzgJ.jpg")</f>
        <v>https://pbs.twimg.com/media/EbIC030XYAATzgJ.jpg</v>
      </c>
      <c r="V61" s="84" t="str">
        <f>HYPERLINK("https://pbs.twimg.com/media/EbIC030XYAATzgJ.jpg")</f>
        <v>https://pbs.twimg.com/media/EbIC030XYAATzgJ.jpg</v>
      </c>
      <c r="W61" s="83">
        <v>44004.637708333335</v>
      </c>
      <c r="X61" s="87">
        <v>44004</v>
      </c>
      <c r="Y61" s="89" t="s">
        <v>787</v>
      </c>
      <c r="Z61" s="84" t="str">
        <f>HYPERLINK("https://twitter.com/fedfragapane/status/1275085713239945216")</f>
        <v>https://twitter.com/fedfragapane/status/1275085713239945216</v>
      </c>
      <c r="AA61" s="81"/>
      <c r="AB61" s="81"/>
      <c r="AC61" s="89" t="s">
        <v>996</v>
      </c>
      <c r="AD61" s="81"/>
      <c r="AE61" s="81" t="b">
        <v>0</v>
      </c>
      <c r="AF61" s="81">
        <v>13</v>
      </c>
      <c r="AG61" s="89" t="s">
        <v>1149</v>
      </c>
      <c r="AH61" s="81" t="b">
        <v>0</v>
      </c>
      <c r="AI61" s="81" t="s">
        <v>1150</v>
      </c>
      <c r="AJ61" s="81"/>
      <c r="AK61" s="89" t="s">
        <v>1149</v>
      </c>
      <c r="AL61" s="81" t="b">
        <v>0</v>
      </c>
      <c r="AM61" s="81">
        <v>3</v>
      </c>
      <c r="AN61" s="89" t="s">
        <v>1149</v>
      </c>
      <c r="AO61" s="81" t="s">
        <v>1172</v>
      </c>
      <c r="AP61" s="81" t="b">
        <v>0</v>
      </c>
      <c r="AQ61" s="89" t="s">
        <v>996</v>
      </c>
      <c r="AR61" s="81" t="s">
        <v>325</v>
      </c>
      <c r="AS61" s="81">
        <v>0</v>
      </c>
      <c r="AT61" s="81">
        <v>0</v>
      </c>
      <c r="AU61" s="81"/>
      <c r="AV61" s="81"/>
      <c r="AW61" s="81"/>
      <c r="AX61" s="81"/>
      <c r="AY61" s="81"/>
      <c r="AZ61" s="81"/>
      <c r="BA61" s="81"/>
      <c r="BB61" s="81"/>
      <c r="BC61">
        <v>1</v>
      </c>
      <c r="BD61" s="80" t="str">
        <f>REPLACE(INDEX(GroupVertices[Group],MATCH(Edges25[[#This Row],[Vertex 1]],GroupVertices[Vertex],0)),1,1,"")</f>
        <v>12</v>
      </c>
      <c r="BE61" s="80" t="str">
        <f>REPLACE(INDEX(GroupVertices[Group],MATCH(Edges25[[#This Row],[Vertex 2]],GroupVertices[Vertex],0)),1,1,"")</f>
        <v>12</v>
      </c>
      <c r="BF61" s="48">
        <v>0</v>
      </c>
      <c r="BG61" s="49">
        <v>0</v>
      </c>
      <c r="BH61" s="48">
        <v>0</v>
      </c>
      <c r="BI61" s="49">
        <v>0</v>
      </c>
      <c r="BJ61" s="48">
        <v>0</v>
      </c>
      <c r="BK61" s="49">
        <v>0</v>
      </c>
      <c r="BL61" s="48">
        <v>28</v>
      </c>
      <c r="BM61" s="49">
        <v>100</v>
      </c>
      <c r="BN61" s="48">
        <v>28</v>
      </c>
    </row>
    <row r="62" spans="1:66" ht="15">
      <c r="A62" s="66" t="s">
        <v>421</v>
      </c>
      <c r="B62" s="66" t="s">
        <v>530</v>
      </c>
      <c r="C62" s="67"/>
      <c r="D62" s="68"/>
      <c r="E62" s="69"/>
      <c r="F62" s="70"/>
      <c r="G62" s="67"/>
      <c r="H62" s="71"/>
      <c r="I62" s="72"/>
      <c r="J62" s="72"/>
      <c r="K62" s="34" t="s">
        <v>65</v>
      </c>
      <c r="L62" s="79">
        <v>114</v>
      </c>
      <c r="M62" s="79"/>
      <c r="N62" s="74"/>
      <c r="O62" s="81" t="s">
        <v>588</v>
      </c>
      <c r="P62" s="83">
        <v>44004.74774305556</v>
      </c>
      <c r="Q62" s="81" t="s">
        <v>604</v>
      </c>
      <c r="R62" s="81"/>
      <c r="S62" s="81"/>
      <c r="T62" s="81" t="s">
        <v>706</v>
      </c>
      <c r="U62" s="81"/>
      <c r="V62" s="84" t="str">
        <f>HYPERLINK("http://pbs.twimg.com/profile_images/1250135488192634880/cpcbOrEu_normal.jpg")</f>
        <v>http://pbs.twimg.com/profile_images/1250135488192634880/cpcbOrEu_normal.jpg</v>
      </c>
      <c r="W62" s="83">
        <v>44004.74774305556</v>
      </c>
      <c r="X62" s="87">
        <v>44004</v>
      </c>
      <c r="Y62" s="89" t="s">
        <v>788</v>
      </c>
      <c r="Z62" s="84" t="str">
        <f>HYPERLINK("https://twitter.com/hampshire67/status/1275125586613071872")</f>
        <v>https://twitter.com/hampshire67/status/1275125586613071872</v>
      </c>
      <c r="AA62" s="81"/>
      <c r="AB62" s="81"/>
      <c r="AC62" s="89" t="s">
        <v>997</v>
      </c>
      <c r="AD62" s="81"/>
      <c r="AE62" s="81" t="b">
        <v>0</v>
      </c>
      <c r="AF62" s="81">
        <v>0</v>
      </c>
      <c r="AG62" s="89" t="s">
        <v>1149</v>
      </c>
      <c r="AH62" s="81" t="b">
        <v>0</v>
      </c>
      <c r="AI62" s="81" t="s">
        <v>1150</v>
      </c>
      <c r="AJ62" s="81"/>
      <c r="AK62" s="89" t="s">
        <v>1149</v>
      </c>
      <c r="AL62" s="81" t="b">
        <v>0</v>
      </c>
      <c r="AM62" s="81">
        <v>3</v>
      </c>
      <c r="AN62" s="89" t="s">
        <v>996</v>
      </c>
      <c r="AO62" s="81" t="s">
        <v>1172</v>
      </c>
      <c r="AP62" s="81" t="b">
        <v>0</v>
      </c>
      <c r="AQ62" s="89" t="s">
        <v>996</v>
      </c>
      <c r="AR62" s="81" t="s">
        <v>325</v>
      </c>
      <c r="AS62" s="81">
        <v>0</v>
      </c>
      <c r="AT62" s="81">
        <v>0</v>
      </c>
      <c r="AU62" s="81"/>
      <c r="AV62" s="81"/>
      <c r="AW62" s="81"/>
      <c r="AX62" s="81"/>
      <c r="AY62" s="81"/>
      <c r="AZ62" s="81"/>
      <c r="BA62" s="81"/>
      <c r="BB62" s="81"/>
      <c r="BC62">
        <v>1</v>
      </c>
      <c r="BD62" s="80" t="str">
        <f>REPLACE(INDEX(GroupVertices[Group],MATCH(Edges25[[#This Row],[Vertex 1]],GroupVertices[Vertex],0)),1,1,"")</f>
        <v>12</v>
      </c>
      <c r="BE62" s="80" t="str">
        <f>REPLACE(INDEX(GroupVertices[Group],MATCH(Edges25[[#This Row],[Vertex 2]],GroupVertices[Vertex],0)),1,1,"")</f>
        <v>12</v>
      </c>
      <c r="BF62" s="48"/>
      <c r="BG62" s="49"/>
      <c r="BH62" s="48"/>
      <c r="BI62" s="49"/>
      <c r="BJ62" s="48"/>
      <c r="BK62" s="49"/>
      <c r="BL62" s="48"/>
      <c r="BM62" s="49"/>
      <c r="BN62" s="48"/>
    </row>
    <row r="63" spans="1:66" ht="15">
      <c r="A63" s="66" t="s">
        <v>422</v>
      </c>
      <c r="B63" s="66" t="s">
        <v>526</v>
      </c>
      <c r="C63" s="67"/>
      <c r="D63" s="68"/>
      <c r="E63" s="69"/>
      <c r="F63" s="70"/>
      <c r="G63" s="67"/>
      <c r="H63" s="71"/>
      <c r="I63" s="72"/>
      <c r="J63" s="72"/>
      <c r="K63" s="34" t="s">
        <v>65</v>
      </c>
      <c r="L63" s="79">
        <v>116</v>
      </c>
      <c r="M63" s="79"/>
      <c r="N63" s="74"/>
      <c r="O63" s="81" t="s">
        <v>587</v>
      </c>
      <c r="P63" s="83">
        <v>44004.75745370371</v>
      </c>
      <c r="Q63" s="81" t="s">
        <v>608</v>
      </c>
      <c r="R63" s="84" t="str">
        <f>HYPERLINK("https://interactive.aljazeera.com/aje/2020/saving-the-nile/index.html")</f>
        <v>https://interactive.aljazeera.com/aje/2020/saving-the-nile/index.html</v>
      </c>
      <c r="S63" s="81" t="s">
        <v>678</v>
      </c>
      <c r="T63" s="81" t="s">
        <v>703</v>
      </c>
      <c r="U63" s="81"/>
      <c r="V63" s="84" t="str">
        <f>HYPERLINK("http://pbs.twimg.com/profile_images/1073341484181712898/F-HFmuR5_normal.jpg")</f>
        <v>http://pbs.twimg.com/profile_images/1073341484181712898/F-HFmuR5_normal.jpg</v>
      </c>
      <c r="W63" s="83">
        <v>44004.75745370371</v>
      </c>
      <c r="X63" s="87">
        <v>44004</v>
      </c>
      <c r="Y63" s="89" t="s">
        <v>789</v>
      </c>
      <c r="Z63" s="84" t="str">
        <f>HYPERLINK("https://twitter.com/caleb_nwokoloo/status/1275129105432883201")</f>
        <v>https://twitter.com/caleb_nwokoloo/status/1275129105432883201</v>
      </c>
      <c r="AA63" s="81"/>
      <c r="AB63" s="81"/>
      <c r="AC63" s="89" t="s">
        <v>998</v>
      </c>
      <c r="AD63" s="81"/>
      <c r="AE63" s="81" t="b">
        <v>0</v>
      </c>
      <c r="AF63" s="81">
        <v>1</v>
      </c>
      <c r="AG63" s="89" t="s">
        <v>1149</v>
      </c>
      <c r="AH63" s="81" t="b">
        <v>0</v>
      </c>
      <c r="AI63" s="81" t="s">
        <v>1150</v>
      </c>
      <c r="AJ63" s="81"/>
      <c r="AK63" s="89" t="s">
        <v>1149</v>
      </c>
      <c r="AL63" s="81" t="b">
        <v>0</v>
      </c>
      <c r="AM63" s="81">
        <v>0</v>
      </c>
      <c r="AN63" s="89" t="s">
        <v>1149</v>
      </c>
      <c r="AO63" s="81" t="s">
        <v>1176</v>
      </c>
      <c r="AP63" s="81" t="b">
        <v>0</v>
      </c>
      <c r="AQ63" s="89" t="s">
        <v>998</v>
      </c>
      <c r="AR63" s="81" t="s">
        <v>325</v>
      </c>
      <c r="AS63" s="81">
        <v>0</v>
      </c>
      <c r="AT63" s="81">
        <v>0</v>
      </c>
      <c r="AU63" s="81"/>
      <c r="AV63" s="81"/>
      <c r="AW63" s="81"/>
      <c r="AX63" s="81"/>
      <c r="AY63" s="81"/>
      <c r="AZ63" s="81"/>
      <c r="BA63" s="81"/>
      <c r="BB63" s="81"/>
      <c r="BC63">
        <v>1</v>
      </c>
      <c r="BD63" s="80" t="str">
        <f>REPLACE(INDEX(GroupVertices[Group],MATCH(Edges25[[#This Row],[Vertex 1]],GroupVertices[Vertex],0)),1,1,"")</f>
        <v>3</v>
      </c>
      <c r="BE63" s="80" t="str">
        <f>REPLACE(INDEX(GroupVertices[Group],MATCH(Edges25[[#This Row],[Vertex 2]],GroupVertices[Vertex],0)),1,1,"")</f>
        <v>3</v>
      </c>
      <c r="BF63" s="48"/>
      <c r="BG63" s="49"/>
      <c r="BH63" s="48"/>
      <c r="BI63" s="49"/>
      <c r="BJ63" s="48"/>
      <c r="BK63" s="49"/>
      <c r="BL63" s="48"/>
      <c r="BM63" s="49"/>
      <c r="BN63" s="48"/>
    </row>
    <row r="64" spans="1:66" ht="15">
      <c r="A64" s="66" t="s">
        <v>423</v>
      </c>
      <c r="B64" s="66" t="s">
        <v>533</v>
      </c>
      <c r="C64" s="67"/>
      <c r="D64" s="68"/>
      <c r="E64" s="69"/>
      <c r="F64" s="70"/>
      <c r="G64" s="67"/>
      <c r="H64" s="71"/>
      <c r="I64" s="72"/>
      <c r="J64" s="72"/>
      <c r="K64" s="34" t="s">
        <v>65</v>
      </c>
      <c r="L64" s="79">
        <v>118</v>
      </c>
      <c r="M64" s="79"/>
      <c r="N64" s="74"/>
      <c r="O64" s="81" t="s">
        <v>587</v>
      </c>
      <c r="P64" s="83">
        <v>44004.77606481482</v>
      </c>
      <c r="Q64" s="81" t="s">
        <v>609</v>
      </c>
      <c r="R64" s="84" t="str">
        <f>HYPERLINK("https://docs.google.com/document/d/14OZElNMTJyQult42sorX5bMkhGnxgTcAlRo9kKHYoqw/edit")</f>
        <v>https://docs.google.com/document/d/14OZElNMTJyQult42sorX5bMkhGnxgTcAlRo9kKHYoqw/edit</v>
      </c>
      <c r="S64" s="81" t="s">
        <v>680</v>
      </c>
      <c r="T64" s="81" t="s">
        <v>709</v>
      </c>
      <c r="U64" s="81"/>
      <c r="V64" s="84" t="str">
        <f>HYPERLINK("http://pbs.twimg.com/profile_images/1257491671652216834/5Lr3EIHJ_normal.jpg")</f>
        <v>http://pbs.twimg.com/profile_images/1257491671652216834/5Lr3EIHJ_normal.jpg</v>
      </c>
      <c r="W64" s="83">
        <v>44004.77606481482</v>
      </c>
      <c r="X64" s="87">
        <v>44004</v>
      </c>
      <c r="Y64" s="89" t="s">
        <v>790</v>
      </c>
      <c r="Z64" s="84" t="str">
        <f>HYPERLINK("https://twitter.com/giubianconi/status/1275135849630445569")</f>
        <v>https://twitter.com/giubianconi/status/1275135849630445569</v>
      </c>
      <c r="AA64" s="81"/>
      <c r="AB64" s="81"/>
      <c r="AC64" s="89" t="s">
        <v>999</v>
      </c>
      <c r="AD64" s="81"/>
      <c r="AE64" s="81" t="b">
        <v>0</v>
      </c>
      <c r="AF64" s="81">
        <v>5</v>
      </c>
      <c r="AG64" s="89" t="s">
        <v>1149</v>
      </c>
      <c r="AH64" s="81" t="b">
        <v>0</v>
      </c>
      <c r="AI64" s="81" t="s">
        <v>1155</v>
      </c>
      <c r="AJ64" s="81"/>
      <c r="AK64" s="89" t="s">
        <v>1149</v>
      </c>
      <c r="AL64" s="81" t="b">
        <v>0</v>
      </c>
      <c r="AM64" s="81">
        <v>1</v>
      </c>
      <c r="AN64" s="89" t="s">
        <v>1149</v>
      </c>
      <c r="AO64" s="81" t="s">
        <v>1172</v>
      </c>
      <c r="AP64" s="81" t="b">
        <v>0</v>
      </c>
      <c r="AQ64" s="89" t="s">
        <v>999</v>
      </c>
      <c r="AR64" s="81" t="s">
        <v>325</v>
      </c>
      <c r="AS64" s="81">
        <v>0</v>
      </c>
      <c r="AT64" s="81">
        <v>0</v>
      </c>
      <c r="AU64" s="81"/>
      <c r="AV64" s="81"/>
      <c r="AW64" s="81"/>
      <c r="AX64" s="81"/>
      <c r="AY64" s="81"/>
      <c r="AZ64" s="81"/>
      <c r="BA64" s="81"/>
      <c r="BB64" s="81"/>
      <c r="BC64">
        <v>1</v>
      </c>
      <c r="BD64" s="80" t="str">
        <f>REPLACE(INDEX(GroupVertices[Group],MATCH(Edges25[[#This Row],[Vertex 1]],GroupVertices[Vertex],0)),1,1,"")</f>
        <v>18</v>
      </c>
      <c r="BE64" s="80" t="str">
        <f>REPLACE(INDEX(GroupVertices[Group],MATCH(Edges25[[#This Row],[Vertex 2]],GroupVertices[Vertex],0)),1,1,"")</f>
        <v>18</v>
      </c>
      <c r="BF64" s="48">
        <v>0</v>
      </c>
      <c r="BG64" s="49">
        <v>0</v>
      </c>
      <c r="BH64" s="48">
        <v>0</v>
      </c>
      <c r="BI64" s="49">
        <v>0</v>
      </c>
      <c r="BJ64" s="48">
        <v>0</v>
      </c>
      <c r="BK64" s="49">
        <v>0</v>
      </c>
      <c r="BL64" s="48">
        <v>13</v>
      </c>
      <c r="BM64" s="49">
        <v>100</v>
      </c>
      <c r="BN64" s="48">
        <v>13</v>
      </c>
    </row>
    <row r="65" spans="1:66" ht="15">
      <c r="A65" s="66" t="s">
        <v>424</v>
      </c>
      <c r="B65" s="66" t="s">
        <v>533</v>
      </c>
      <c r="C65" s="67"/>
      <c r="D65" s="68"/>
      <c r="E65" s="69"/>
      <c r="F65" s="70"/>
      <c r="G65" s="67"/>
      <c r="H65" s="71"/>
      <c r="I65" s="72"/>
      <c r="J65" s="72"/>
      <c r="K65" s="34" t="s">
        <v>65</v>
      </c>
      <c r="L65" s="79">
        <v>119</v>
      </c>
      <c r="M65" s="79"/>
      <c r="N65" s="74"/>
      <c r="O65" s="81" t="s">
        <v>588</v>
      </c>
      <c r="P65" s="83">
        <v>44004.77706018519</v>
      </c>
      <c r="Q65" s="81" t="s">
        <v>609</v>
      </c>
      <c r="R65" s="84" t="str">
        <f>HYPERLINK("https://docs.google.com/document/d/14OZElNMTJyQult42sorX5bMkhGnxgTcAlRo9kKHYoqw/edit")</f>
        <v>https://docs.google.com/document/d/14OZElNMTJyQult42sorX5bMkhGnxgTcAlRo9kKHYoqw/edit</v>
      </c>
      <c r="S65" s="81" t="s">
        <v>680</v>
      </c>
      <c r="T65" s="81" t="s">
        <v>710</v>
      </c>
      <c r="U65" s="81"/>
      <c r="V65" s="84" t="str">
        <f>HYPERLINK("http://pbs.twimg.com/profile_images/1275078217825542149/ygeXKC2H_normal.jpg")</f>
        <v>http://pbs.twimg.com/profile_images/1275078217825542149/ygeXKC2H_normal.jpg</v>
      </c>
      <c r="W65" s="83">
        <v>44004.77706018519</v>
      </c>
      <c r="X65" s="87">
        <v>44004</v>
      </c>
      <c r="Y65" s="89" t="s">
        <v>791</v>
      </c>
      <c r="Z65" s="84" t="str">
        <f>HYPERLINK("https://twitter.com/rodolfoalmd/status/1275136211632435200")</f>
        <v>https://twitter.com/rodolfoalmd/status/1275136211632435200</v>
      </c>
      <c r="AA65" s="81"/>
      <c r="AB65" s="81"/>
      <c r="AC65" s="89" t="s">
        <v>1000</v>
      </c>
      <c r="AD65" s="81"/>
      <c r="AE65" s="81" t="b">
        <v>0</v>
      </c>
      <c r="AF65" s="81">
        <v>0</v>
      </c>
      <c r="AG65" s="89" t="s">
        <v>1149</v>
      </c>
      <c r="AH65" s="81" t="b">
        <v>0</v>
      </c>
      <c r="AI65" s="81" t="s">
        <v>1155</v>
      </c>
      <c r="AJ65" s="81"/>
      <c r="AK65" s="89" t="s">
        <v>1149</v>
      </c>
      <c r="AL65" s="81" t="b">
        <v>0</v>
      </c>
      <c r="AM65" s="81">
        <v>1</v>
      </c>
      <c r="AN65" s="89" t="s">
        <v>999</v>
      </c>
      <c r="AO65" s="81" t="s">
        <v>1175</v>
      </c>
      <c r="AP65" s="81" t="b">
        <v>0</v>
      </c>
      <c r="AQ65" s="89" t="s">
        <v>999</v>
      </c>
      <c r="AR65" s="81" t="s">
        <v>325</v>
      </c>
      <c r="AS65" s="81">
        <v>0</v>
      </c>
      <c r="AT65" s="81">
        <v>0</v>
      </c>
      <c r="AU65" s="81"/>
      <c r="AV65" s="81"/>
      <c r="AW65" s="81"/>
      <c r="AX65" s="81"/>
      <c r="AY65" s="81"/>
      <c r="AZ65" s="81"/>
      <c r="BA65" s="81"/>
      <c r="BB65" s="81"/>
      <c r="BC65">
        <v>1</v>
      </c>
      <c r="BD65" s="80" t="str">
        <f>REPLACE(INDEX(GroupVertices[Group],MATCH(Edges25[[#This Row],[Vertex 1]],GroupVertices[Vertex],0)),1,1,"")</f>
        <v>18</v>
      </c>
      <c r="BE65" s="80" t="str">
        <f>REPLACE(INDEX(GroupVertices[Group],MATCH(Edges25[[#This Row],[Vertex 2]],GroupVertices[Vertex],0)),1,1,"")</f>
        <v>18</v>
      </c>
      <c r="BF65" s="48"/>
      <c r="BG65" s="49"/>
      <c r="BH65" s="48"/>
      <c r="BI65" s="49"/>
      <c r="BJ65" s="48"/>
      <c r="BK65" s="49"/>
      <c r="BL65" s="48"/>
      <c r="BM65" s="49"/>
      <c r="BN65" s="48"/>
    </row>
    <row r="66" spans="1:66" ht="15">
      <c r="A66" s="66" t="s">
        <v>425</v>
      </c>
      <c r="B66" s="66" t="s">
        <v>526</v>
      </c>
      <c r="C66" s="67"/>
      <c r="D66" s="68"/>
      <c r="E66" s="69"/>
      <c r="F66" s="70"/>
      <c r="G66" s="67"/>
      <c r="H66" s="71"/>
      <c r="I66" s="72"/>
      <c r="J66" s="72"/>
      <c r="K66" s="34" t="s">
        <v>65</v>
      </c>
      <c r="L66" s="79">
        <v>121</v>
      </c>
      <c r="M66" s="79"/>
      <c r="N66" s="74"/>
      <c r="O66" s="81" t="s">
        <v>587</v>
      </c>
      <c r="P66" s="83">
        <v>44004.796898148146</v>
      </c>
      <c r="Q66" s="81" t="s">
        <v>610</v>
      </c>
      <c r="R66" s="84" t="str">
        <f>HYPERLINK("https://interactive.aljazeera.com/aje/2020/saving-the-nile/index.html")</f>
        <v>https://interactive.aljazeera.com/aje/2020/saving-the-nile/index.html</v>
      </c>
      <c r="S66" s="81" t="s">
        <v>678</v>
      </c>
      <c r="T66" s="81" t="s">
        <v>703</v>
      </c>
      <c r="U66" s="81"/>
      <c r="V66" s="84" t="str">
        <f>HYPERLINK("http://pbs.twimg.com/profile_images/670755807248654337/0io4RFOc_normal.jpg")</f>
        <v>http://pbs.twimg.com/profile_images/670755807248654337/0io4RFOc_normal.jpg</v>
      </c>
      <c r="W66" s="83">
        <v>44004.796898148146</v>
      </c>
      <c r="X66" s="87">
        <v>44004</v>
      </c>
      <c r="Y66" s="89" t="s">
        <v>792</v>
      </c>
      <c r="Z66" s="84" t="str">
        <f>HYPERLINK("https://twitter.com/pittilla_o/status/1275143400199684109")</f>
        <v>https://twitter.com/pittilla_o/status/1275143400199684109</v>
      </c>
      <c r="AA66" s="81"/>
      <c r="AB66" s="81"/>
      <c r="AC66" s="89" t="s">
        <v>1001</v>
      </c>
      <c r="AD66" s="81"/>
      <c r="AE66" s="81" t="b">
        <v>0</v>
      </c>
      <c r="AF66" s="81">
        <v>0</v>
      </c>
      <c r="AG66" s="89" t="s">
        <v>1149</v>
      </c>
      <c r="AH66" s="81" t="b">
        <v>0</v>
      </c>
      <c r="AI66" s="81" t="s">
        <v>1150</v>
      </c>
      <c r="AJ66" s="81"/>
      <c r="AK66" s="89" t="s">
        <v>1149</v>
      </c>
      <c r="AL66" s="81" t="b">
        <v>0</v>
      </c>
      <c r="AM66" s="81">
        <v>0</v>
      </c>
      <c r="AN66" s="89" t="s">
        <v>1149</v>
      </c>
      <c r="AO66" s="81" t="s">
        <v>1176</v>
      </c>
      <c r="AP66" s="81" t="b">
        <v>0</v>
      </c>
      <c r="AQ66" s="89" t="s">
        <v>1001</v>
      </c>
      <c r="AR66" s="81" t="s">
        <v>325</v>
      </c>
      <c r="AS66" s="81">
        <v>0</v>
      </c>
      <c r="AT66" s="81">
        <v>0</v>
      </c>
      <c r="AU66" s="81"/>
      <c r="AV66" s="81"/>
      <c r="AW66" s="81"/>
      <c r="AX66" s="81"/>
      <c r="AY66" s="81"/>
      <c r="AZ66" s="81"/>
      <c r="BA66" s="81"/>
      <c r="BB66" s="81"/>
      <c r="BC66">
        <v>1</v>
      </c>
      <c r="BD66" s="80" t="str">
        <f>REPLACE(INDEX(GroupVertices[Group],MATCH(Edges25[[#This Row],[Vertex 1]],GroupVertices[Vertex],0)),1,1,"")</f>
        <v>3</v>
      </c>
      <c r="BE66" s="80" t="str">
        <f>REPLACE(INDEX(GroupVertices[Group],MATCH(Edges25[[#This Row],[Vertex 2]],GroupVertices[Vertex],0)),1,1,"")</f>
        <v>3</v>
      </c>
      <c r="BF66" s="48"/>
      <c r="BG66" s="49"/>
      <c r="BH66" s="48"/>
      <c r="BI66" s="49"/>
      <c r="BJ66" s="48"/>
      <c r="BK66" s="49"/>
      <c r="BL66" s="48"/>
      <c r="BM66" s="49"/>
      <c r="BN66" s="48"/>
    </row>
    <row r="67" spans="1:66" ht="15">
      <c r="A67" s="66" t="s">
        <v>426</v>
      </c>
      <c r="B67" s="66" t="s">
        <v>513</v>
      </c>
      <c r="C67" s="67"/>
      <c r="D67" s="68"/>
      <c r="E67" s="69"/>
      <c r="F67" s="70"/>
      <c r="G67" s="67"/>
      <c r="H67" s="71"/>
      <c r="I67" s="72"/>
      <c r="J67" s="72"/>
      <c r="K67" s="34" t="s">
        <v>65</v>
      </c>
      <c r="L67" s="79">
        <v>123</v>
      </c>
      <c r="M67" s="79"/>
      <c r="N67" s="74"/>
      <c r="O67" s="81" t="s">
        <v>588</v>
      </c>
      <c r="P67" s="83">
        <v>44004.798425925925</v>
      </c>
      <c r="Q67" s="81" t="s">
        <v>595</v>
      </c>
      <c r="R67" s="81"/>
      <c r="S67" s="81"/>
      <c r="T67" s="81"/>
      <c r="U67" s="81"/>
      <c r="V67" s="84" t="str">
        <f>HYPERLINK("http://pbs.twimg.com/profile_images/1048739117247467520/xi6VVCb8_normal.jpg")</f>
        <v>http://pbs.twimg.com/profile_images/1048739117247467520/xi6VVCb8_normal.jpg</v>
      </c>
      <c r="W67" s="83">
        <v>44004.798425925925</v>
      </c>
      <c r="X67" s="87">
        <v>44004</v>
      </c>
      <c r="Y67" s="89" t="s">
        <v>793</v>
      </c>
      <c r="Z67" s="84" t="str">
        <f>HYPERLINK("https://twitter.com/bitten_/status/1275143955232034827")</f>
        <v>https://twitter.com/bitten_/status/1275143955232034827</v>
      </c>
      <c r="AA67" s="81"/>
      <c r="AB67" s="81"/>
      <c r="AC67" s="89" t="s">
        <v>1002</v>
      </c>
      <c r="AD67" s="81"/>
      <c r="AE67" s="81" t="b">
        <v>0</v>
      </c>
      <c r="AF67" s="81">
        <v>0</v>
      </c>
      <c r="AG67" s="89" t="s">
        <v>1149</v>
      </c>
      <c r="AH67" s="81" t="b">
        <v>0</v>
      </c>
      <c r="AI67" s="81" t="s">
        <v>1150</v>
      </c>
      <c r="AJ67" s="81"/>
      <c r="AK67" s="89" t="s">
        <v>1149</v>
      </c>
      <c r="AL67" s="81" t="b">
        <v>0</v>
      </c>
      <c r="AM67" s="81">
        <v>37</v>
      </c>
      <c r="AN67" s="89" t="s">
        <v>1142</v>
      </c>
      <c r="AO67" s="81" t="s">
        <v>1165</v>
      </c>
      <c r="AP67" s="81" t="b">
        <v>0</v>
      </c>
      <c r="AQ67" s="89" t="s">
        <v>1142</v>
      </c>
      <c r="AR67" s="81" t="s">
        <v>325</v>
      </c>
      <c r="AS67" s="81">
        <v>0</v>
      </c>
      <c r="AT67" s="81">
        <v>0</v>
      </c>
      <c r="AU67" s="81"/>
      <c r="AV67" s="81"/>
      <c r="AW67" s="81"/>
      <c r="AX67" s="81"/>
      <c r="AY67" s="81"/>
      <c r="AZ67" s="81"/>
      <c r="BA67" s="81"/>
      <c r="BB67" s="81"/>
      <c r="BC67">
        <v>1</v>
      </c>
      <c r="BD67" s="80" t="str">
        <f>REPLACE(INDEX(GroupVertices[Group],MATCH(Edges25[[#This Row],[Vertex 1]],GroupVertices[Vertex],0)),1,1,"")</f>
        <v>2</v>
      </c>
      <c r="BE67" s="80" t="str">
        <f>REPLACE(INDEX(GroupVertices[Group],MATCH(Edges25[[#This Row],[Vertex 2]],GroupVertices[Vertex],0)),1,1,"")</f>
        <v>2</v>
      </c>
      <c r="BF67" s="48"/>
      <c r="BG67" s="49"/>
      <c r="BH67" s="48"/>
      <c r="BI67" s="49"/>
      <c r="BJ67" s="48"/>
      <c r="BK67" s="49"/>
      <c r="BL67" s="48"/>
      <c r="BM67" s="49"/>
      <c r="BN67" s="48"/>
    </row>
    <row r="68" spans="1:66" ht="15">
      <c r="A68" s="66" t="s">
        <v>427</v>
      </c>
      <c r="B68" s="66" t="s">
        <v>513</v>
      </c>
      <c r="C68" s="67"/>
      <c r="D68" s="68"/>
      <c r="E68" s="69"/>
      <c r="F68" s="70"/>
      <c r="G68" s="67"/>
      <c r="H68" s="71"/>
      <c r="I68" s="72"/>
      <c r="J68" s="72"/>
      <c r="K68" s="34" t="s">
        <v>65</v>
      </c>
      <c r="L68" s="79">
        <v>125</v>
      </c>
      <c r="M68" s="79"/>
      <c r="N68" s="74"/>
      <c r="O68" s="81" t="s">
        <v>588</v>
      </c>
      <c r="P68" s="83">
        <v>44004.8146875</v>
      </c>
      <c r="Q68" s="81" t="s">
        <v>595</v>
      </c>
      <c r="R68" s="81"/>
      <c r="S68" s="81"/>
      <c r="T68" s="81"/>
      <c r="U68" s="81"/>
      <c r="V68" s="84" t="str">
        <f>HYPERLINK("http://pbs.twimg.com/profile_images/1034180623924187137/DOAITlAr_normal.jpg")</f>
        <v>http://pbs.twimg.com/profile_images/1034180623924187137/DOAITlAr_normal.jpg</v>
      </c>
      <c r="W68" s="83">
        <v>44004.8146875</v>
      </c>
      <c r="X68" s="87">
        <v>44004</v>
      </c>
      <c r="Y68" s="89" t="s">
        <v>794</v>
      </c>
      <c r="Z68" s="84" t="str">
        <f>HYPERLINK("https://twitter.com/edsaperia/status/1275149846438129664")</f>
        <v>https://twitter.com/edsaperia/status/1275149846438129664</v>
      </c>
      <c r="AA68" s="81"/>
      <c r="AB68" s="81"/>
      <c r="AC68" s="89" t="s">
        <v>1003</v>
      </c>
      <c r="AD68" s="81"/>
      <c r="AE68" s="81" t="b">
        <v>0</v>
      </c>
      <c r="AF68" s="81">
        <v>0</v>
      </c>
      <c r="AG68" s="89" t="s">
        <v>1149</v>
      </c>
      <c r="AH68" s="81" t="b">
        <v>0</v>
      </c>
      <c r="AI68" s="81" t="s">
        <v>1150</v>
      </c>
      <c r="AJ68" s="81"/>
      <c r="AK68" s="89" t="s">
        <v>1149</v>
      </c>
      <c r="AL68" s="81" t="b">
        <v>0</v>
      </c>
      <c r="AM68" s="81">
        <v>37</v>
      </c>
      <c r="AN68" s="89" t="s">
        <v>1142</v>
      </c>
      <c r="AO68" s="81" t="s">
        <v>1165</v>
      </c>
      <c r="AP68" s="81" t="b">
        <v>0</v>
      </c>
      <c r="AQ68" s="89" t="s">
        <v>1142</v>
      </c>
      <c r="AR68" s="81" t="s">
        <v>325</v>
      </c>
      <c r="AS68" s="81">
        <v>0</v>
      </c>
      <c r="AT68" s="81">
        <v>0</v>
      </c>
      <c r="AU68" s="81"/>
      <c r="AV68" s="81"/>
      <c r="AW68" s="81"/>
      <c r="AX68" s="81"/>
      <c r="AY68" s="81"/>
      <c r="AZ68" s="81"/>
      <c r="BA68" s="81"/>
      <c r="BB68" s="81"/>
      <c r="BC68">
        <v>1</v>
      </c>
      <c r="BD68" s="80" t="str">
        <f>REPLACE(INDEX(GroupVertices[Group],MATCH(Edges25[[#This Row],[Vertex 1]],GroupVertices[Vertex],0)),1,1,"")</f>
        <v>2</v>
      </c>
      <c r="BE68" s="80" t="str">
        <f>REPLACE(INDEX(GroupVertices[Group],MATCH(Edges25[[#This Row],[Vertex 2]],GroupVertices[Vertex],0)),1,1,"")</f>
        <v>2</v>
      </c>
      <c r="BF68" s="48"/>
      <c r="BG68" s="49"/>
      <c r="BH68" s="48"/>
      <c r="BI68" s="49"/>
      <c r="BJ68" s="48"/>
      <c r="BK68" s="49"/>
      <c r="BL68" s="48"/>
      <c r="BM68" s="49"/>
      <c r="BN68" s="48"/>
    </row>
    <row r="69" spans="1:66" ht="15">
      <c r="A69" s="66" t="s">
        <v>428</v>
      </c>
      <c r="B69" s="66" t="s">
        <v>513</v>
      </c>
      <c r="C69" s="67"/>
      <c r="D69" s="68"/>
      <c r="E69" s="69"/>
      <c r="F69" s="70"/>
      <c r="G69" s="67"/>
      <c r="H69" s="71"/>
      <c r="I69" s="72"/>
      <c r="J69" s="72"/>
      <c r="K69" s="34" t="s">
        <v>65</v>
      </c>
      <c r="L69" s="79">
        <v>127</v>
      </c>
      <c r="M69" s="79"/>
      <c r="N69" s="74"/>
      <c r="O69" s="81" t="s">
        <v>588</v>
      </c>
      <c r="P69" s="83">
        <v>44004.81491898148</v>
      </c>
      <c r="Q69" s="81" t="s">
        <v>595</v>
      </c>
      <c r="R69" s="81"/>
      <c r="S69" s="81"/>
      <c r="T69" s="81"/>
      <c r="U69" s="81"/>
      <c r="V69" s="84" t="str">
        <f>HYPERLINK("http://pbs.twimg.com/profile_images/599530591386804224/fBztcZ41_normal.png")</f>
        <v>http://pbs.twimg.com/profile_images/599530591386804224/fBztcZ41_normal.png</v>
      </c>
      <c r="W69" s="83">
        <v>44004.81491898148</v>
      </c>
      <c r="X69" s="87">
        <v>44004</v>
      </c>
      <c r="Y69" s="89" t="s">
        <v>795</v>
      </c>
      <c r="Z69" s="84" t="str">
        <f>HYPERLINK("https://twitter.com/nwspk/status/1275149932723408896")</f>
        <v>https://twitter.com/nwspk/status/1275149932723408896</v>
      </c>
      <c r="AA69" s="81"/>
      <c r="AB69" s="81"/>
      <c r="AC69" s="89" t="s">
        <v>1004</v>
      </c>
      <c r="AD69" s="81"/>
      <c r="AE69" s="81" t="b">
        <v>0</v>
      </c>
      <c r="AF69" s="81">
        <v>0</v>
      </c>
      <c r="AG69" s="89" t="s">
        <v>1149</v>
      </c>
      <c r="AH69" s="81" t="b">
        <v>0</v>
      </c>
      <c r="AI69" s="81" t="s">
        <v>1150</v>
      </c>
      <c r="AJ69" s="81"/>
      <c r="AK69" s="89" t="s">
        <v>1149</v>
      </c>
      <c r="AL69" s="81" t="b">
        <v>0</v>
      </c>
      <c r="AM69" s="81">
        <v>37</v>
      </c>
      <c r="AN69" s="89" t="s">
        <v>1142</v>
      </c>
      <c r="AO69" s="81" t="s">
        <v>1165</v>
      </c>
      <c r="AP69" s="81" t="b">
        <v>0</v>
      </c>
      <c r="AQ69" s="89" t="s">
        <v>1142</v>
      </c>
      <c r="AR69" s="81" t="s">
        <v>325</v>
      </c>
      <c r="AS69" s="81">
        <v>0</v>
      </c>
      <c r="AT69" s="81">
        <v>0</v>
      </c>
      <c r="AU69" s="81"/>
      <c r="AV69" s="81"/>
      <c r="AW69" s="81"/>
      <c r="AX69" s="81"/>
      <c r="AY69" s="81"/>
      <c r="AZ69" s="81"/>
      <c r="BA69" s="81"/>
      <c r="BB69" s="81"/>
      <c r="BC69">
        <v>1</v>
      </c>
      <c r="BD69" s="80" t="str">
        <f>REPLACE(INDEX(GroupVertices[Group],MATCH(Edges25[[#This Row],[Vertex 1]],GroupVertices[Vertex],0)),1,1,"")</f>
        <v>2</v>
      </c>
      <c r="BE69" s="80" t="str">
        <f>REPLACE(INDEX(GroupVertices[Group],MATCH(Edges25[[#This Row],[Vertex 2]],GroupVertices[Vertex],0)),1,1,"")</f>
        <v>2</v>
      </c>
      <c r="BF69" s="48"/>
      <c r="BG69" s="49"/>
      <c r="BH69" s="48"/>
      <c r="BI69" s="49"/>
      <c r="BJ69" s="48"/>
      <c r="BK69" s="49"/>
      <c r="BL69" s="48"/>
      <c r="BM69" s="49"/>
      <c r="BN69" s="48"/>
    </row>
    <row r="70" spans="1:66" ht="15">
      <c r="A70" s="66" t="s">
        <v>429</v>
      </c>
      <c r="B70" s="66" t="s">
        <v>513</v>
      </c>
      <c r="C70" s="67"/>
      <c r="D70" s="68"/>
      <c r="E70" s="69"/>
      <c r="F70" s="70"/>
      <c r="G70" s="67"/>
      <c r="H70" s="71"/>
      <c r="I70" s="72"/>
      <c r="J70" s="72"/>
      <c r="K70" s="34" t="s">
        <v>65</v>
      </c>
      <c r="L70" s="79">
        <v>129</v>
      </c>
      <c r="M70" s="79"/>
      <c r="N70" s="74"/>
      <c r="O70" s="81" t="s">
        <v>588</v>
      </c>
      <c r="P70" s="83">
        <v>44004.81601851852</v>
      </c>
      <c r="Q70" s="81" t="s">
        <v>595</v>
      </c>
      <c r="R70" s="81"/>
      <c r="S70" s="81"/>
      <c r="T70" s="81"/>
      <c r="U70" s="81"/>
      <c r="V70" s="84" t="str">
        <f>HYPERLINK("http://pbs.twimg.com/profile_images/698092851230597120/It5x34IP_normal.jpg")</f>
        <v>http://pbs.twimg.com/profile_images/698092851230597120/It5x34IP_normal.jpg</v>
      </c>
      <c r="W70" s="83">
        <v>44004.81601851852</v>
      </c>
      <c r="X70" s="87">
        <v>44004</v>
      </c>
      <c r="Y70" s="89" t="s">
        <v>796</v>
      </c>
      <c r="Z70" s="84" t="str">
        <f>HYPERLINK("https://twitter.com/aliossandro/status/1275150332117516288")</f>
        <v>https://twitter.com/aliossandro/status/1275150332117516288</v>
      </c>
      <c r="AA70" s="81"/>
      <c r="AB70" s="81"/>
      <c r="AC70" s="89" t="s">
        <v>1005</v>
      </c>
      <c r="AD70" s="81"/>
      <c r="AE70" s="81" t="b">
        <v>0</v>
      </c>
      <c r="AF70" s="81">
        <v>0</v>
      </c>
      <c r="AG70" s="89" t="s">
        <v>1149</v>
      </c>
      <c r="AH70" s="81" t="b">
        <v>0</v>
      </c>
      <c r="AI70" s="81" t="s">
        <v>1150</v>
      </c>
      <c r="AJ70" s="81"/>
      <c r="AK70" s="89" t="s">
        <v>1149</v>
      </c>
      <c r="AL70" s="81" t="b">
        <v>0</v>
      </c>
      <c r="AM70" s="81">
        <v>37</v>
      </c>
      <c r="AN70" s="89" t="s">
        <v>1142</v>
      </c>
      <c r="AO70" s="81" t="s">
        <v>1165</v>
      </c>
      <c r="AP70" s="81" t="b">
        <v>0</v>
      </c>
      <c r="AQ70" s="89" t="s">
        <v>1142</v>
      </c>
      <c r="AR70" s="81" t="s">
        <v>325</v>
      </c>
      <c r="AS70" s="81">
        <v>0</v>
      </c>
      <c r="AT70" s="81">
        <v>0</v>
      </c>
      <c r="AU70" s="81"/>
      <c r="AV70" s="81"/>
      <c r="AW70" s="81"/>
      <c r="AX70" s="81"/>
      <c r="AY70" s="81"/>
      <c r="AZ70" s="81"/>
      <c r="BA70" s="81"/>
      <c r="BB70" s="81"/>
      <c r="BC70">
        <v>1</v>
      </c>
      <c r="BD70" s="80" t="str">
        <f>REPLACE(INDEX(GroupVertices[Group],MATCH(Edges25[[#This Row],[Vertex 1]],GroupVertices[Vertex],0)),1,1,"")</f>
        <v>2</v>
      </c>
      <c r="BE70" s="80" t="str">
        <f>REPLACE(INDEX(GroupVertices[Group],MATCH(Edges25[[#This Row],[Vertex 2]],GroupVertices[Vertex],0)),1,1,"")</f>
        <v>2</v>
      </c>
      <c r="BF70" s="48"/>
      <c r="BG70" s="49"/>
      <c r="BH70" s="48"/>
      <c r="BI70" s="49"/>
      <c r="BJ70" s="48"/>
      <c r="BK70" s="49"/>
      <c r="BL70" s="48"/>
      <c r="BM70" s="49"/>
      <c r="BN70" s="48"/>
    </row>
    <row r="71" spans="1:66" ht="15">
      <c r="A71" s="66" t="s">
        <v>430</v>
      </c>
      <c r="B71" s="66" t="s">
        <v>513</v>
      </c>
      <c r="C71" s="67"/>
      <c r="D71" s="68"/>
      <c r="E71" s="69"/>
      <c r="F71" s="70"/>
      <c r="G71" s="67"/>
      <c r="H71" s="71"/>
      <c r="I71" s="72"/>
      <c r="J71" s="72"/>
      <c r="K71" s="34" t="s">
        <v>65</v>
      </c>
      <c r="L71" s="79">
        <v>131</v>
      </c>
      <c r="M71" s="79"/>
      <c r="N71" s="74"/>
      <c r="O71" s="81" t="s">
        <v>588</v>
      </c>
      <c r="P71" s="83">
        <v>44004.82032407408</v>
      </c>
      <c r="Q71" s="81" t="s">
        <v>595</v>
      </c>
      <c r="R71" s="81"/>
      <c r="S71" s="81"/>
      <c r="T71" s="81"/>
      <c r="U71" s="81"/>
      <c r="V71" s="84" t="str">
        <f>HYPERLINK("http://pbs.twimg.com/profile_images/781970179362328576/5L4gfy0p_normal.jpg")</f>
        <v>http://pbs.twimg.com/profile_images/781970179362328576/5L4gfy0p_normal.jpg</v>
      </c>
      <c r="W71" s="83">
        <v>44004.82032407408</v>
      </c>
      <c r="X71" s="87">
        <v>44004</v>
      </c>
      <c r="Y71" s="89" t="s">
        <v>797</v>
      </c>
      <c r="Z71" s="84" t="str">
        <f>HYPERLINK("https://twitter.com/jaggeree/status/1275151891232669696")</f>
        <v>https://twitter.com/jaggeree/status/1275151891232669696</v>
      </c>
      <c r="AA71" s="81"/>
      <c r="AB71" s="81"/>
      <c r="AC71" s="89" t="s">
        <v>1006</v>
      </c>
      <c r="AD71" s="81"/>
      <c r="AE71" s="81" t="b">
        <v>0</v>
      </c>
      <c r="AF71" s="81">
        <v>0</v>
      </c>
      <c r="AG71" s="89" t="s">
        <v>1149</v>
      </c>
      <c r="AH71" s="81" t="b">
        <v>0</v>
      </c>
      <c r="AI71" s="81" t="s">
        <v>1150</v>
      </c>
      <c r="AJ71" s="81"/>
      <c r="AK71" s="89" t="s">
        <v>1149</v>
      </c>
      <c r="AL71" s="81" t="b">
        <v>0</v>
      </c>
      <c r="AM71" s="81">
        <v>37</v>
      </c>
      <c r="AN71" s="89" t="s">
        <v>1142</v>
      </c>
      <c r="AO71" s="81" t="s">
        <v>1165</v>
      </c>
      <c r="AP71" s="81" t="b">
        <v>0</v>
      </c>
      <c r="AQ71" s="89" t="s">
        <v>1142</v>
      </c>
      <c r="AR71" s="81" t="s">
        <v>325</v>
      </c>
      <c r="AS71" s="81">
        <v>0</v>
      </c>
      <c r="AT71" s="81">
        <v>0</v>
      </c>
      <c r="AU71" s="81"/>
      <c r="AV71" s="81"/>
      <c r="AW71" s="81"/>
      <c r="AX71" s="81"/>
      <c r="AY71" s="81"/>
      <c r="AZ71" s="81"/>
      <c r="BA71" s="81"/>
      <c r="BB71" s="81"/>
      <c r="BC71">
        <v>1</v>
      </c>
      <c r="BD71" s="80" t="str">
        <f>REPLACE(INDEX(GroupVertices[Group],MATCH(Edges25[[#This Row],[Vertex 1]],GroupVertices[Vertex],0)),1,1,"")</f>
        <v>2</v>
      </c>
      <c r="BE71" s="80" t="str">
        <f>REPLACE(INDEX(GroupVertices[Group],MATCH(Edges25[[#This Row],[Vertex 2]],GroupVertices[Vertex],0)),1,1,"")</f>
        <v>2</v>
      </c>
      <c r="BF71" s="48"/>
      <c r="BG71" s="49"/>
      <c r="BH71" s="48"/>
      <c r="BI71" s="49"/>
      <c r="BJ71" s="48"/>
      <c r="BK71" s="49"/>
      <c r="BL71" s="48"/>
      <c r="BM71" s="49"/>
      <c r="BN71" s="48"/>
    </row>
    <row r="72" spans="1:66" ht="15">
      <c r="A72" s="66" t="s">
        <v>431</v>
      </c>
      <c r="B72" s="66" t="s">
        <v>513</v>
      </c>
      <c r="C72" s="67"/>
      <c r="D72" s="68"/>
      <c r="E72" s="69"/>
      <c r="F72" s="70"/>
      <c r="G72" s="67"/>
      <c r="H72" s="71"/>
      <c r="I72" s="72"/>
      <c r="J72" s="72"/>
      <c r="K72" s="34" t="s">
        <v>65</v>
      </c>
      <c r="L72" s="79">
        <v>133</v>
      </c>
      <c r="M72" s="79"/>
      <c r="N72" s="74"/>
      <c r="O72" s="81" t="s">
        <v>588</v>
      </c>
      <c r="P72" s="83">
        <v>44004.82119212963</v>
      </c>
      <c r="Q72" s="81" t="s">
        <v>595</v>
      </c>
      <c r="R72" s="81"/>
      <c r="S72" s="81"/>
      <c r="T72" s="81"/>
      <c r="U72" s="81"/>
      <c r="V72" s="84" t="str">
        <f>HYPERLINK("http://pbs.twimg.com/profile_images/1251278438738153478/-t0YaKbz_normal.jpg")</f>
        <v>http://pbs.twimg.com/profile_images/1251278438738153478/-t0YaKbz_normal.jpg</v>
      </c>
      <c r="W72" s="83">
        <v>44004.82119212963</v>
      </c>
      <c r="X72" s="87">
        <v>44004</v>
      </c>
      <c r="Y72" s="89" t="s">
        <v>798</v>
      </c>
      <c r="Z72" s="84" t="str">
        <f>HYPERLINK("https://twitter.com/helloyorick/status/1275152206270955522")</f>
        <v>https://twitter.com/helloyorick/status/1275152206270955522</v>
      </c>
      <c r="AA72" s="81"/>
      <c r="AB72" s="81"/>
      <c r="AC72" s="89" t="s">
        <v>1007</v>
      </c>
      <c r="AD72" s="81"/>
      <c r="AE72" s="81" t="b">
        <v>0</v>
      </c>
      <c r="AF72" s="81">
        <v>0</v>
      </c>
      <c r="AG72" s="89" t="s">
        <v>1149</v>
      </c>
      <c r="AH72" s="81" t="b">
        <v>0</v>
      </c>
      <c r="AI72" s="81" t="s">
        <v>1150</v>
      </c>
      <c r="AJ72" s="81"/>
      <c r="AK72" s="89" t="s">
        <v>1149</v>
      </c>
      <c r="AL72" s="81" t="b">
        <v>0</v>
      </c>
      <c r="AM72" s="81">
        <v>37</v>
      </c>
      <c r="AN72" s="89" t="s">
        <v>1142</v>
      </c>
      <c r="AO72" s="81" t="s">
        <v>1172</v>
      </c>
      <c r="AP72" s="81" t="b">
        <v>0</v>
      </c>
      <c r="AQ72" s="89" t="s">
        <v>1142</v>
      </c>
      <c r="AR72" s="81" t="s">
        <v>325</v>
      </c>
      <c r="AS72" s="81">
        <v>0</v>
      </c>
      <c r="AT72" s="81">
        <v>0</v>
      </c>
      <c r="AU72" s="81"/>
      <c r="AV72" s="81"/>
      <c r="AW72" s="81"/>
      <c r="AX72" s="81"/>
      <c r="AY72" s="81"/>
      <c r="AZ72" s="81"/>
      <c r="BA72" s="81"/>
      <c r="BB72" s="81"/>
      <c r="BC72">
        <v>1</v>
      </c>
      <c r="BD72" s="80" t="str">
        <f>REPLACE(INDEX(GroupVertices[Group],MATCH(Edges25[[#This Row],[Vertex 1]],GroupVertices[Vertex],0)),1,1,"")</f>
        <v>2</v>
      </c>
      <c r="BE72" s="80" t="str">
        <f>REPLACE(INDEX(GroupVertices[Group],MATCH(Edges25[[#This Row],[Vertex 2]],GroupVertices[Vertex],0)),1,1,"")</f>
        <v>2</v>
      </c>
      <c r="BF72" s="48"/>
      <c r="BG72" s="49"/>
      <c r="BH72" s="48"/>
      <c r="BI72" s="49"/>
      <c r="BJ72" s="48"/>
      <c r="BK72" s="49"/>
      <c r="BL72" s="48"/>
      <c r="BM72" s="49"/>
      <c r="BN72" s="48"/>
    </row>
    <row r="73" spans="1:66" ht="15">
      <c r="A73" s="66" t="s">
        <v>432</v>
      </c>
      <c r="B73" s="66" t="s">
        <v>513</v>
      </c>
      <c r="C73" s="67"/>
      <c r="D73" s="68"/>
      <c r="E73" s="69"/>
      <c r="F73" s="70"/>
      <c r="G73" s="67"/>
      <c r="H73" s="71"/>
      <c r="I73" s="72"/>
      <c r="J73" s="72"/>
      <c r="K73" s="34" t="s">
        <v>65</v>
      </c>
      <c r="L73" s="79">
        <v>135</v>
      </c>
      <c r="M73" s="79"/>
      <c r="N73" s="74"/>
      <c r="O73" s="81" t="s">
        <v>588</v>
      </c>
      <c r="P73" s="83">
        <v>44004.82199074074</v>
      </c>
      <c r="Q73" s="81" t="s">
        <v>595</v>
      </c>
      <c r="R73" s="81"/>
      <c r="S73" s="81"/>
      <c r="T73" s="81"/>
      <c r="U73" s="81"/>
      <c r="V73" s="84" t="str">
        <f>HYPERLINK("http://pbs.twimg.com/profile_images/1234049276851970048/XhutsjwL_normal.jpg")</f>
        <v>http://pbs.twimg.com/profile_images/1234049276851970048/XhutsjwL_normal.jpg</v>
      </c>
      <c r="W73" s="83">
        <v>44004.82199074074</v>
      </c>
      <c r="X73" s="87">
        <v>44004</v>
      </c>
      <c r="Y73" s="89" t="s">
        <v>799</v>
      </c>
      <c r="Z73" s="84" t="str">
        <f>HYPERLINK("https://twitter.com/emmamarkiewicz/status/1275152493585014784")</f>
        <v>https://twitter.com/emmamarkiewicz/status/1275152493585014784</v>
      </c>
      <c r="AA73" s="81"/>
      <c r="AB73" s="81"/>
      <c r="AC73" s="89" t="s">
        <v>1008</v>
      </c>
      <c r="AD73" s="81"/>
      <c r="AE73" s="81" t="b">
        <v>0</v>
      </c>
      <c r="AF73" s="81">
        <v>0</v>
      </c>
      <c r="AG73" s="89" t="s">
        <v>1149</v>
      </c>
      <c r="AH73" s="81" t="b">
        <v>0</v>
      </c>
      <c r="AI73" s="81" t="s">
        <v>1150</v>
      </c>
      <c r="AJ73" s="81"/>
      <c r="AK73" s="89" t="s">
        <v>1149</v>
      </c>
      <c r="AL73" s="81" t="b">
        <v>0</v>
      </c>
      <c r="AM73" s="81">
        <v>37</v>
      </c>
      <c r="AN73" s="89" t="s">
        <v>1142</v>
      </c>
      <c r="AO73" s="81" t="s">
        <v>1177</v>
      </c>
      <c r="AP73" s="81" t="b">
        <v>0</v>
      </c>
      <c r="AQ73" s="89" t="s">
        <v>1142</v>
      </c>
      <c r="AR73" s="81" t="s">
        <v>325</v>
      </c>
      <c r="AS73" s="81">
        <v>0</v>
      </c>
      <c r="AT73" s="81">
        <v>0</v>
      </c>
      <c r="AU73" s="81"/>
      <c r="AV73" s="81"/>
      <c r="AW73" s="81"/>
      <c r="AX73" s="81"/>
      <c r="AY73" s="81"/>
      <c r="AZ73" s="81"/>
      <c r="BA73" s="81"/>
      <c r="BB73" s="81"/>
      <c r="BC73">
        <v>1</v>
      </c>
      <c r="BD73" s="80" t="str">
        <f>REPLACE(INDEX(GroupVertices[Group],MATCH(Edges25[[#This Row],[Vertex 1]],GroupVertices[Vertex],0)),1,1,"")</f>
        <v>2</v>
      </c>
      <c r="BE73" s="80" t="str">
        <f>REPLACE(INDEX(GroupVertices[Group],MATCH(Edges25[[#This Row],[Vertex 2]],GroupVertices[Vertex],0)),1,1,"")</f>
        <v>2</v>
      </c>
      <c r="BF73" s="48"/>
      <c r="BG73" s="49"/>
      <c r="BH73" s="48"/>
      <c r="BI73" s="49"/>
      <c r="BJ73" s="48"/>
      <c r="BK73" s="49"/>
      <c r="BL73" s="48"/>
      <c r="BM73" s="49"/>
      <c r="BN73" s="48"/>
    </row>
    <row r="74" spans="1:66" ht="15">
      <c r="A74" s="66" t="s">
        <v>433</v>
      </c>
      <c r="B74" s="66" t="s">
        <v>513</v>
      </c>
      <c r="C74" s="67"/>
      <c r="D74" s="68"/>
      <c r="E74" s="69"/>
      <c r="F74" s="70"/>
      <c r="G74" s="67"/>
      <c r="H74" s="71"/>
      <c r="I74" s="72"/>
      <c r="J74" s="72"/>
      <c r="K74" s="34" t="s">
        <v>65</v>
      </c>
      <c r="L74" s="79">
        <v>137</v>
      </c>
      <c r="M74" s="79"/>
      <c r="N74" s="74"/>
      <c r="O74" s="81" t="s">
        <v>588</v>
      </c>
      <c r="P74" s="83">
        <v>44004.823958333334</v>
      </c>
      <c r="Q74" s="81" t="s">
        <v>595</v>
      </c>
      <c r="R74" s="81"/>
      <c r="S74" s="81"/>
      <c r="T74" s="81"/>
      <c r="U74" s="81"/>
      <c r="V74" s="84" t="str">
        <f>HYPERLINK("http://pbs.twimg.com/profile_images/1216879724217163776/40wFa6-9_normal.jpg")</f>
        <v>http://pbs.twimg.com/profile_images/1216879724217163776/40wFa6-9_normal.jpg</v>
      </c>
      <c r="W74" s="83">
        <v>44004.823958333334</v>
      </c>
      <c r="X74" s="87">
        <v>44004</v>
      </c>
      <c r="Y74" s="89" t="s">
        <v>800</v>
      </c>
      <c r="Z74" s="84" t="str">
        <f>HYPERLINK("https://twitter.com/maggotlaw/status/1275153207510122497")</f>
        <v>https://twitter.com/maggotlaw/status/1275153207510122497</v>
      </c>
      <c r="AA74" s="81"/>
      <c r="AB74" s="81"/>
      <c r="AC74" s="89" t="s">
        <v>1009</v>
      </c>
      <c r="AD74" s="81"/>
      <c r="AE74" s="81" t="b">
        <v>0</v>
      </c>
      <c r="AF74" s="81">
        <v>0</v>
      </c>
      <c r="AG74" s="89" t="s">
        <v>1149</v>
      </c>
      <c r="AH74" s="81" t="b">
        <v>0</v>
      </c>
      <c r="AI74" s="81" t="s">
        <v>1150</v>
      </c>
      <c r="AJ74" s="81"/>
      <c r="AK74" s="89" t="s">
        <v>1149</v>
      </c>
      <c r="AL74" s="81" t="b">
        <v>0</v>
      </c>
      <c r="AM74" s="81">
        <v>37</v>
      </c>
      <c r="AN74" s="89" t="s">
        <v>1142</v>
      </c>
      <c r="AO74" s="81" t="s">
        <v>1165</v>
      </c>
      <c r="AP74" s="81" t="b">
        <v>0</v>
      </c>
      <c r="AQ74" s="89" t="s">
        <v>1142</v>
      </c>
      <c r="AR74" s="81" t="s">
        <v>325</v>
      </c>
      <c r="AS74" s="81">
        <v>0</v>
      </c>
      <c r="AT74" s="81">
        <v>0</v>
      </c>
      <c r="AU74" s="81"/>
      <c r="AV74" s="81"/>
      <c r="AW74" s="81"/>
      <c r="AX74" s="81"/>
      <c r="AY74" s="81"/>
      <c r="AZ74" s="81"/>
      <c r="BA74" s="81"/>
      <c r="BB74" s="81"/>
      <c r="BC74">
        <v>1</v>
      </c>
      <c r="BD74" s="80" t="str">
        <f>REPLACE(INDEX(GroupVertices[Group],MATCH(Edges25[[#This Row],[Vertex 1]],GroupVertices[Vertex],0)),1,1,"")</f>
        <v>2</v>
      </c>
      <c r="BE74" s="80" t="str">
        <f>REPLACE(INDEX(GroupVertices[Group],MATCH(Edges25[[#This Row],[Vertex 2]],GroupVertices[Vertex],0)),1,1,"")</f>
        <v>2</v>
      </c>
      <c r="BF74" s="48"/>
      <c r="BG74" s="49"/>
      <c r="BH74" s="48"/>
      <c r="BI74" s="49"/>
      <c r="BJ74" s="48"/>
      <c r="BK74" s="49"/>
      <c r="BL74" s="48"/>
      <c r="BM74" s="49"/>
      <c r="BN74" s="48"/>
    </row>
    <row r="75" spans="1:66" ht="15">
      <c r="A75" s="66" t="s">
        <v>434</v>
      </c>
      <c r="B75" s="66" t="s">
        <v>513</v>
      </c>
      <c r="C75" s="67"/>
      <c r="D75" s="68"/>
      <c r="E75" s="69"/>
      <c r="F75" s="70"/>
      <c r="G75" s="67"/>
      <c r="H75" s="71"/>
      <c r="I75" s="72"/>
      <c r="J75" s="72"/>
      <c r="K75" s="34" t="s">
        <v>65</v>
      </c>
      <c r="L75" s="79">
        <v>139</v>
      </c>
      <c r="M75" s="79"/>
      <c r="N75" s="74"/>
      <c r="O75" s="81" t="s">
        <v>588</v>
      </c>
      <c r="P75" s="83">
        <v>44004.825636574074</v>
      </c>
      <c r="Q75" s="81" t="s">
        <v>595</v>
      </c>
      <c r="R75" s="81"/>
      <c r="S75" s="81"/>
      <c r="T75" s="81"/>
      <c r="U75" s="81"/>
      <c r="V75" s="84" t="str">
        <f>HYPERLINK("http://pbs.twimg.com/profile_images/1128296472640880642/4uFC-Crr_normal.png")</f>
        <v>http://pbs.twimg.com/profile_images/1128296472640880642/4uFC-Crr_normal.png</v>
      </c>
      <c r="W75" s="83">
        <v>44004.825636574074</v>
      </c>
      <c r="X75" s="87">
        <v>44004</v>
      </c>
      <c r="Y75" s="89" t="s">
        <v>801</v>
      </c>
      <c r="Z75" s="84" t="str">
        <f>HYPERLINK("https://twitter.com/aliceolilly/status/1275153816049127424")</f>
        <v>https://twitter.com/aliceolilly/status/1275153816049127424</v>
      </c>
      <c r="AA75" s="81"/>
      <c r="AB75" s="81"/>
      <c r="AC75" s="89" t="s">
        <v>1010</v>
      </c>
      <c r="AD75" s="81"/>
      <c r="AE75" s="81" t="b">
        <v>0</v>
      </c>
      <c r="AF75" s="81">
        <v>0</v>
      </c>
      <c r="AG75" s="89" t="s">
        <v>1149</v>
      </c>
      <c r="AH75" s="81" t="b">
        <v>0</v>
      </c>
      <c r="AI75" s="81" t="s">
        <v>1150</v>
      </c>
      <c r="AJ75" s="81"/>
      <c r="AK75" s="89" t="s">
        <v>1149</v>
      </c>
      <c r="AL75" s="81" t="b">
        <v>0</v>
      </c>
      <c r="AM75" s="81">
        <v>37</v>
      </c>
      <c r="AN75" s="89" t="s">
        <v>1142</v>
      </c>
      <c r="AO75" s="81" t="s">
        <v>1172</v>
      </c>
      <c r="AP75" s="81" t="b">
        <v>0</v>
      </c>
      <c r="AQ75" s="89" t="s">
        <v>1142</v>
      </c>
      <c r="AR75" s="81" t="s">
        <v>325</v>
      </c>
      <c r="AS75" s="81">
        <v>0</v>
      </c>
      <c r="AT75" s="81">
        <v>0</v>
      </c>
      <c r="AU75" s="81"/>
      <c r="AV75" s="81"/>
      <c r="AW75" s="81"/>
      <c r="AX75" s="81"/>
      <c r="AY75" s="81"/>
      <c r="AZ75" s="81"/>
      <c r="BA75" s="81"/>
      <c r="BB75" s="81"/>
      <c r="BC75">
        <v>1</v>
      </c>
      <c r="BD75" s="80" t="str">
        <f>REPLACE(INDEX(GroupVertices[Group],MATCH(Edges25[[#This Row],[Vertex 1]],GroupVertices[Vertex],0)),1,1,"")</f>
        <v>2</v>
      </c>
      <c r="BE75" s="80" t="str">
        <f>REPLACE(INDEX(GroupVertices[Group],MATCH(Edges25[[#This Row],[Vertex 2]],GroupVertices[Vertex],0)),1,1,"")</f>
        <v>2</v>
      </c>
      <c r="BF75" s="48"/>
      <c r="BG75" s="49"/>
      <c r="BH75" s="48"/>
      <c r="BI75" s="49"/>
      <c r="BJ75" s="48"/>
      <c r="BK75" s="49"/>
      <c r="BL75" s="48"/>
      <c r="BM75" s="49"/>
      <c r="BN75" s="48"/>
    </row>
    <row r="76" spans="1:66" ht="15">
      <c r="A76" s="66" t="s">
        <v>435</v>
      </c>
      <c r="B76" s="66" t="s">
        <v>534</v>
      </c>
      <c r="C76" s="67"/>
      <c r="D76" s="68"/>
      <c r="E76" s="69"/>
      <c r="F76" s="70"/>
      <c r="G76" s="67"/>
      <c r="H76" s="71"/>
      <c r="I76" s="72"/>
      <c r="J76" s="72"/>
      <c r="K76" s="34" t="s">
        <v>65</v>
      </c>
      <c r="L76" s="79">
        <v>141</v>
      </c>
      <c r="M76" s="79"/>
      <c r="N76" s="74"/>
      <c r="O76" s="81" t="s">
        <v>588</v>
      </c>
      <c r="P76" s="83">
        <v>44004.8328125</v>
      </c>
      <c r="Q76" s="81" t="s">
        <v>611</v>
      </c>
      <c r="R76" s="81"/>
      <c r="S76" s="81"/>
      <c r="T76" s="81" t="s">
        <v>711</v>
      </c>
      <c r="U76" s="81"/>
      <c r="V76" s="84" t="str">
        <f>HYPERLINK("http://pbs.twimg.com/profile_images/1270044490762465280/wFVYXJz-_normal.jpg")</f>
        <v>http://pbs.twimg.com/profile_images/1270044490762465280/wFVYXJz-_normal.jpg</v>
      </c>
      <c r="W76" s="83">
        <v>44004.8328125</v>
      </c>
      <c r="X76" s="87">
        <v>44004</v>
      </c>
      <c r="Y76" s="89" t="s">
        <v>802</v>
      </c>
      <c r="Z76" s="84" t="str">
        <f>HYPERLINK("https://twitter.com/ryansagare/status/1275156416748281857")</f>
        <v>https://twitter.com/ryansagare/status/1275156416748281857</v>
      </c>
      <c r="AA76" s="81"/>
      <c r="AB76" s="81"/>
      <c r="AC76" s="89" t="s">
        <v>1011</v>
      </c>
      <c r="AD76" s="81"/>
      <c r="AE76" s="81" t="b">
        <v>0</v>
      </c>
      <c r="AF76" s="81">
        <v>0</v>
      </c>
      <c r="AG76" s="89" t="s">
        <v>1149</v>
      </c>
      <c r="AH76" s="81" t="b">
        <v>0</v>
      </c>
      <c r="AI76" s="81" t="s">
        <v>1150</v>
      </c>
      <c r="AJ76" s="81"/>
      <c r="AK76" s="89" t="s">
        <v>1149</v>
      </c>
      <c r="AL76" s="81" t="b">
        <v>0</v>
      </c>
      <c r="AM76" s="81">
        <v>23</v>
      </c>
      <c r="AN76" s="89" t="s">
        <v>1139</v>
      </c>
      <c r="AO76" s="81" t="s">
        <v>1172</v>
      </c>
      <c r="AP76" s="81" t="b">
        <v>0</v>
      </c>
      <c r="AQ76" s="89" t="s">
        <v>1139</v>
      </c>
      <c r="AR76" s="81" t="s">
        <v>325</v>
      </c>
      <c r="AS76" s="81">
        <v>0</v>
      </c>
      <c r="AT76" s="81">
        <v>0</v>
      </c>
      <c r="AU76" s="81"/>
      <c r="AV76" s="81"/>
      <c r="AW76" s="81"/>
      <c r="AX76" s="81"/>
      <c r="AY76" s="81"/>
      <c r="AZ76" s="81"/>
      <c r="BA76" s="81"/>
      <c r="BB76" s="81"/>
      <c r="BC76">
        <v>1</v>
      </c>
      <c r="BD76" s="80" t="str">
        <f>REPLACE(INDEX(GroupVertices[Group],MATCH(Edges25[[#This Row],[Vertex 1]],GroupVertices[Vertex],0)),1,1,"")</f>
        <v>4</v>
      </c>
      <c r="BE76" s="80" t="str">
        <f>REPLACE(INDEX(GroupVertices[Group],MATCH(Edges25[[#This Row],[Vertex 2]],GroupVertices[Vertex],0)),1,1,"")</f>
        <v>4</v>
      </c>
      <c r="BF76" s="48"/>
      <c r="BG76" s="49"/>
      <c r="BH76" s="48"/>
      <c r="BI76" s="49"/>
      <c r="BJ76" s="48"/>
      <c r="BK76" s="49"/>
      <c r="BL76" s="48"/>
      <c r="BM76" s="49"/>
      <c r="BN76" s="48"/>
    </row>
    <row r="77" spans="1:66" ht="15">
      <c r="A77" s="66" t="s">
        <v>436</v>
      </c>
      <c r="B77" s="66" t="s">
        <v>513</v>
      </c>
      <c r="C77" s="67"/>
      <c r="D77" s="68"/>
      <c r="E77" s="69"/>
      <c r="F77" s="70"/>
      <c r="G77" s="67"/>
      <c r="H77" s="71"/>
      <c r="I77" s="72"/>
      <c r="J77" s="72"/>
      <c r="K77" s="34" t="s">
        <v>65</v>
      </c>
      <c r="L77" s="79">
        <v>143</v>
      </c>
      <c r="M77" s="79"/>
      <c r="N77" s="74"/>
      <c r="O77" s="81" t="s">
        <v>588</v>
      </c>
      <c r="P77" s="83">
        <v>44004.834444444445</v>
      </c>
      <c r="Q77" s="81" t="s">
        <v>595</v>
      </c>
      <c r="R77" s="81"/>
      <c r="S77" s="81"/>
      <c r="T77" s="81"/>
      <c r="U77" s="81"/>
      <c r="V77" s="84" t="str">
        <f>HYPERLINK("http://pbs.twimg.com/profile_images/1228314766223069184/4ZlSbaZL_normal.jpg")</f>
        <v>http://pbs.twimg.com/profile_images/1228314766223069184/4ZlSbaZL_normal.jpg</v>
      </c>
      <c r="W77" s="83">
        <v>44004.834444444445</v>
      </c>
      <c r="X77" s="87">
        <v>44004</v>
      </c>
      <c r="Y77" s="89" t="s">
        <v>803</v>
      </c>
      <c r="Z77" s="84" t="str">
        <f>HYPERLINK("https://twitter.com/agilchristpike/status/1275157005573992449")</f>
        <v>https://twitter.com/agilchristpike/status/1275157005573992449</v>
      </c>
      <c r="AA77" s="81"/>
      <c r="AB77" s="81"/>
      <c r="AC77" s="89" t="s">
        <v>1012</v>
      </c>
      <c r="AD77" s="81"/>
      <c r="AE77" s="81" t="b">
        <v>0</v>
      </c>
      <c r="AF77" s="81">
        <v>0</v>
      </c>
      <c r="AG77" s="89" t="s">
        <v>1149</v>
      </c>
      <c r="AH77" s="81" t="b">
        <v>0</v>
      </c>
      <c r="AI77" s="81" t="s">
        <v>1150</v>
      </c>
      <c r="AJ77" s="81"/>
      <c r="AK77" s="89" t="s">
        <v>1149</v>
      </c>
      <c r="AL77" s="81" t="b">
        <v>0</v>
      </c>
      <c r="AM77" s="81">
        <v>37</v>
      </c>
      <c r="AN77" s="89" t="s">
        <v>1142</v>
      </c>
      <c r="AO77" s="81" t="s">
        <v>1172</v>
      </c>
      <c r="AP77" s="81" t="b">
        <v>0</v>
      </c>
      <c r="AQ77" s="89" t="s">
        <v>1142</v>
      </c>
      <c r="AR77" s="81" t="s">
        <v>325</v>
      </c>
      <c r="AS77" s="81">
        <v>0</v>
      </c>
      <c r="AT77" s="81">
        <v>0</v>
      </c>
      <c r="AU77" s="81"/>
      <c r="AV77" s="81"/>
      <c r="AW77" s="81"/>
      <c r="AX77" s="81"/>
      <c r="AY77" s="81"/>
      <c r="AZ77" s="81"/>
      <c r="BA77" s="81"/>
      <c r="BB77" s="81"/>
      <c r="BC77">
        <v>1</v>
      </c>
      <c r="BD77" s="80" t="str">
        <f>REPLACE(INDEX(GroupVertices[Group],MATCH(Edges25[[#This Row],[Vertex 1]],GroupVertices[Vertex],0)),1,1,"")</f>
        <v>2</v>
      </c>
      <c r="BE77" s="80" t="str">
        <f>REPLACE(INDEX(GroupVertices[Group],MATCH(Edges25[[#This Row],[Vertex 2]],GroupVertices[Vertex],0)),1,1,"")</f>
        <v>2</v>
      </c>
      <c r="BF77" s="48"/>
      <c r="BG77" s="49"/>
      <c r="BH77" s="48"/>
      <c r="BI77" s="49"/>
      <c r="BJ77" s="48"/>
      <c r="BK77" s="49"/>
      <c r="BL77" s="48"/>
      <c r="BM77" s="49"/>
      <c r="BN77" s="48"/>
    </row>
    <row r="78" spans="1:66" ht="15">
      <c r="A78" s="66" t="s">
        <v>437</v>
      </c>
      <c r="B78" s="66" t="s">
        <v>526</v>
      </c>
      <c r="C78" s="67"/>
      <c r="D78" s="68"/>
      <c r="E78" s="69"/>
      <c r="F78" s="70"/>
      <c r="G78" s="67"/>
      <c r="H78" s="71"/>
      <c r="I78" s="72"/>
      <c r="J78" s="72"/>
      <c r="K78" s="34" t="s">
        <v>65</v>
      </c>
      <c r="L78" s="79">
        <v>145</v>
      </c>
      <c r="M78" s="79"/>
      <c r="N78" s="74"/>
      <c r="O78" s="81" t="s">
        <v>588</v>
      </c>
      <c r="P78" s="83">
        <v>44004.834872685184</v>
      </c>
      <c r="Q78" s="81" t="s">
        <v>612</v>
      </c>
      <c r="R78" s="81"/>
      <c r="S78" s="81"/>
      <c r="T78" s="81" t="s">
        <v>703</v>
      </c>
      <c r="U78" s="81"/>
      <c r="V78" s="84" t="str">
        <f>HYPERLINK("http://pbs.twimg.com/profile_images/1247792742849056769/ngW359z8_normal.jpg")</f>
        <v>http://pbs.twimg.com/profile_images/1247792742849056769/ngW359z8_normal.jpg</v>
      </c>
      <c r="W78" s="83">
        <v>44004.834872685184</v>
      </c>
      <c r="X78" s="87">
        <v>44004</v>
      </c>
      <c r="Y78" s="89" t="s">
        <v>804</v>
      </c>
      <c r="Z78" s="84" t="str">
        <f>HYPERLINK("https://twitter.com/mrvisgeography/status/1275157164286451716")</f>
        <v>https://twitter.com/mrvisgeography/status/1275157164286451716</v>
      </c>
      <c r="AA78" s="81"/>
      <c r="AB78" s="81"/>
      <c r="AC78" s="89" t="s">
        <v>1013</v>
      </c>
      <c r="AD78" s="81"/>
      <c r="AE78" s="81" t="b">
        <v>0</v>
      </c>
      <c r="AF78" s="81">
        <v>0</v>
      </c>
      <c r="AG78" s="89" t="s">
        <v>1149</v>
      </c>
      <c r="AH78" s="81" t="b">
        <v>0</v>
      </c>
      <c r="AI78" s="81" t="s">
        <v>1150</v>
      </c>
      <c r="AJ78" s="81"/>
      <c r="AK78" s="89" t="s">
        <v>1149</v>
      </c>
      <c r="AL78" s="81" t="b">
        <v>0</v>
      </c>
      <c r="AM78" s="81">
        <v>16</v>
      </c>
      <c r="AN78" s="89" t="s">
        <v>1137</v>
      </c>
      <c r="AO78" s="81" t="s">
        <v>1176</v>
      </c>
      <c r="AP78" s="81" t="b">
        <v>0</v>
      </c>
      <c r="AQ78" s="89" t="s">
        <v>1137</v>
      </c>
      <c r="AR78" s="81" t="s">
        <v>325</v>
      </c>
      <c r="AS78" s="81">
        <v>0</v>
      </c>
      <c r="AT78" s="81">
        <v>0</v>
      </c>
      <c r="AU78" s="81"/>
      <c r="AV78" s="81"/>
      <c r="AW78" s="81"/>
      <c r="AX78" s="81"/>
      <c r="AY78" s="81"/>
      <c r="AZ78" s="81"/>
      <c r="BA78" s="81"/>
      <c r="BB78" s="81"/>
      <c r="BC78">
        <v>1</v>
      </c>
      <c r="BD78" s="80" t="str">
        <f>REPLACE(INDEX(GroupVertices[Group],MATCH(Edges25[[#This Row],[Vertex 1]],GroupVertices[Vertex],0)),1,1,"")</f>
        <v>3</v>
      </c>
      <c r="BE78" s="80" t="str">
        <f>REPLACE(INDEX(GroupVertices[Group],MATCH(Edges25[[#This Row],[Vertex 2]],GroupVertices[Vertex],0)),1,1,"")</f>
        <v>3</v>
      </c>
      <c r="BF78" s="48"/>
      <c r="BG78" s="49"/>
      <c r="BH78" s="48"/>
      <c r="BI78" s="49"/>
      <c r="BJ78" s="48"/>
      <c r="BK78" s="49"/>
      <c r="BL78" s="48"/>
      <c r="BM78" s="49"/>
      <c r="BN78" s="48"/>
    </row>
    <row r="79" spans="1:66" ht="15">
      <c r="A79" s="66" t="s">
        <v>438</v>
      </c>
      <c r="B79" s="66" t="s">
        <v>513</v>
      </c>
      <c r="C79" s="67"/>
      <c r="D79" s="68"/>
      <c r="E79" s="69"/>
      <c r="F79" s="70"/>
      <c r="G79" s="67"/>
      <c r="H79" s="71"/>
      <c r="I79" s="72"/>
      <c r="J79" s="72"/>
      <c r="K79" s="34" t="s">
        <v>65</v>
      </c>
      <c r="L79" s="79">
        <v>148</v>
      </c>
      <c r="M79" s="79"/>
      <c r="N79" s="74"/>
      <c r="O79" s="81" t="s">
        <v>588</v>
      </c>
      <c r="P79" s="83">
        <v>44004.837743055556</v>
      </c>
      <c r="Q79" s="81" t="s">
        <v>595</v>
      </c>
      <c r="R79" s="81"/>
      <c r="S79" s="81"/>
      <c r="T79" s="81"/>
      <c r="U79" s="81"/>
      <c r="V79" s="84" t="str">
        <f>HYPERLINK("http://pbs.twimg.com/profile_images/1150333779573166080/5Gh56cGN_normal.jpg")</f>
        <v>http://pbs.twimg.com/profile_images/1150333779573166080/5Gh56cGN_normal.jpg</v>
      </c>
      <c r="W79" s="83">
        <v>44004.837743055556</v>
      </c>
      <c r="X79" s="87">
        <v>44004</v>
      </c>
      <c r="Y79" s="89" t="s">
        <v>805</v>
      </c>
      <c r="Z79" s="84" t="str">
        <f>HYPERLINK("https://twitter.com/eoinmcfadden/status/1275158202611568641")</f>
        <v>https://twitter.com/eoinmcfadden/status/1275158202611568641</v>
      </c>
      <c r="AA79" s="81"/>
      <c r="AB79" s="81"/>
      <c r="AC79" s="89" t="s">
        <v>1014</v>
      </c>
      <c r="AD79" s="81"/>
      <c r="AE79" s="81" t="b">
        <v>0</v>
      </c>
      <c r="AF79" s="81">
        <v>0</v>
      </c>
      <c r="AG79" s="89" t="s">
        <v>1149</v>
      </c>
      <c r="AH79" s="81" t="b">
        <v>0</v>
      </c>
      <c r="AI79" s="81" t="s">
        <v>1150</v>
      </c>
      <c r="AJ79" s="81"/>
      <c r="AK79" s="89" t="s">
        <v>1149</v>
      </c>
      <c r="AL79" s="81" t="b">
        <v>0</v>
      </c>
      <c r="AM79" s="81">
        <v>37</v>
      </c>
      <c r="AN79" s="89" t="s">
        <v>1142</v>
      </c>
      <c r="AO79" s="81" t="s">
        <v>1172</v>
      </c>
      <c r="AP79" s="81" t="b">
        <v>0</v>
      </c>
      <c r="AQ79" s="89" t="s">
        <v>1142</v>
      </c>
      <c r="AR79" s="81" t="s">
        <v>325</v>
      </c>
      <c r="AS79" s="81">
        <v>0</v>
      </c>
      <c r="AT79" s="81">
        <v>0</v>
      </c>
      <c r="AU79" s="81"/>
      <c r="AV79" s="81"/>
      <c r="AW79" s="81"/>
      <c r="AX79" s="81"/>
      <c r="AY79" s="81"/>
      <c r="AZ79" s="81"/>
      <c r="BA79" s="81"/>
      <c r="BB79" s="81"/>
      <c r="BC79">
        <v>1</v>
      </c>
      <c r="BD79" s="80" t="str">
        <f>REPLACE(INDEX(GroupVertices[Group],MATCH(Edges25[[#This Row],[Vertex 1]],GroupVertices[Vertex],0)),1,1,"")</f>
        <v>2</v>
      </c>
      <c r="BE79" s="80" t="str">
        <f>REPLACE(INDEX(GroupVertices[Group],MATCH(Edges25[[#This Row],[Vertex 2]],GroupVertices[Vertex],0)),1,1,"")</f>
        <v>2</v>
      </c>
      <c r="BF79" s="48"/>
      <c r="BG79" s="49"/>
      <c r="BH79" s="48"/>
      <c r="BI79" s="49"/>
      <c r="BJ79" s="48"/>
      <c r="BK79" s="49"/>
      <c r="BL79" s="48"/>
      <c r="BM79" s="49"/>
      <c r="BN79" s="48"/>
    </row>
    <row r="80" spans="1:66" ht="15">
      <c r="A80" s="66" t="s">
        <v>439</v>
      </c>
      <c r="B80" s="66" t="s">
        <v>513</v>
      </c>
      <c r="C80" s="67"/>
      <c r="D80" s="68"/>
      <c r="E80" s="69"/>
      <c r="F80" s="70"/>
      <c r="G80" s="67"/>
      <c r="H80" s="71"/>
      <c r="I80" s="72"/>
      <c r="J80" s="72"/>
      <c r="K80" s="34" t="s">
        <v>65</v>
      </c>
      <c r="L80" s="79">
        <v>150</v>
      </c>
      <c r="M80" s="79"/>
      <c r="N80" s="74"/>
      <c r="O80" s="81" t="s">
        <v>588</v>
      </c>
      <c r="P80" s="83">
        <v>44004.83871527778</v>
      </c>
      <c r="Q80" s="81" t="s">
        <v>595</v>
      </c>
      <c r="R80" s="81"/>
      <c r="S80" s="81"/>
      <c r="T80" s="81"/>
      <c r="U80" s="81"/>
      <c r="V80" s="84" t="str">
        <f>HYPERLINK("http://pbs.twimg.com/profile_images/1270622425563217921/tU7vG6JV_normal.jpg")</f>
        <v>http://pbs.twimg.com/profile_images/1270622425563217921/tU7vG6JV_normal.jpg</v>
      </c>
      <c r="W80" s="83">
        <v>44004.83871527778</v>
      </c>
      <c r="X80" s="87">
        <v>44004</v>
      </c>
      <c r="Y80" s="89" t="s">
        <v>806</v>
      </c>
      <c r="Z80" s="84" t="str">
        <f>HYPERLINK("https://twitter.com/jasonbelldata/status/1275158554014597122")</f>
        <v>https://twitter.com/jasonbelldata/status/1275158554014597122</v>
      </c>
      <c r="AA80" s="81"/>
      <c r="AB80" s="81"/>
      <c r="AC80" s="89" t="s">
        <v>1015</v>
      </c>
      <c r="AD80" s="81"/>
      <c r="AE80" s="81" t="b">
        <v>0</v>
      </c>
      <c r="AF80" s="81">
        <v>0</v>
      </c>
      <c r="AG80" s="89" t="s">
        <v>1149</v>
      </c>
      <c r="AH80" s="81" t="b">
        <v>0</v>
      </c>
      <c r="AI80" s="81" t="s">
        <v>1150</v>
      </c>
      <c r="AJ80" s="81"/>
      <c r="AK80" s="89" t="s">
        <v>1149</v>
      </c>
      <c r="AL80" s="81" t="b">
        <v>0</v>
      </c>
      <c r="AM80" s="81">
        <v>37</v>
      </c>
      <c r="AN80" s="89" t="s">
        <v>1142</v>
      </c>
      <c r="AO80" s="81" t="s">
        <v>1176</v>
      </c>
      <c r="AP80" s="81" t="b">
        <v>0</v>
      </c>
      <c r="AQ80" s="89" t="s">
        <v>1142</v>
      </c>
      <c r="AR80" s="81" t="s">
        <v>325</v>
      </c>
      <c r="AS80" s="81">
        <v>0</v>
      </c>
      <c r="AT80" s="81">
        <v>0</v>
      </c>
      <c r="AU80" s="81"/>
      <c r="AV80" s="81"/>
      <c r="AW80" s="81"/>
      <c r="AX80" s="81"/>
      <c r="AY80" s="81"/>
      <c r="AZ80" s="81"/>
      <c r="BA80" s="81"/>
      <c r="BB80" s="81"/>
      <c r="BC80">
        <v>1</v>
      </c>
      <c r="BD80" s="80" t="str">
        <f>REPLACE(INDEX(GroupVertices[Group],MATCH(Edges25[[#This Row],[Vertex 1]],GroupVertices[Vertex],0)),1,1,"")</f>
        <v>2</v>
      </c>
      <c r="BE80" s="80" t="str">
        <f>REPLACE(INDEX(GroupVertices[Group],MATCH(Edges25[[#This Row],[Vertex 2]],GroupVertices[Vertex],0)),1,1,"")</f>
        <v>2</v>
      </c>
      <c r="BF80" s="48"/>
      <c r="BG80" s="49"/>
      <c r="BH80" s="48"/>
      <c r="BI80" s="49"/>
      <c r="BJ80" s="48"/>
      <c r="BK80" s="49"/>
      <c r="BL80" s="48"/>
      <c r="BM80" s="49"/>
      <c r="BN80" s="48"/>
    </row>
    <row r="81" spans="1:66" ht="15">
      <c r="A81" s="66" t="s">
        <v>440</v>
      </c>
      <c r="B81" s="66" t="s">
        <v>514</v>
      </c>
      <c r="C81" s="67"/>
      <c r="D81" s="68"/>
      <c r="E81" s="69"/>
      <c r="F81" s="70"/>
      <c r="G81" s="67"/>
      <c r="H81" s="71"/>
      <c r="I81" s="72"/>
      <c r="J81" s="72"/>
      <c r="K81" s="34" t="s">
        <v>65</v>
      </c>
      <c r="L81" s="79">
        <v>152</v>
      </c>
      <c r="M81" s="79"/>
      <c r="N81" s="74"/>
      <c r="O81" s="81" t="s">
        <v>586</v>
      </c>
      <c r="P81" s="83">
        <v>44004.841365740744</v>
      </c>
      <c r="Q81" s="81" t="s">
        <v>613</v>
      </c>
      <c r="R81" s="81"/>
      <c r="S81" s="81"/>
      <c r="T81" s="81" t="s">
        <v>699</v>
      </c>
      <c r="U81" s="81"/>
      <c r="V81" s="84" t="str">
        <f>HYPERLINK("http://pbs.twimg.com/profile_images/2695904339/942121048881be1d5f306d6df33688be_normal.jpeg")</f>
        <v>http://pbs.twimg.com/profile_images/2695904339/942121048881be1d5f306d6df33688be_normal.jpeg</v>
      </c>
      <c r="W81" s="83">
        <v>44004.841365740744</v>
      </c>
      <c r="X81" s="87">
        <v>44004</v>
      </c>
      <c r="Y81" s="89" t="s">
        <v>807</v>
      </c>
      <c r="Z81" s="84" t="str">
        <f>HYPERLINK("https://twitter.com/mortlin/status/1275159513595875331")</f>
        <v>https://twitter.com/mortlin/status/1275159513595875331</v>
      </c>
      <c r="AA81" s="81"/>
      <c r="AB81" s="81"/>
      <c r="AC81" s="89" t="s">
        <v>1016</v>
      </c>
      <c r="AD81" s="81"/>
      <c r="AE81" s="81" t="b">
        <v>0</v>
      </c>
      <c r="AF81" s="81">
        <v>0</v>
      </c>
      <c r="AG81" s="89" t="s">
        <v>1149</v>
      </c>
      <c r="AH81" s="81" t="b">
        <v>0</v>
      </c>
      <c r="AI81" s="81" t="s">
        <v>1150</v>
      </c>
      <c r="AJ81" s="81"/>
      <c r="AK81" s="89" t="s">
        <v>1149</v>
      </c>
      <c r="AL81" s="81" t="b">
        <v>0</v>
      </c>
      <c r="AM81" s="81">
        <v>3</v>
      </c>
      <c r="AN81" s="89" t="s">
        <v>1143</v>
      </c>
      <c r="AO81" s="81" t="s">
        <v>1176</v>
      </c>
      <c r="AP81" s="81" t="b">
        <v>0</v>
      </c>
      <c r="AQ81" s="89" t="s">
        <v>1143</v>
      </c>
      <c r="AR81" s="81" t="s">
        <v>325</v>
      </c>
      <c r="AS81" s="81">
        <v>0</v>
      </c>
      <c r="AT81" s="81">
        <v>0</v>
      </c>
      <c r="AU81" s="81"/>
      <c r="AV81" s="81"/>
      <c r="AW81" s="81"/>
      <c r="AX81" s="81"/>
      <c r="AY81" s="81"/>
      <c r="AZ81" s="81"/>
      <c r="BA81" s="81"/>
      <c r="BB81" s="81"/>
      <c r="BC81">
        <v>1</v>
      </c>
      <c r="BD81" s="80" t="str">
        <f>REPLACE(INDEX(GroupVertices[Group],MATCH(Edges25[[#This Row],[Vertex 1]],GroupVertices[Vertex],0)),1,1,"")</f>
        <v>2</v>
      </c>
      <c r="BE81" s="80" t="str">
        <f>REPLACE(INDEX(GroupVertices[Group],MATCH(Edges25[[#This Row],[Vertex 2]],GroupVertices[Vertex],0)),1,1,"")</f>
        <v>2</v>
      </c>
      <c r="BF81" s="48">
        <v>1</v>
      </c>
      <c r="BG81" s="49">
        <v>4.545454545454546</v>
      </c>
      <c r="BH81" s="48">
        <v>1</v>
      </c>
      <c r="BI81" s="49">
        <v>4.545454545454546</v>
      </c>
      <c r="BJ81" s="48">
        <v>0</v>
      </c>
      <c r="BK81" s="49">
        <v>0</v>
      </c>
      <c r="BL81" s="48">
        <v>20</v>
      </c>
      <c r="BM81" s="49">
        <v>90.9090909090909</v>
      </c>
      <c r="BN81" s="48">
        <v>22</v>
      </c>
    </row>
    <row r="82" spans="1:66" ht="15">
      <c r="A82" s="66" t="s">
        <v>441</v>
      </c>
      <c r="B82" s="66" t="s">
        <v>513</v>
      </c>
      <c r="C82" s="67"/>
      <c r="D82" s="68"/>
      <c r="E82" s="69"/>
      <c r="F82" s="70"/>
      <c r="G82" s="67"/>
      <c r="H82" s="71"/>
      <c r="I82" s="72"/>
      <c r="J82" s="72"/>
      <c r="K82" s="34" t="s">
        <v>65</v>
      </c>
      <c r="L82" s="79">
        <v>153</v>
      </c>
      <c r="M82" s="79"/>
      <c r="N82" s="74"/>
      <c r="O82" s="81" t="s">
        <v>588</v>
      </c>
      <c r="P82" s="83">
        <v>44004.84394675926</v>
      </c>
      <c r="Q82" s="81" t="s">
        <v>595</v>
      </c>
      <c r="R82" s="81"/>
      <c r="S82" s="81"/>
      <c r="T82" s="81"/>
      <c r="U82" s="81"/>
      <c r="V82" s="84" t="str">
        <f>HYPERLINK("http://pbs.twimg.com/profile_images/1172140587803451394/qMUerOdK_normal.jpg")</f>
        <v>http://pbs.twimg.com/profile_images/1172140587803451394/qMUerOdK_normal.jpg</v>
      </c>
      <c r="W82" s="83">
        <v>44004.84394675926</v>
      </c>
      <c r="X82" s="87">
        <v>44004</v>
      </c>
      <c r="Y82" s="89" t="s">
        <v>808</v>
      </c>
      <c r="Z82" s="84" t="str">
        <f>HYPERLINK("https://twitter.com/cariannewhit/status/1275160450980892677")</f>
        <v>https://twitter.com/cariannewhit/status/1275160450980892677</v>
      </c>
      <c r="AA82" s="81"/>
      <c r="AB82" s="81"/>
      <c r="AC82" s="89" t="s">
        <v>1017</v>
      </c>
      <c r="AD82" s="81"/>
      <c r="AE82" s="81" t="b">
        <v>0</v>
      </c>
      <c r="AF82" s="81">
        <v>0</v>
      </c>
      <c r="AG82" s="89" t="s">
        <v>1149</v>
      </c>
      <c r="AH82" s="81" t="b">
        <v>0</v>
      </c>
      <c r="AI82" s="81" t="s">
        <v>1150</v>
      </c>
      <c r="AJ82" s="81"/>
      <c r="AK82" s="89" t="s">
        <v>1149</v>
      </c>
      <c r="AL82" s="81" t="b">
        <v>0</v>
      </c>
      <c r="AM82" s="81">
        <v>37</v>
      </c>
      <c r="AN82" s="89" t="s">
        <v>1142</v>
      </c>
      <c r="AO82" s="81" t="s">
        <v>1176</v>
      </c>
      <c r="AP82" s="81" t="b">
        <v>0</v>
      </c>
      <c r="AQ82" s="89" t="s">
        <v>1142</v>
      </c>
      <c r="AR82" s="81" t="s">
        <v>325</v>
      </c>
      <c r="AS82" s="81">
        <v>0</v>
      </c>
      <c r="AT82" s="81">
        <v>0</v>
      </c>
      <c r="AU82" s="81"/>
      <c r="AV82" s="81"/>
      <c r="AW82" s="81"/>
      <c r="AX82" s="81"/>
      <c r="AY82" s="81"/>
      <c r="AZ82" s="81"/>
      <c r="BA82" s="81"/>
      <c r="BB82" s="81"/>
      <c r="BC82">
        <v>1</v>
      </c>
      <c r="BD82" s="80" t="str">
        <f>REPLACE(INDEX(GroupVertices[Group],MATCH(Edges25[[#This Row],[Vertex 1]],GroupVertices[Vertex],0)),1,1,"")</f>
        <v>2</v>
      </c>
      <c r="BE82" s="80" t="str">
        <f>REPLACE(INDEX(GroupVertices[Group],MATCH(Edges25[[#This Row],[Vertex 2]],GroupVertices[Vertex],0)),1,1,"")</f>
        <v>2</v>
      </c>
      <c r="BF82" s="48"/>
      <c r="BG82" s="49"/>
      <c r="BH82" s="48"/>
      <c r="BI82" s="49"/>
      <c r="BJ82" s="48"/>
      <c r="BK82" s="49"/>
      <c r="BL82" s="48"/>
      <c r="BM82" s="49"/>
      <c r="BN82" s="48"/>
    </row>
    <row r="83" spans="1:66" ht="15">
      <c r="A83" s="66" t="s">
        <v>442</v>
      </c>
      <c r="B83" s="66" t="s">
        <v>513</v>
      </c>
      <c r="C83" s="67"/>
      <c r="D83" s="68"/>
      <c r="E83" s="69"/>
      <c r="F83" s="70"/>
      <c r="G83" s="67"/>
      <c r="H83" s="71"/>
      <c r="I83" s="72"/>
      <c r="J83" s="72"/>
      <c r="K83" s="34" t="s">
        <v>65</v>
      </c>
      <c r="L83" s="79">
        <v>155</v>
      </c>
      <c r="M83" s="79"/>
      <c r="N83" s="74"/>
      <c r="O83" s="81" t="s">
        <v>588</v>
      </c>
      <c r="P83" s="83">
        <v>44004.84416666667</v>
      </c>
      <c r="Q83" s="81" t="s">
        <v>595</v>
      </c>
      <c r="R83" s="81"/>
      <c r="S83" s="81"/>
      <c r="T83" s="81"/>
      <c r="U83" s="81"/>
      <c r="V83" s="84" t="str">
        <f>HYPERLINK("http://pbs.twimg.com/profile_images/1263206771461632000/gINCRVso_normal.jpg")</f>
        <v>http://pbs.twimg.com/profile_images/1263206771461632000/gINCRVso_normal.jpg</v>
      </c>
      <c r="W83" s="83">
        <v>44004.84416666667</v>
      </c>
      <c r="X83" s="87">
        <v>44004</v>
      </c>
      <c r="Y83" s="89" t="s">
        <v>809</v>
      </c>
      <c r="Z83" s="84" t="str">
        <f>HYPERLINK("https://twitter.com/meandvan/status/1275160531834474497")</f>
        <v>https://twitter.com/meandvan/status/1275160531834474497</v>
      </c>
      <c r="AA83" s="81"/>
      <c r="AB83" s="81"/>
      <c r="AC83" s="89" t="s">
        <v>1018</v>
      </c>
      <c r="AD83" s="81"/>
      <c r="AE83" s="81" t="b">
        <v>0</v>
      </c>
      <c r="AF83" s="81">
        <v>0</v>
      </c>
      <c r="AG83" s="89" t="s">
        <v>1149</v>
      </c>
      <c r="AH83" s="81" t="b">
        <v>0</v>
      </c>
      <c r="AI83" s="81" t="s">
        <v>1150</v>
      </c>
      <c r="AJ83" s="81"/>
      <c r="AK83" s="89" t="s">
        <v>1149</v>
      </c>
      <c r="AL83" s="81" t="b">
        <v>0</v>
      </c>
      <c r="AM83" s="81">
        <v>37</v>
      </c>
      <c r="AN83" s="89" t="s">
        <v>1142</v>
      </c>
      <c r="AO83" s="81" t="s">
        <v>1176</v>
      </c>
      <c r="AP83" s="81" t="b">
        <v>0</v>
      </c>
      <c r="AQ83" s="89" t="s">
        <v>1142</v>
      </c>
      <c r="AR83" s="81" t="s">
        <v>325</v>
      </c>
      <c r="AS83" s="81">
        <v>0</v>
      </c>
      <c r="AT83" s="81">
        <v>0</v>
      </c>
      <c r="AU83" s="81"/>
      <c r="AV83" s="81"/>
      <c r="AW83" s="81"/>
      <c r="AX83" s="81"/>
      <c r="AY83" s="81"/>
      <c r="AZ83" s="81"/>
      <c r="BA83" s="81"/>
      <c r="BB83" s="81"/>
      <c r="BC83">
        <v>1</v>
      </c>
      <c r="BD83" s="80" t="str">
        <f>REPLACE(INDEX(GroupVertices[Group],MATCH(Edges25[[#This Row],[Vertex 1]],GroupVertices[Vertex],0)),1,1,"")</f>
        <v>2</v>
      </c>
      <c r="BE83" s="80" t="str">
        <f>REPLACE(INDEX(GroupVertices[Group],MATCH(Edges25[[#This Row],[Vertex 2]],GroupVertices[Vertex],0)),1,1,"")</f>
        <v>2</v>
      </c>
      <c r="BF83" s="48"/>
      <c r="BG83" s="49"/>
      <c r="BH83" s="48"/>
      <c r="BI83" s="49"/>
      <c r="BJ83" s="48"/>
      <c r="BK83" s="49"/>
      <c r="BL83" s="48"/>
      <c r="BM83" s="49"/>
      <c r="BN83" s="48"/>
    </row>
    <row r="84" spans="1:66" ht="15">
      <c r="A84" s="66" t="s">
        <v>443</v>
      </c>
      <c r="B84" s="66" t="s">
        <v>513</v>
      </c>
      <c r="C84" s="67"/>
      <c r="D84" s="68"/>
      <c r="E84" s="69"/>
      <c r="F84" s="70"/>
      <c r="G84" s="67"/>
      <c r="H84" s="71"/>
      <c r="I84" s="72"/>
      <c r="J84" s="72"/>
      <c r="K84" s="34" t="s">
        <v>65</v>
      </c>
      <c r="L84" s="79">
        <v>157</v>
      </c>
      <c r="M84" s="79"/>
      <c r="N84" s="74"/>
      <c r="O84" s="81" t="s">
        <v>588</v>
      </c>
      <c r="P84" s="83">
        <v>44004.845347222225</v>
      </c>
      <c r="Q84" s="81" t="s">
        <v>595</v>
      </c>
      <c r="R84" s="81"/>
      <c r="S84" s="81"/>
      <c r="T84" s="81"/>
      <c r="U84" s="81"/>
      <c r="V84" s="84" t="str">
        <f>HYPERLINK("http://pbs.twimg.com/profile_images/1170012838229893120/5m-z9bsb_normal.jpg")</f>
        <v>http://pbs.twimg.com/profile_images/1170012838229893120/5m-z9bsb_normal.jpg</v>
      </c>
      <c r="W84" s="83">
        <v>44004.845347222225</v>
      </c>
      <c r="X84" s="87">
        <v>44004</v>
      </c>
      <c r="Y84" s="89" t="s">
        <v>810</v>
      </c>
      <c r="Z84" s="84" t="str">
        <f>HYPERLINK("https://twitter.com/timbrooks100/status/1275160957862453255")</f>
        <v>https://twitter.com/timbrooks100/status/1275160957862453255</v>
      </c>
      <c r="AA84" s="81"/>
      <c r="AB84" s="81"/>
      <c r="AC84" s="89" t="s">
        <v>1019</v>
      </c>
      <c r="AD84" s="81"/>
      <c r="AE84" s="81" t="b">
        <v>0</v>
      </c>
      <c r="AF84" s="81">
        <v>0</v>
      </c>
      <c r="AG84" s="89" t="s">
        <v>1149</v>
      </c>
      <c r="AH84" s="81" t="b">
        <v>0</v>
      </c>
      <c r="AI84" s="81" t="s">
        <v>1150</v>
      </c>
      <c r="AJ84" s="81"/>
      <c r="AK84" s="89" t="s">
        <v>1149</v>
      </c>
      <c r="AL84" s="81" t="b">
        <v>0</v>
      </c>
      <c r="AM84" s="81">
        <v>37</v>
      </c>
      <c r="AN84" s="89" t="s">
        <v>1142</v>
      </c>
      <c r="AO84" s="81" t="s">
        <v>1165</v>
      </c>
      <c r="AP84" s="81" t="b">
        <v>0</v>
      </c>
      <c r="AQ84" s="89" t="s">
        <v>1142</v>
      </c>
      <c r="AR84" s="81" t="s">
        <v>325</v>
      </c>
      <c r="AS84" s="81">
        <v>0</v>
      </c>
      <c r="AT84" s="81">
        <v>0</v>
      </c>
      <c r="AU84" s="81"/>
      <c r="AV84" s="81"/>
      <c r="AW84" s="81"/>
      <c r="AX84" s="81"/>
      <c r="AY84" s="81"/>
      <c r="AZ84" s="81"/>
      <c r="BA84" s="81"/>
      <c r="BB84" s="81"/>
      <c r="BC84">
        <v>1</v>
      </c>
      <c r="BD84" s="80" t="str">
        <f>REPLACE(INDEX(GroupVertices[Group],MATCH(Edges25[[#This Row],[Vertex 1]],GroupVertices[Vertex],0)),1,1,"")</f>
        <v>2</v>
      </c>
      <c r="BE84" s="80" t="str">
        <f>REPLACE(INDEX(GroupVertices[Group],MATCH(Edges25[[#This Row],[Vertex 2]],GroupVertices[Vertex],0)),1,1,"")</f>
        <v>2</v>
      </c>
      <c r="BF84" s="48"/>
      <c r="BG84" s="49"/>
      <c r="BH84" s="48"/>
      <c r="BI84" s="49"/>
      <c r="BJ84" s="48"/>
      <c r="BK84" s="49"/>
      <c r="BL84" s="48"/>
      <c r="BM84" s="49"/>
      <c r="BN84" s="48"/>
    </row>
    <row r="85" spans="1:66" ht="15">
      <c r="A85" s="66" t="s">
        <v>444</v>
      </c>
      <c r="B85" s="66" t="s">
        <v>526</v>
      </c>
      <c r="C85" s="67"/>
      <c r="D85" s="68"/>
      <c r="E85" s="69"/>
      <c r="F85" s="70"/>
      <c r="G85" s="67"/>
      <c r="H85" s="71"/>
      <c r="I85" s="72"/>
      <c r="J85" s="72"/>
      <c r="K85" s="34" t="s">
        <v>65</v>
      </c>
      <c r="L85" s="79">
        <v>159</v>
      </c>
      <c r="M85" s="79"/>
      <c r="N85" s="74"/>
      <c r="O85" s="81" t="s">
        <v>588</v>
      </c>
      <c r="P85" s="83">
        <v>44004.847604166665</v>
      </c>
      <c r="Q85" s="81" t="s">
        <v>612</v>
      </c>
      <c r="R85" s="81"/>
      <c r="S85" s="81"/>
      <c r="T85" s="81" t="s">
        <v>703</v>
      </c>
      <c r="U85" s="81"/>
      <c r="V85" s="84" t="str">
        <f>HYPERLINK("http://pbs.twimg.com/profile_images/1032898545890852864/E1wkA-VS_normal.jpg")</f>
        <v>http://pbs.twimg.com/profile_images/1032898545890852864/E1wkA-VS_normal.jpg</v>
      </c>
      <c r="W85" s="83">
        <v>44004.847604166665</v>
      </c>
      <c r="X85" s="87">
        <v>44004</v>
      </c>
      <c r="Y85" s="89" t="s">
        <v>811</v>
      </c>
      <c r="Z85" s="84" t="str">
        <f>HYPERLINK("https://twitter.com/frankhannigan5/status/1275161775361658881")</f>
        <v>https://twitter.com/frankhannigan5/status/1275161775361658881</v>
      </c>
      <c r="AA85" s="81"/>
      <c r="AB85" s="81"/>
      <c r="AC85" s="89" t="s">
        <v>1020</v>
      </c>
      <c r="AD85" s="81"/>
      <c r="AE85" s="81" t="b">
        <v>0</v>
      </c>
      <c r="AF85" s="81">
        <v>0</v>
      </c>
      <c r="AG85" s="89" t="s">
        <v>1149</v>
      </c>
      <c r="AH85" s="81" t="b">
        <v>0</v>
      </c>
      <c r="AI85" s="81" t="s">
        <v>1150</v>
      </c>
      <c r="AJ85" s="81"/>
      <c r="AK85" s="89" t="s">
        <v>1149</v>
      </c>
      <c r="AL85" s="81" t="b">
        <v>0</v>
      </c>
      <c r="AM85" s="81">
        <v>16</v>
      </c>
      <c r="AN85" s="89" t="s">
        <v>1137</v>
      </c>
      <c r="AO85" s="81" t="s">
        <v>1165</v>
      </c>
      <c r="AP85" s="81" t="b">
        <v>0</v>
      </c>
      <c r="AQ85" s="89" t="s">
        <v>1137</v>
      </c>
      <c r="AR85" s="81" t="s">
        <v>325</v>
      </c>
      <c r="AS85" s="81">
        <v>0</v>
      </c>
      <c r="AT85" s="81">
        <v>0</v>
      </c>
      <c r="AU85" s="81"/>
      <c r="AV85" s="81"/>
      <c r="AW85" s="81"/>
      <c r="AX85" s="81"/>
      <c r="AY85" s="81"/>
      <c r="AZ85" s="81"/>
      <c r="BA85" s="81"/>
      <c r="BB85" s="81"/>
      <c r="BC85">
        <v>1</v>
      </c>
      <c r="BD85" s="80" t="str">
        <f>REPLACE(INDEX(GroupVertices[Group],MATCH(Edges25[[#This Row],[Vertex 1]],GroupVertices[Vertex],0)),1,1,"")</f>
        <v>3</v>
      </c>
      <c r="BE85" s="80" t="str">
        <f>REPLACE(INDEX(GroupVertices[Group],MATCH(Edges25[[#This Row],[Vertex 2]],GroupVertices[Vertex],0)),1,1,"")</f>
        <v>3</v>
      </c>
      <c r="BF85" s="48"/>
      <c r="BG85" s="49"/>
      <c r="BH85" s="48"/>
      <c r="BI85" s="49"/>
      <c r="BJ85" s="48"/>
      <c r="BK85" s="49"/>
      <c r="BL85" s="48"/>
      <c r="BM85" s="49"/>
      <c r="BN85" s="48"/>
    </row>
    <row r="86" spans="1:66" ht="15">
      <c r="A86" s="66" t="s">
        <v>445</v>
      </c>
      <c r="B86" s="66" t="s">
        <v>514</v>
      </c>
      <c r="C86" s="67"/>
      <c r="D86" s="68"/>
      <c r="E86" s="69"/>
      <c r="F86" s="70"/>
      <c r="G86" s="67"/>
      <c r="H86" s="71"/>
      <c r="I86" s="72"/>
      <c r="J86" s="72"/>
      <c r="K86" s="34" t="s">
        <v>65</v>
      </c>
      <c r="L86" s="79">
        <v>162</v>
      </c>
      <c r="M86" s="79"/>
      <c r="N86" s="74"/>
      <c r="O86" s="81" t="s">
        <v>586</v>
      </c>
      <c r="P86" s="83">
        <v>44004.84789351852</v>
      </c>
      <c r="Q86" s="81" t="s">
        <v>613</v>
      </c>
      <c r="R86" s="81"/>
      <c r="S86" s="81"/>
      <c r="T86" s="81" t="s">
        <v>699</v>
      </c>
      <c r="U86" s="81"/>
      <c r="V86" s="84" t="str">
        <f>HYPERLINK("http://pbs.twimg.com/profile_images/1236600745299972096/YMyoFFkS_normal.jpg")</f>
        <v>http://pbs.twimg.com/profile_images/1236600745299972096/YMyoFFkS_normal.jpg</v>
      </c>
      <c r="W86" s="83">
        <v>44004.84789351852</v>
      </c>
      <c r="X86" s="87">
        <v>44004</v>
      </c>
      <c r="Y86" s="89" t="s">
        <v>812</v>
      </c>
      <c r="Z86" s="84" t="str">
        <f>HYPERLINK("https://twitter.com/watty62/status/1275161883042091014")</f>
        <v>https://twitter.com/watty62/status/1275161883042091014</v>
      </c>
      <c r="AA86" s="81"/>
      <c r="AB86" s="81"/>
      <c r="AC86" s="89" t="s">
        <v>1021</v>
      </c>
      <c r="AD86" s="81"/>
      <c r="AE86" s="81" t="b">
        <v>0</v>
      </c>
      <c r="AF86" s="81">
        <v>0</v>
      </c>
      <c r="AG86" s="89" t="s">
        <v>1149</v>
      </c>
      <c r="AH86" s="81" t="b">
        <v>0</v>
      </c>
      <c r="AI86" s="81" t="s">
        <v>1150</v>
      </c>
      <c r="AJ86" s="81"/>
      <c r="AK86" s="89" t="s">
        <v>1149</v>
      </c>
      <c r="AL86" s="81" t="b">
        <v>0</v>
      </c>
      <c r="AM86" s="81">
        <v>3</v>
      </c>
      <c r="AN86" s="89" t="s">
        <v>1143</v>
      </c>
      <c r="AO86" s="81" t="s">
        <v>1176</v>
      </c>
      <c r="AP86" s="81" t="b">
        <v>0</v>
      </c>
      <c r="AQ86" s="89" t="s">
        <v>1143</v>
      </c>
      <c r="AR86" s="81" t="s">
        <v>325</v>
      </c>
      <c r="AS86" s="81">
        <v>0</v>
      </c>
      <c r="AT86" s="81">
        <v>0</v>
      </c>
      <c r="AU86" s="81"/>
      <c r="AV86" s="81"/>
      <c r="AW86" s="81"/>
      <c r="AX86" s="81"/>
      <c r="AY86" s="81"/>
      <c r="AZ86" s="81"/>
      <c r="BA86" s="81"/>
      <c r="BB86" s="81"/>
      <c r="BC86">
        <v>1</v>
      </c>
      <c r="BD86" s="80" t="str">
        <f>REPLACE(INDEX(GroupVertices[Group],MATCH(Edges25[[#This Row],[Vertex 1]],GroupVertices[Vertex],0)),1,1,"")</f>
        <v>2</v>
      </c>
      <c r="BE86" s="80" t="str">
        <f>REPLACE(INDEX(GroupVertices[Group],MATCH(Edges25[[#This Row],[Vertex 2]],GroupVertices[Vertex],0)),1,1,"")</f>
        <v>2</v>
      </c>
      <c r="BF86" s="48">
        <v>1</v>
      </c>
      <c r="BG86" s="49">
        <v>4.545454545454546</v>
      </c>
      <c r="BH86" s="48">
        <v>1</v>
      </c>
      <c r="BI86" s="49">
        <v>4.545454545454546</v>
      </c>
      <c r="BJ86" s="48">
        <v>0</v>
      </c>
      <c r="BK86" s="49">
        <v>0</v>
      </c>
      <c r="BL86" s="48">
        <v>20</v>
      </c>
      <c r="BM86" s="49">
        <v>90.9090909090909</v>
      </c>
      <c r="BN86" s="48">
        <v>22</v>
      </c>
    </row>
    <row r="87" spans="1:66" ht="15">
      <c r="A87" s="66" t="s">
        <v>446</v>
      </c>
      <c r="B87" s="66" t="s">
        <v>526</v>
      </c>
      <c r="C87" s="67"/>
      <c r="D87" s="68"/>
      <c r="E87" s="69"/>
      <c r="F87" s="70"/>
      <c r="G87" s="67"/>
      <c r="H87" s="71"/>
      <c r="I87" s="72"/>
      <c r="J87" s="72"/>
      <c r="K87" s="34" t="s">
        <v>65</v>
      </c>
      <c r="L87" s="79">
        <v>163</v>
      </c>
      <c r="M87" s="79"/>
      <c r="N87" s="74"/>
      <c r="O87" s="81" t="s">
        <v>588</v>
      </c>
      <c r="P87" s="83">
        <v>44004.84881944444</v>
      </c>
      <c r="Q87" s="81" t="s">
        <v>612</v>
      </c>
      <c r="R87" s="81"/>
      <c r="S87" s="81"/>
      <c r="T87" s="81" t="s">
        <v>703</v>
      </c>
      <c r="U87" s="81"/>
      <c r="V87" s="84" t="str">
        <f>HYPERLINK("http://pbs.twimg.com/profile_images/677443783978557440/q3pe4llc_normal.jpg")</f>
        <v>http://pbs.twimg.com/profile_images/677443783978557440/q3pe4llc_normal.jpg</v>
      </c>
      <c r="W87" s="83">
        <v>44004.84881944444</v>
      </c>
      <c r="X87" s="87">
        <v>44004</v>
      </c>
      <c r="Y87" s="89" t="s">
        <v>813</v>
      </c>
      <c r="Z87" s="84" t="str">
        <f>HYPERLINK("https://twitter.com/lms_geography/status/1275162218225643529")</f>
        <v>https://twitter.com/lms_geography/status/1275162218225643529</v>
      </c>
      <c r="AA87" s="81"/>
      <c r="AB87" s="81"/>
      <c r="AC87" s="89" t="s">
        <v>1022</v>
      </c>
      <c r="AD87" s="81"/>
      <c r="AE87" s="81" t="b">
        <v>0</v>
      </c>
      <c r="AF87" s="81">
        <v>0</v>
      </c>
      <c r="AG87" s="89" t="s">
        <v>1149</v>
      </c>
      <c r="AH87" s="81" t="b">
        <v>0</v>
      </c>
      <c r="AI87" s="81" t="s">
        <v>1150</v>
      </c>
      <c r="AJ87" s="81"/>
      <c r="AK87" s="89" t="s">
        <v>1149</v>
      </c>
      <c r="AL87" s="81" t="b">
        <v>0</v>
      </c>
      <c r="AM87" s="81">
        <v>16</v>
      </c>
      <c r="AN87" s="89" t="s">
        <v>1137</v>
      </c>
      <c r="AO87" s="81" t="s">
        <v>1172</v>
      </c>
      <c r="AP87" s="81" t="b">
        <v>0</v>
      </c>
      <c r="AQ87" s="89" t="s">
        <v>1137</v>
      </c>
      <c r="AR87" s="81" t="s">
        <v>325</v>
      </c>
      <c r="AS87" s="81">
        <v>0</v>
      </c>
      <c r="AT87" s="81">
        <v>0</v>
      </c>
      <c r="AU87" s="81"/>
      <c r="AV87" s="81"/>
      <c r="AW87" s="81"/>
      <c r="AX87" s="81"/>
      <c r="AY87" s="81"/>
      <c r="AZ87" s="81"/>
      <c r="BA87" s="81"/>
      <c r="BB87" s="81"/>
      <c r="BC87">
        <v>1</v>
      </c>
      <c r="BD87" s="80" t="str">
        <f>REPLACE(INDEX(GroupVertices[Group],MATCH(Edges25[[#This Row],[Vertex 1]],GroupVertices[Vertex],0)),1,1,"")</f>
        <v>3</v>
      </c>
      <c r="BE87" s="80" t="str">
        <f>REPLACE(INDEX(GroupVertices[Group],MATCH(Edges25[[#This Row],[Vertex 2]],GroupVertices[Vertex],0)),1,1,"")</f>
        <v>3</v>
      </c>
      <c r="BF87" s="48"/>
      <c r="BG87" s="49"/>
      <c r="BH87" s="48"/>
      <c r="BI87" s="49"/>
      <c r="BJ87" s="48"/>
      <c r="BK87" s="49"/>
      <c r="BL87" s="48"/>
      <c r="BM87" s="49"/>
      <c r="BN87" s="48"/>
    </row>
    <row r="88" spans="1:66" ht="15">
      <c r="A88" s="66" t="s">
        <v>447</v>
      </c>
      <c r="B88" s="66" t="s">
        <v>526</v>
      </c>
      <c r="C88" s="67"/>
      <c r="D88" s="68"/>
      <c r="E88" s="69"/>
      <c r="F88" s="70"/>
      <c r="G88" s="67"/>
      <c r="H88" s="71"/>
      <c r="I88" s="72"/>
      <c r="J88" s="72"/>
      <c r="K88" s="34" t="s">
        <v>65</v>
      </c>
      <c r="L88" s="79">
        <v>166</v>
      </c>
      <c r="M88" s="79"/>
      <c r="N88" s="74"/>
      <c r="O88" s="81" t="s">
        <v>588</v>
      </c>
      <c r="P88" s="83">
        <v>44004.883518518516</v>
      </c>
      <c r="Q88" s="81" t="s">
        <v>612</v>
      </c>
      <c r="R88" s="81"/>
      <c r="S88" s="81"/>
      <c r="T88" s="81" t="s">
        <v>703</v>
      </c>
      <c r="U88" s="81"/>
      <c r="V88" s="84" t="str">
        <f>HYPERLINK("http://pbs.twimg.com/profile_images/965169509869989888/RNPmn_cM_normal.jpg")</f>
        <v>http://pbs.twimg.com/profile_images/965169509869989888/RNPmn_cM_normal.jpg</v>
      </c>
      <c r="W88" s="83">
        <v>44004.883518518516</v>
      </c>
      <c r="X88" s="87">
        <v>44004</v>
      </c>
      <c r="Y88" s="89" t="s">
        <v>814</v>
      </c>
      <c r="Z88" s="84" t="str">
        <f>HYPERLINK("https://twitter.com/chsiceland18/status/1275174792124080131")</f>
        <v>https://twitter.com/chsiceland18/status/1275174792124080131</v>
      </c>
      <c r="AA88" s="81"/>
      <c r="AB88" s="81"/>
      <c r="AC88" s="89" t="s">
        <v>1023</v>
      </c>
      <c r="AD88" s="81"/>
      <c r="AE88" s="81" t="b">
        <v>0</v>
      </c>
      <c r="AF88" s="81">
        <v>0</v>
      </c>
      <c r="AG88" s="89" t="s">
        <v>1149</v>
      </c>
      <c r="AH88" s="81" t="b">
        <v>0</v>
      </c>
      <c r="AI88" s="81" t="s">
        <v>1150</v>
      </c>
      <c r="AJ88" s="81"/>
      <c r="AK88" s="89" t="s">
        <v>1149</v>
      </c>
      <c r="AL88" s="81" t="b">
        <v>0</v>
      </c>
      <c r="AM88" s="81">
        <v>16</v>
      </c>
      <c r="AN88" s="89" t="s">
        <v>1137</v>
      </c>
      <c r="AO88" s="81" t="s">
        <v>1165</v>
      </c>
      <c r="AP88" s="81" t="b">
        <v>0</v>
      </c>
      <c r="AQ88" s="89" t="s">
        <v>1137</v>
      </c>
      <c r="AR88" s="81" t="s">
        <v>325</v>
      </c>
      <c r="AS88" s="81">
        <v>0</v>
      </c>
      <c r="AT88" s="81">
        <v>0</v>
      </c>
      <c r="AU88" s="81"/>
      <c r="AV88" s="81"/>
      <c r="AW88" s="81"/>
      <c r="AX88" s="81"/>
      <c r="AY88" s="81"/>
      <c r="AZ88" s="81"/>
      <c r="BA88" s="81"/>
      <c r="BB88" s="81"/>
      <c r="BC88">
        <v>1</v>
      </c>
      <c r="BD88" s="80" t="str">
        <f>REPLACE(INDEX(GroupVertices[Group],MATCH(Edges25[[#This Row],[Vertex 1]],GroupVertices[Vertex],0)),1,1,"")</f>
        <v>3</v>
      </c>
      <c r="BE88" s="80" t="str">
        <f>REPLACE(INDEX(GroupVertices[Group],MATCH(Edges25[[#This Row],[Vertex 2]],GroupVertices[Vertex],0)),1,1,"")</f>
        <v>3</v>
      </c>
      <c r="BF88" s="48"/>
      <c r="BG88" s="49"/>
      <c r="BH88" s="48"/>
      <c r="BI88" s="49"/>
      <c r="BJ88" s="48"/>
      <c r="BK88" s="49"/>
      <c r="BL88" s="48"/>
      <c r="BM88" s="49"/>
      <c r="BN88" s="48"/>
    </row>
    <row r="89" spans="1:66" ht="15">
      <c r="A89" s="66" t="s">
        <v>448</v>
      </c>
      <c r="B89" s="66" t="s">
        <v>475</v>
      </c>
      <c r="C89" s="67"/>
      <c r="D89" s="68"/>
      <c r="E89" s="69"/>
      <c r="F89" s="70"/>
      <c r="G89" s="67"/>
      <c r="H89" s="71"/>
      <c r="I89" s="72"/>
      <c r="J89" s="72"/>
      <c r="K89" s="34" t="s">
        <v>65</v>
      </c>
      <c r="L89" s="79">
        <v>169</v>
      </c>
      <c r="M89" s="79"/>
      <c r="N89" s="74"/>
      <c r="O89" s="81" t="s">
        <v>586</v>
      </c>
      <c r="P89" s="83">
        <v>44004.884409722225</v>
      </c>
      <c r="Q89" s="81" t="s">
        <v>614</v>
      </c>
      <c r="R89" s="84" t="str">
        <f>HYPERLINK("https://twitter.com/_fiquemsabendo/status/1275156603893878784")</f>
        <v>https://twitter.com/_fiquemsabendo/status/1275156603893878784</v>
      </c>
      <c r="S89" s="81" t="s">
        <v>676</v>
      </c>
      <c r="T89" s="81" t="s">
        <v>712</v>
      </c>
      <c r="U89" s="81"/>
      <c r="V89" s="84" t="str">
        <f>HYPERLINK("http://pbs.twimg.com/profile_images/1267701669862805504/47N4-Xma_normal.jpg")</f>
        <v>http://pbs.twimg.com/profile_images/1267701669862805504/47N4-Xma_normal.jpg</v>
      </c>
      <c r="W89" s="83">
        <v>44004.884409722225</v>
      </c>
      <c r="X89" s="87">
        <v>44004</v>
      </c>
      <c r="Y89" s="89" t="s">
        <v>815</v>
      </c>
      <c r="Z89" s="84" t="str">
        <f>HYPERLINK("https://twitter.com/barbalhofernand/status/1275175115727294467")</f>
        <v>https://twitter.com/barbalhofernand/status/1275175115727294467</v>
      </c>
      <c r="AA89" s="81"/>
      <c r="AB89" s="81"/>
      <c r="AC89" s="89" t="s">
        <v>1024</v>
      </c>
      <c r="AD89" s="81"/>
      <c r="AE89" s="81" t="b">
        <v>0</v>
      </c>
      <c r="AF89" s="81">
        <v>0</v>
      </c>
      <c r="AG89" s="89" t="s">
        <v>1149</v>
      </c>
      <c r="AH89" s="81" t="b">
        <v>1</v>
      </c>
      <c r="AI89" s="81" t="s">
        <v>1155</v>
      </c>
      <c r="AJ89" s="81"/>
      <c r="AK89" s="89" t="s">
        <v>1161</v>
      </c>
      <c r="AL89" s="81" t="b">
        <v>0</v>
      </c>
      <c r="AM89" s="81">
        <v>2</v>
      </c>
      <c r="AN89" s="89" t="s">
        <v>1094</v>
      </c>
      <c r="AO89" s="81" t="s">
        <v>1172</v>
      </c>
      <c r="AP89" s="81" t="b">
        <v>0</v>
      </c>
      <c r="AQ89" s="89" t="s">
        <v>1094</v>
      </c>
      <c r="AR89" s="81" t="s">
        <v>325</v>
      </c>
      <c r="AS89" s="81">
        <v>0</v>
      </c>
      <c r="AT89" s="81">
        <v>0</v>
      </c>
      <c r="AU89" s="81"/>
      <c r="AV89" s="81"/>
      <c r="AW89" s="81"/>
      <c r="AX89" s="81"/>
      <c r="AY89" s="81"/>
      <c r="AZ89" s="81"/>
      <c r="BA89" s="81"/>
      <c r="BB89" s="81"/>
      <c r="BC89">
        <v>1</v>
      </c>
      <c r="BD89" s="80" t="str">
        <f>REPLACE(INDEX(GroupVertices[Group],MATCH(Edges25[[#This Row],[Vertex 1]],GroupVertices[Vertex],0)),1,1,"")</f>
        <v>1</v>
      </c>
      <c r="BE89" s="80" t="str">
        <f>REPLACE(INDEX(GroupVertices[Group],MATCH(Edges25[[#This Row],[Vertex 2]],GroupVertices[Vertex],0)),1,1,"")</f>
        <v>1</v>
      </c>
      <c r="BF89" s="48">
        <v>0</v>
      </c>
      <c r="BG89" s="49">
        <v>0</v>
      </c>
      <c r="BH89" s="48">
        <v>0</v>
      </c>
      <c r="BI89" s="49">
        <v>0</v>
      </c>
      <c r="BJ89" s="48">
        <v>0</v>
      </c>
      <c r="BK89" s="49">
        <v>0</v>
      </c>
      <c r="BL89" s="48">
        <v>5</v>
      </c>
      <c r="BM89" s="49">
        <v>100</v>
      </c>
      <c r="BN89" s="48">
        <v>5</v>
      </c>
    </row>
    <row r="90" spans="1:66" ht="15">
      <c r="A90" s="66" t="s">
        <v>449</v>
      </c>
      <c r="B90" s="66" t="s">
        <v>513</v>
      </c>
      <c r="C90" s="67"/>
      <c r="D90" s="68"/>
      <c r="E90" s="69"/>
      <c r="F90" s="70"/>
      <c r="G90" s="67"/>
      <c r="H90" s="71"/>
      <c r="I90" s="72"/>
      <c r="J90" s="72"/>
      <c r="K90" s="34" t="s">
        <v>65</v>
      </c>
      <c r="L90" s="79">
        <v>170</v>
      </c>
      <c r="M90" s="79"/>
      <c r="N90" s="74"/>
      <c r="O90" s="81" t="s">
        <v>588</v>
      </c>
      <c r="P90" s="83">
        <v>44004.89232638889</v>
      </c>
      <c r="Q90" s="81" t="s">
        <v>595</v>
      </c>
      <c r="R90" s="81"/>
      <c r="S90" s="81"/>
      <c r="T90" s="81"/>
      <c r="U90" s="81"/>
      <c r="V90" s="84" t="str">
        <f>HYPERLINK("http://pbs.twimg.com/profile_images/1063924442508783616/cWwIObmK_normal.jpg")</f>
        <v>http://pbs.twimg.com/profile_images/1063924442508783616/cWwIObmK_normal.jpg</v>
      </c>
      <c r="W90" s="83">
        <v>44004.89232638889</v>
      </c>
      <c r="X90" s="87">
        <v>44004</v>
      </c>
      <c r="Y90" s="89" t="s">
        <v>816</v>
      </c>
      <c r="Z90" s="84" t="str">
        <f>HYPERLINK("https://twitter.com/holgerhke/status/1275177984954118145")</f>
        <v>https://twitter.com/holgerhke/status/1275177984954118145</v>
      </c>
      <c r="AA90" s="81"/>
      <c r="AB90" s="81"/>
      <c r="AC90" s="89" t="s">
        <v>1025</v>
      </c>
      <c r="AD90" s="81"/>
      <c r="AE90" s="81" t="b">
        <v>0</v>
      </c>
      <c r="AF90" s="81">
        <v>0</v>
      </c>
      <c r="AG90" s="89" t="s">
        <v>1149</v>
      </c>
      <c r="AH90" s="81" t="b">
        <v>0</v>
      </c>
      <c r="AI90" s="81" t="s">
        <v>1150</v>
      </c>
      <c r="AJ90" s="81"/>
      <c r="AK90" s="89" t="s">
        <v>1149</v>
      </c>
      <c r="AL90" s="81" t="b">
        <v>0</v>
      </c>
      <c r="AM90" s="81">
        <v>37</v>
      </c>
      <c r="AN90" s="89" t="s">
        <v>1142</v>
      </c>
      <c r="AO90" s="81" t="s">
        <v>1165</v>
      </c>
      <c r="AP90" s="81" t="b">
        <v>0</v>
      </c>
      <c r="AQ90" s="89" t="s">
        <v>1142</v>
      </c>
      <c r="AR90" s="81" t="s">
        <v>325</v>
      </c>
      <c r="AS90" s="81">
        <v>0</v>
      </c>
      <c r="AT90" s="81">
        <v>0</v>
      </c>
      <c r="AU90" s="81"/>
      <c r="AV90" s="81"/>
      <c r="AW90" s="81"/>
      <c r="AX90" s="81"/>
      <c r="AY90" s="81"/>
      <c r="AZ90" s="81"/>
      <c r="BA90" s="81"/>
      <c r="BB90" s="81"/>
      <c r="BC90">
        <v>1</v>
      </c>
      <c r="BD90" s="80" t="str">
        <f>REPLACE(INDEX(GroupVertices[Group],MATCH(Edges25[[#This Row],[Vertex 1]],GroupVertices[Vertex],0)),1,1,"")</f>
        <v>2</v>
      </c>
      <c r="BE90" s="80" t="str">
        <f>REPLACE(INDEX(GroupVertices[Group],MATCH(Edges25[[#This Row],[Vertex 2]],GroupVertices[Vertex],0)),1,1,"")</f>
        <v>2</v>
      </c>
      <c r="BF90" s="48"/>
      <c r="BG90" s="49"/>
      <c r="BH90" s="48"/>
      <c r="BI90" s="49"/>
      <c r="BJ90" s="48"/>
      <c r="BK90" s="49"/>
      <c r="BL90" s="48"/>
      <c r="BM90" s="49"/>
      <c r="BN90" s="48"/>
    </row>
    <row r="91" spans="1:66" ht="15">
      <c r="A91" s="66" t="s">
        <v>450</v>
      </c>
      <c r="B91" s="66" t="s">
        <v>513</v>
      </c>
      <c r="C91" s="67"/>
      <c r="D91" s="68"/>
      <c r="E91" s="69"/>
      <c r="F91" s="70"/>
      <c r="G91" s="67"/>
      <c r="H91" s="71"/>
      <c r="I91" s="72"/>
      <c r="J91" s="72"/>
      <c r="K91" s="34" t="s">
        <v>65</v>
      </c>
      <c r="L91" s="79">
        <v>172</v>
      </c>
      <c r="M91" s="79"/>
      <c r="N91" s="74"/>
      <c r="O91" s="81" t="s">
        <v>588</v>
      </c>
      <c r="P91" s="83">
        <v>44004.892372685186</v>
      </c>
      <c r="Q91" s="81" t="s">
        <v>595</v>
      </c>
      <c r="R91" s="81"/>
      <c r="S91" s="81"/>
      <c r="T91" s="81"/>
      <c r="U91" s="81"/>
      <c r="V91" s="84" t="str">
        <f>HYPERLINK("http://pbs.twimg.com/profile_images/1223573858814431234/C_wpiNHG_normal.jpg")</f>
        <v>http://pbs.twimg.com/profile_images/1223573858814431234/C_wpiNHG_normal.jpg</v>
      </c>
      <c r="W91" s="83">
        <v>44004.892372685186</v>
      </c>
      <c r="X91" s="87">
        <v>44004</v>
      </c>
      <c r="Y91" s="89" t="s">
        <v>817</v>
      </c>
      <c r="Z91" s="84" t="str">
        <f>HYPERLINK("https://twitter.com/garyshort/status/1275177999084793856")</f>
        <v>https://twitter.com/garyshort/status/1275177999084793856</v>
      </c>
      <c r="AA91" s="81"/>
      <c r="AB91" s="81"/>
      <c r="AC91" s="89" t="s">
        <v>1026</v>
      </c>
      <c r="AD91" s="81"/>
      <c r="AE91" s="81" t="b">
        <v>0</v>
      </c>
      <c r="AF91" s="81">
        <v>0</v>
      </c>
      <c r="AG91" s="89" t="s">
        <v>1149</v>
      </c>
      <c r="AH91" s="81" t="b">
        <v>0</v>
      </c>
      <c r="AI91" s="81" t="s">
        <v>1150</v>
      </c>
      <c r="AJ91" s="81"/>
      <c r="AK91" s="89" t="s">
        <v>1149</v>
      </c>
      <c r="AL91" s="81" t="b">
        <v>0</v>
      </c>
      <c r="AM91" s="81">
        <v>37</v>
      </c>
      <c r="AN91" s="89" t="s">
        <v>1142</v>
      </c>
      <c r="AO91" s="81" t="s">
        <v>1165</v>
      </c>
      <c r="AP91" s="81" t="b">
        <v>0</v>
      </c>
      <c r="AQ91" s="89" t="s">
        <v>1142</v>
      </c>
      <c r="AR91" s="81" t="s">
        <v>325</v>
      </c>
      <c r="AS91" s="81">
        <v>0</v>
      </c>
      <c r="AT91" s="81">
        <v>0</v>
      </c>
      <c r="AU91" s="81"/>
      <c r="AV91" s="81"/>
      <c r="AW91" s="81"/>
      <c r="AX91" s="81"/>
      <c r="AY91" s="81"/>
      <c r="AZ91" s="81"/>
      <c r="BA91" s="81"/>
      <c r="BB91" s="81"/>
      <c r="BC91">
        <v>1</v>
      </c>
      <c r="BD91" s="80" t="str">
        <f>REPLACE(INDEX(GroupVertices[Group],MATCH(Edges25[[#This Row],[Vertex 1]],GroupVertices[Vertex],0)),1,1,"")</f>
        <v>2</v>
      </c>
      <c r="BE91" s="80" t="str">
        <f>REPLACE(INDEX(GroupVertices[Group],MATCH(Edges25[[#This Row],[Vertex 2]],GroupVertices[Vertex],0)),1,1,"")</f>
        <v>2</v>
      </c>
      <c r="BF91" s="48"/>
      <c r="BG91" s="49"/>
      <c r="BH91" s="48"/>
      <c r="BI91" s="49"/>
      <c r="BJ91" s="48"/>
      <c r="BK91" s="49"/>
      <c r="BL91" s="48"/>
      <c r="BM91" s="49"/>
      <c r="BN91" s="48"/>
    </row>
    <row r="92" spans="1:66" ht="15">
      <c r="A92" s="66" t="s">
        <v>451</v>
      </c>
      <c r="B92" s="66" t="s">
        <v>524</v>
      </c>
      <c r="C92" s="67"/>
      <c r="D92" s="68"/>
      <c r="E92" s="69"/>
      <c r="F92" s="70"/>
      <c r="G92" s="67"/>
      <c r="H92" s="71"/>
      <c r="I92" s="72"/>
      <c r="J92" s="72"/>
      <c r="K92" s="34" t="s">
        <v>65</v>
      </c>
      <c r="L92" s="79">
        <v>174</v>
      </c>
      <c r="M92" s="79"/>
      <c r="N92" s="74"/>
      <c r="O92" s="81" t="s">
        <v>588</v>
      </c>
      <c r="P92" s="83">
        <v>44004.892546296294</v>
      </c>
      <c r="Q92" s="81" t="s">
        <v>597</v>
      </c>
      <c r="R92" s="81"/>
      <c r="S92" s="81"/>
      <c r="T92" s="81" t="s">
        <v>699</v>
      </c>
      <c r="U92" s="81"/>
      <c r="V92" s="84" t="str">
        <f>HYPERLINK("http://pbs.twimg.com/profile_images/1180922167309017088/wZyFeG_Z_normal.png")</f>
        <v>http://pbs.twimg.com/profile_images/1180922167309017088/wZyFeG_Z_normal.png</v>
      </c>
      <c r="W92" s="83">
        <v>44004.892546296294</v>
      </c>
      <c r="X92" s="87">
        <v>44004</v>
      </c>
      <c r="Y92" s="89" t="s">
        <v>818</v>
      </c>
      <c r="Z92" s="84" t="str">
        <f>HYPERLINK("https://twitter.com/khalidpress7/status/1275178060959174656")</f>
        <v>https://twitter.com/khalidpress7/status/1275178060959174656</v>
      </c>
      <c r="AA92" s="81"/>
      <c r="AB92" s="81"/>
      <c r="AC92" s="89" t="s">
        <v>1027</v>
      </c>
      <c r="AD92" s="81"/>
      <c r="AE92" s="81" t="b">
        <v>0</v>
      </c>
      <c r="AF92" s="81">
        <v>0</v>
      </c>
      <c r="AG92" s="89" t="s">
        <v>1149</v>
      </c>
      <c r="AH92" s="81" t="b">
        <v>0</v>
      </c>
      <c r="AI92" s="81" t="s">
        <v>1150</v>
      </c>
      <c r="AJ92" s="81"/>
      <c r="AK92" s="89" t="s">
        <v>1149</v>
      </c>
      <c r="AL92" s="81" t="b">
        <v>0</v>
      </c>
      <c r="AM92" s="81">
        <v>6</v>
      </c>
      <c r="AN92" s="89" t="s">
        <v>1124</v>
      </c>
      <c r="AO92" s="81" t="s">
        <v>1176</v>
      </c>
      <c r="AP92" s="81" t="b">
        <v>0</v>
      </c>
      <c r="AQ92" s="89" t="s">
        <v>1124</v>
      </c>
      <c r="AR92" s="81" t="s">
        <v>325</v>
      </c>
      <c r="AS92" s="81">
        <v>0</v>
      </c>
      <c r="AT92" s="81">
        <v>0</v>
      </c>
      <c r="AU92" s="81"/>
      <c r="AV92" s="81"/>
      <c r="AW92" s="81"/>
      <c r="AX92" s="81"/>
      <c r="AY92" s="81"/>
      <c r="AZ92" s="81"/>
      <c r="BA92" s="81"/>
      <c r="BB92" s="81"/>
      <c r="BC92">
        <v>1</v>
      </c>
      <c r="BD92" s="80" t="str">
        <f>REPLACE(INDEX(GroupVertices[Group],MATCH(Edges25[[#This Row],[Vertex 1]],GroupVertices[Vertex],0)),1,1,"")</f>
        <v>5</v>
      </c>
      <c r="BE92" s="80" t="str">
        <f>REPLACE(INDEX(GroupVertices[Group],MATCH(Edges25[[#This Row],[Vertex 2]],GroupVertices[Vertex],0)),1,1,"")</f>
        <v>5</v>
      </c>
      <c r="BF92" s="48"/>
      <c r="BG92" s="49"/>
      <c r="BH92" s="48"/>
      <c r="BI92" s="49"/>
      <c r="BJ92" s="48"/>
      <c r="BK92" s="49"/>
      <c r="BL92" s="48"/>
      <c r="BM92" s="49"/>
      <c r="BN92" s="48"/>
    </row>
    <row r="93" spans="1:66" ht="15">
      <c r="A93" s="66" t="s">
        <v>452</v>
      </c>
      <c r="B93" s="66" t="s">
        <v>526</v>
      </c>
      <c r="C93" s="67"/>
      <c r="D93" s="68"/>
      <c r="E93" s="69"/>
      <c r="F93" s="70"/>
      <c r="G93" s="67"/>
      <c r="H93" s="71"/>
      <c r="I93" s="72"/>
      <c r="J93" s="72"/>
      <c r="K93" s="34" t="s">
        <v>65</v>
      </c>
      <c r="L93" s="79">
        <v>177</v>
      </c>
      <c r="M93" s="79"/>
      <c r="N93" s="74"/>
      <c r="O93" s="81" t="s">
        <v>588</v>
      </c>
      <c r="P93" s="83">
        <v>44004.91203703704</v>
      </c>
      <c r="Q93" s="81" t="s">
        <v>612</v>
      </c>
      <c r="R93" s="81"/>
      <c r="S93" s="81"/>
      <c r="T93" s="81" t="s">
        <v>703</v>
      </c>
      <c r="U93" s="81"/>
      <c r="V93" s="84" t="str">
        <f>HYPERLINK("http://pbs.twimg.com/profile_images/929400926045130752/umAVJ3g__normal.jpg")</f>
        <v>http://pbs.twimg.com/profile_images/929400926045130752/umAVJ3g__normal.jpg</v>
      </c>
      <c r="W93" s="83">
        <v>44004.91203703704</v>
      </c>
      <c r="X93" s="87">
        <v>44004</v>
      </c>
      <c r="Y93" s="89" t="s">
        <v>819</v>
      </c>
      <c r="Z93" s="84" t="str">
        <f>HYPERLINK("https://twitter.com/bareftdoctor/status/1275185127698640896")</f>
        <v>https://twitter.com/bareftdoctor/status/1275185127698640896</v>
      </c>
      <c r="AA93" s="81"/>
      <c r="AB93" s="81"/>
      <c r="AC93" s="89" t="s">
        <v>1028</v>
      </c>
      <c r="AD93" s="81"/>
      <c r="AE93" s="81" t="b">
        <v>0</v>
      </c>
      <c r="AF93" s="81">
        <v>0</v>
      </c>
      <c r="AG93" s="89" t="s">
        <v>1149</v>
      </c>
      <c r="AH93" s="81" t="b">
        <v>0</v>
      </c>
      <c r="AI93" s="81" t="s">
        <v>1150</v>
      </c>
      <c r="AJ93" s="81"/>
      <c r="AK93" s="89" t="s">
        <v>1149</v>
      </c>
      <c r="AL93" s="81" t="b">
        <v>0</v>
      </c>
      <c r="AM93" s="81">
        <v>16</v>
      </c>
      <c r="AN93" s="89" t="s">
        <v>1137</v>
      </c>
      <c r="AO93" s="81" t="s">
        <v>1165</v>
      </c>
      <c r="AP93" s="81" t="b">
        <v>0</v>
      </c>
      <c r="AQ93" s="89" t="s">
        <v>1137</v>
      </c>
      <c r="AR93" s="81" t="s">
        <v>325</v>
      </c>
      <c r="AS93" s="81">
        <v>0</v>
      </c>
      <c r="AT93" s="81">
        <v>0</v>
      </c>
      <c r="AU93" s="81"/>
      <c r="AV93" s="81"/>
      <c r="AW93" s="81"/>
      <c r="AX93" s="81"/>
      <c r="AY93" s="81"/>
      <c r="AZ93" s="81"/>
      <c r="BA93" s="81"/>
      <c r="BB93" s="81"/>
      <c r="BC93">
        <v>1</v>
      </c>
      <c r="BD93" s="80" t="str">
        <f>REPLACE(INDEX(GroupVertices[Group],MATCH(Edges25[[#This Row],[Vertex 1]],GroupVertices[Vertex],0)),1,1,"")</f>
        <v>3</v>
      </c>
      <c r="BE93" s="80" t="str">
        <f>REPLACE(INDEX(GroupVertices[Group],MATCH(Edges25[[#This Row],[Vertex 2]],GroupVertices[Vertex],0)),1,1,"")</f>
        <v>3</v>
      </c>
      <c r="BF93" s="48"/>
      <c r="BG93" s="49"/>
      <c r="BH93" s="48"/>
      <c r="BI93" s="49"/>
      <c r="BJ93" s="48"/>
      <c r="BK93" s="49"/>
      <c r="BL93" s="48"/>
      <c r="BM93" s="49"/>
      <c r="BN93" s="48"/>
    </row>
    <row r="94" spans="1:66" ht="15">
      <c r="A94" s="66" t="s">
        <v>453</v>
      </c>
      <c r="B94" s="66" t="s">
        <v>526</v>
      </c>
      <c r="C94" s="67"/>
      <c r="D94" s="68"/>
      <c r="E94" s="69"/>
      <c r="F94" s="70"/>
      <c r="G94" s="67"/>
      <c r="H94" s="71"/>
      <c r="I94" s="72"/>
      <c r="J94" s="72"/>
      <c r="K94" s="34" t="s">
        <v>65</v>
      </c>
      <c r="L94" s="79">
        <v>180</v>
      </c>
      <c r="M94" s="79"/>
      <c r="N94" s="74"/>
      <c r="O94" s="81" t="s">
        <v>588</v>
      </c>
      <c r="P94" s="83">
        <v>44004.924780092595</v>
      </c>
      <c r="Q94" s="81" t="s">
        <v>612</v>
      </c>
      <c r="R94" s="81"/>
      <c r="S94" s="81"/>
      <c r="T94" s="81" t="s">
        <v>703</v>
      </c>
      <c r="U94" s="81"/>
      <c r="V94" s="84" t="str">
        <f>HYPERLINK("http://pbs.twimg.com/profile_images/663722079817216000/zrrrfqNE_normal.png")</f>
        <v>http://pbs.twimg.com/profile_images/663722079817216000/zrrrfqNE_normal.png</v>
      </c>
      <c r="W94" s="83">
        <v>44004.924780092595</v>
      </c>
      <c r="X94" s="87">
        <v>44004</v>
      </c>
      <c r="Y94" s="89" t="s">
        <v>820</v>
      </c>
      <c r="Z94" s="84" t="str">
        <f>HYPERLINK("https://twitter.com/geo_sjfdewsbury/status/1275189745887387651")</f>
        <v>https://twitter.com/geo_sjfdewsbury/status/1275189745887387651</v>
      </c>
      <c r="AA94" s="81"/>
      <c r="AB94" s="81"/>
      <c r="AC94" s="89" t="s">
        <v>1029</v>
      </c>
      <c r="AD94" s="81"/>
      <c r="AE94" s="81" t="b">
        <v>0</v>
      </c>
      <c r="AF94" s="81">
        <v>0</v>
      </c>
      <c r="AG94" s="89" t="s">
        <v>1149</v>
      </c>
      <c r="AH94" s="81" t="b">
        <v>0</v>
      </c>
      <c r="AI94" s="81" t="s">
        <v>1150</v>
      </c>
      <c r="AJ94" s="81"/>
      <c r="AK94" s="89" t="s">
        <v>1149</v>
      </c>
      <c r="AL94" s="81" t="b">
        <v>0</v>
      </c>
      <c r="AM94" s="81">
        <v>16</v>
      </c>
      <c r="AN94" s="89" t="s">
        <v>1137</v>
      </c>
      <c r="AO94" s="81" t="s">
        <v>1165</v>
      </c>
      <c r="AP94" s="81" t="b">
        <v>0</v>
      </c>
      <c r="AQ94" s="89" t="s">
        <v>1137</v>
      </c>
      <c r="AR94" s="81" t="s">
        <v>325</v>
      </c>
      <c r="AS94" s="81">
        <v>0</v>
      </c>
      <c r="AT94" s="81">
        <v>0</v>
      </c>
      <c r="AU94" s="81"/>
      <c r="AV94" s="81"/>
      <c r="AW94" s="81"/>
      <c r="AX94" s="81"/>
      <c r="AY94" s="81"/>
      <c r="AZ94" s="81"/>
      <c r="BA94" s="81"/>
      <c r="BB94" s="81"/>
      <c r="BC94">
        <v>1</v>
      </c>
      <c r="BD94" s="80" t="str">
        <f>REPLACE(INDEX(GroupVertices[Group],MATCH(Edges25[[#This Row],[Vertex 1]],GroupVertices[Vertex],0)),1,1,"")</f>
        <v>3</v>
      </c>
      <c r="BE94" s="80" t="str">
        <f>REPLACE(INDEX(GroupVertices[Group],MATCH(Edges25[[#This Row],[Vertex 2]],GroupVertices[Vertex],0)),1,1,"")</f>
        <v>3</v>
      </c>
      <c r="BF94" s="48"/>
      <c r="BG94" s="49"/>
      <c r="BH94" s="48"/>
      <c r="BI94" s="49"/>
      <c r="BJ94" s="48"/>
      <c r="BK94" s="49"/>
      <c r="BL94" s="48"/>
      <c r="BM94" s="49"/>
      <c r="BN94" s="48"/>
    </row>
    <row r="95" spans="1:66" ht="15">
      <c r="A95" s="66" t="s">
        <v>454</v>
      </c>
      <c r="B95" s="66" t="s">
        <v>513</v>
      </c>
      <c r="C95" s="67"/>
      <c r="D95" s="68"/>
      <c r="E95" s="69"/>
      <c r="F95" s="70"/>
      <c r="G95" s="67"/>
      <c r="H95" s="71"/>
      <c r="I95" s="72"/>
      <c r="J95" s="72"/>
      <c r="K95" s="34" t="s">
        <v>65</v>
      </c>
      <c r="L95" s="79">
        <v>183</v>
      </c>
      <c r="M95" s="79"/>
      <c r="N95" s="74"/>
      <c r="O95" s="81" t="s">
        <v>588</v>
      </c>
      <c r="P95" s="83">
        <v>44004.93918981482</v>
      </c>
      <c r="Q95" s="81" t="s">
        <v>595</v>
      </c>
      <c r="R95" s="81"/>
      <c r="S95" s="81"/>
      <c r="T95" s="81"/>
      <c r="U95" s="81"/>
      <c r="V95" s="84" t="str">
        <f>HYPERLINK("http://pbs.twimg.com/profile_images/1262043384325320706/l9AAXzAz_normal.jpg")</f>
        <v>http://pbs.twimg.com/profile_images/1262043384325320706/l9AAXzAz_normal.jpg</v>
      </c>
      <c r="W95" s="83">
        <v>44004.93918981482</v>
      </c>
      <c r="X95" s="87">
        <v>44004</v>
      </c>
      <c r="Y95" s="89" t="s">
        <v>821</v>
      </c>
      <c r="Z95" s="84" t="str">
        <f>HYPERLINK("https://twitter.com/ekoner/status/1275194967728754689")</f>
        <v>https://twitter.com/ekoner/status/1275194967728754689</v>
      </c>
      <c r="AA95" s="81"/>
      <c r="AB95" s="81"/>
      <c r="AC95" s="89" t="s">
        <v>1030</v>
      </c>
      <c r="AD95" s="81"/>
      <c r="AE95" s="81" t="b">
        <v>0</v>
      </c>
      <c r="AF95" s="81">
        <v>0</v>
      </c>
      <c r="AG95" s="89" t="s">
        <v>1149</v>
      </c>
      <c r="AH95" s="81" t="b">
        <v>0</v>
      </c>
      <c r="AI95" s="81" t="s">
        <v>1150</v>
      </c>
      <c r="AJ95" s="81"/>
      <c r="AK95" s="89" t="s">
        <v>1149</v>
      </c>
      <c r="AL95" s="81" t="b">
        <v>0</v>
      </c>
      <c r="AM95" s="81">
        <v>37</v>
      </c>
      <c r="AN95" s="89" t="s">
        <v>1142</v>
      </c>
      <c r="AO95" s="81" t="s">
        <v>1165</v>
      </c>
      <c r="AP95" s="81" t="b">
        <v>0</v>
      </c>
      <c r="AQ95" s="89" t="s">
        <v>1142</v>
      </c>
      <c r="AR95" s="81" t="s">
        <v>325</v>
      </c>
      <c r="AS95" s="81">
        <v>0</v>
      </c>
      <c r="AT95" s="81">
        <v>0</v>
      </c>
      <c r="AU95" s="81"/>
      <c r="AV95" s="81"/>
      <c r="AW95" s="81"/>
      <c r="AX95" s="81"/>
      <c r="AY95" s="81"/>
      <c r="AZ95" s="81"/>
      <c r="BA95" s="81"/>
      <c r="BB95" s="81"/>
      <c r="BC95">
        <v>1</v>
      </c>
      <c r="BD95" s="80" t="str">
        <f>REPLACE(INDEX(GroupVertices[Group],MATCH(Edges25[[#This Row],[Vertex 1]],GroupVertices[Vertex],0)),1,1,"")</f>
        <v>2</v>
      </c>
      <c r="BE95" s="80" t="str">
        <f>REPLACE(INDEX(GroupVertices[Group],MATCH(Edges25[[#This Row],[Vertex 2]],GroupVertices[Vertex],0)),1,1,"")</f>
        <v>2</v>
      </c>
      <c r="BF95" s="48"/>
      <c r="BG95" s="49"/>
      <c r="BH95" s="48"/>
      <c r="BI95" s="49"/>
      <c r="BJ95" s="48"/>
      <c r="BK95" s="49"/>
      <c r="BL95" s="48"/>
      <c r="BM95" s="49"/>
      <c r="BN95" s="48"/>
    </row>
    <row r="96" spans="1:66" ht="15">
      <c r="A96" s="66" t="s">
        <v>455</v>
      </c>
      <c r="B96" s="66" t="s">
        <v>455</v>
      </c>
      <c r="C96" s="67"/>
      <c r="D96" s="68"/>
      <c r="E96" s="69"/>
      <c r="F96" s="70"/>
      <c r="G96" s="67"/>
      <c r="H96" s="71"/>
      <c r="I96" s="72"/>
      <c r="J96" s="72"/>
      <c r="K96" s="34" t="s">
        <v>65</v>
      </c>
      <c r="L96" s="79">
        <v>185</v>
      </c>
      <c r="M96" s="79"/>
      <c r="N96" s="74"/>
      <c r="O96" s="81" t="s">
        <v>325</v>
      </c>
      <c r="P96" s="83">
        <v>44004.944027777776</v>
      </c>
      <c r="Q96" s="81" t="s">
        <v>615</v>
      </c>
      <c r="R96" s="84" t="str">
        <f>HYPERLINK("https://www.instagram.com/p/CBwMEuqFhG4/")</f>
        <v>https://www.instagram.com/p/CBwMEuqFhG4/</v>
      </c>
      <c r="S96" s="81" t="s">
        <v>681</v>
      </c>
      <c r="T96" s="81" t="s">
        <v>713</v>
      </c>
      <c r="U96" s="84" t="str">
        <f>HYPERLINK("https://pbs.twimg.com/media/EbJoqD2XgAEIlka.jpg")</f>
        <v>https://pbs.twimg.com/media/EbJoqD2XgAEIlka.jpg</v>
      </c>
      <c r="V96" s="84" t="str">
        <f>HYPERLINK("https://pbs.twimg.com/media/EbJoqD2XgAEIlka.jpg")</f>
        <v>https://pbs.twimg.com/media/EbJoqD2XgAEIlka.jpg</v>
      </c>
      <c r="W96" s="83">
        <v>44004.944027777776</v>
      </c>
      <c r="X96" s="87">
        <v>44004</v>
      </c>
      <c r="Y96" s="89" t="s">
        <v>822</v>
      </c>
      <c r="Z96" s="84" t="str">
        <f>HYPERLINK("https://twitter.com/djschoolhouten/status/1275196717621817350")</f>
        <v>https://twitter.com/djschoolhouten/status/1275196717621817350</v>
      </c>
      <c r="AA96" s="81"/>
      <c r="AB96" s="81"/>
      <c r="AC96" s="89" t="s">
        <v>1031</v>
      </c>
      <c r="AD96" s="81"/>
      <c r="AE96" s="81" t="b">
        <v>0</v>
      </c>
      <c r="AF96" s="81">
        <v>0</v>
      </c>
      <c r="AG96" s="89" t="s">
        <v>1149</v>
      </c>
      <c r="AH96" s="81" t="b">
        <v>0</v>
      </c>
      <c r="AI96" s="81" t="s">
        <v>1153</v>
      </c>
      <c r="AJ96" s="81"/>
      <c r="AK96" s="89" t="s">
        <v>1149</v>
      </c>
      <c r="AL96" s="81" t="b">
        <v>0</v>
      </c>
      <c r="AM96" s="81">
        <v>0</v>
      </c>
      <c r="AN96" s="89" t="s">
        <v>1149</v>
      </c>
      <c r="AO96" s="81" t="s">
        <v>1178</v>
      </c>
      <c r="AP96" s="81" t="b">
        <v>0</v>
      </c>
      <c r="AQ96" s="89" t="s">
        <v>1031</v>
      </c>
      <c r="AR96" s="81" t="s">
        <v>325</v>
      </c>
      <c r="AS96" s="81">
        <v>0</v>
      </c>
      <c r="AT96" s="81">
        <v>0</v>
      </c>
      <c r="AU96" s="81"/>
      <c r="AV96" s="81"/>
      <c r="AW96" s="81"/>
      <c r="AX96" s="81"/>
      <c r="AY96" s="81"/>
      <c r="AZ96" s="81"/>
      <c r="BA96" s="81"/>
      <c r="BB96" s="81"/>
      <c r="BC96">
        <v>1</v>
      </c>
      <c r="BD96" s="80" t="str">
        <f>REPLACE(INDEX(GroupVertices[Group],MATCH(Edges25[[#This Row],[Vertex 1]],GroupVertices[Vertex],0)),1,1,"")</f>
        <v>8</v>
      </c>
      <c r="BE96" s="80" t="str">
        <f>REPLACE(INDEX(GroupVertices[Group],MATCH(Edges25[[#This Row],[Vertex 2]],GroupVertices[Vertex],0)),1,1,"")</f>
        <v>8</v>
      </c>
      <c r="BF96" s="48">
        <v>0</v>
      </c>
      <c r="BG96" s="49">
        <v>0</v>
      </c>
      <c r="BH96" s="48">
        <v>0</v>
      </c>
      <c r="BI96" s="49">
        <v>0</v>
      </c>
      <c r="BJ96" s="48">
        <v>0</v>
      </c>
      <c r="BK96" s="49">
        <v>0</v>
      </c>
      <c r="BL96" s="48">
        <v>28</v>
      </c>
      <c r="BM96" s="49">
        <v>100</v>
      </c>
      <c r="BN96" s="48">
        <v>28</v>
      </c>
    </row>
    <row r="97" spans="1:66" ht="15">
      <c r="A97" s="66" t="s">
        <v>456</v>
      </c>
      <c r="B97" s="66" t="s">
        <v>456</v>
      </c>
      <c r="C97" s="67"/>
      <c r="D97" s="68"/>
      <c r="E97" s="69"/>
      <c r="F97" s="70"/>
      <c r="G97" s="67"/>
      <c r="H97" s="71"/>
      <c r="I97" s="72"/>
      <c r="J97" s="72"/>
      <c r="K97" s="34" t="s">
        <v>65</v>
      </c>
      <c r="L97" s="79">
        <v>186</v>
      </c>
      <c r="M97" s="79"/>
      <c r="N97" s="74"/>
      <c r="O97" s="81" t="s">
        <v>325</v>
      </c>
      <c r="P97" s="83">
        <v>44004.953831018516</v>
      </c>
      <c r="Q97" s="81" t="s">
        <v>616</v>
      </c>
      <c r="R97" s="84" t="str">
        <f>HYPERLINK("https://www.instagram.com/p/CBwTzp0BUki/?igshid=9gpbtba4lceq")</f>
        <v>https://www.instagram.com/p/CBwTzp0BUki/?igshid=9gpbtba4lceq</v>
      </c>
      <c r="S97" s="81" t="s">
        <v>681</v>
      </c>
      <c r="T97" s="81" t="s">
        <v>714</v>
      </c>
      <c r="U97" s="81"/>
      <c r="V97" s="84" t="str">
        <f>HYPERLINK("http://pbs.twimg.com/profile_images/1050192400969129984/yQj50PWU_normal.jpg")</f>
        <v>http://pbs.twimg.com/profile_images/1050192400969129984/yQj50PWU_normal.jpg</v>
      </c>
      <c r="W97" s="83">
        <v>44004.953831018516</v>
      </c>
      <c r="X97" s="87">
        <v>44004</v>
      </c>
      <c r="Y97" s="89" t="s">
        <v>823</v>
      </c>
      <c r="Z97" s="84" t="str">
        <f>HYPERLINK("https://twitter.com/djment0rs/status/1275200273477251073")</f>
        <v>https://twitter.com/djment0rs/status/1275200273477251073</v>
      </c>
      <c r="AA97" s="81"/>
      <c r="AB97" s="81"/>
      <c r="AC97" s="89" t="s">
        <v>1032</v>
      </c>
      <c r="AD97" s="81"/>
      <c r="AE97" s="81" t="b">
        <v>0</v>
      </c>
      <c r="AF97" s="81">
        <v>0</v>
      </c>
      <c r="AG97" s="89" t="s">
        <v>1149</v>
      </c>
      <c r="AH97" s="81" t="b">
        <v>0</v>
      </c>
      <c r="AI97" s="81" t="s">
        <v>1150</v>
      </c>
      <c r="AJ97" s="81"/>
      <c r="AK97" s="89" t="s">
        <v>1149</v>
      </c>
      <c r="AL97" s="81" t="b">
        <v>0</v>
      </c>
      <c r="AM97" s="81">
        <v>0</v>
      </c>
      <c r="AN97" s="89" t="s">
        <v>1149</v>
      </c>
      <c r="AO97" s="81" t="s">
        <v>1179</v>
      </c>
      <c r="AP97" s="81" t="b">
        <v>0</v>
      </c>
      <c r="AQ97" s="89" t="s">
        <v>1032</v>
      </c>
      <c r="AR97" s="81" t="s">
        <v>325</v>
      </c>
      <c r="AS97" s="81">
        <v>0</v>
      </c>
      <c r="AT97" s="81">
        <v>0</v>
      </c>
      <c r="AU97" s="81"/>
      <c r="AV97" s="81"/>
      <c r="AW97" s="81"/>
      <c r="AX97" s="81"/>
      <c r="AY97" s="81"/>
      <c r="AZ97" s="81"/>
      <c r="BA97" s="81"/>
      <c r="BB97" s="81"/>
      <c r="BC97">
        <v>1</v>
      </c>
      <c r="BD97" s="80" t="str">
        <f>REPLACE(INDEX(GroupVertices[Group],MATCH(Edges25[[#This Row],[Vertex 1]],GroupVertices[Vertex],0)),1,1,"")</f>
        <v>8</v>
      </c>
      <c r="BE97" s="80" t="str">
        <f>REPLACE(INDEX(GroupVertices[Group],MATCH(Edges25[[#This Row],[Vertex 2]],GroupVertices[Vertex],0)),1,1,"")</f>
        <v>8</v>
      </c>
      <c r="BF97" s="48">
        <v>0</v>
      </c>
      <c r="BG97" s="49">
        <v>0</v>
      </c>
      <c r="BH97" s="48">
        <v>0</v>
      </c>
      <c r="BI97" s="49">
        <v>0</v>
      </c>
      <c r="BJ97" s="48">
        <v>0</v>
      </c>
      <c r="BK97" s="49">
        <v>0</v>
      </c>
      <c r="BL97" s="48">
        <v>15</v>
      </c>
      <c r="BM97" s="49">
        <v>100</v>
      </c>
      <c r="BN97" s="48">
        <v>15</v>
      </c>
    </row>
    <row r="98" spans="1:66" ht="15">
      <c r="A98" s="66" t="s">
        <v>457</v>
      </c>
      <c r="B98" s="66" t="s">
        <v>513</v>
      </c>
      <c r="C98" s="67"/>
      <c r="D98" s="68"/>
      <c r="E98" s="69"/>
      <c r="F98" s="70"/>
      <c r="G98" s="67"/>
      <c r="H98" s="71"/>
      <c r="I98" s="72"/>
      <c r="J98" s="72"/>
      <c r="K98" s="34" t="s">
        <v>65</v>
      </c>
      <c r="L98" s="79">
        <v>187</v>
      </c>
      <c r="M98" s="79"/>
      <c r="N98" s="74"/>
      <c r="O98" s="81" t="s">
        <v>588</v>
      </c>
      <c r="P98" s="83">
        <v>44004.96065972222</v>
      </c>
      <c r="Q98" s="81" t="s">
        <v>595</v>
      </c>
      <c r="R98" s="81"/>
      <c r="S98" s="81"/>
      <c r="T98" s="81"/>
      <c r="U98" s="81"/>
      <c r="V98" s="84" t="str">
        <f>HYPERLINK("http://pbs.twimg.com/profile_images/489884735179472896/qoSnlb3r_normal.jpeg")</f>
        <v>http://pbs.twimg.com/profile_images/489884735179472896/qoSnlb3r_normal.jpeg</v>
      </c>
      <c r="W98" s="83">
        <v>44004.96065972222</v>
      </c>
      <c r="X98" s="87">
        <v>44004</v>
      </c>
      <c r="Y98" s="89" t="s">
        <v>824</v>
      </c>
      <c r="Z98" s="84" t="str">
        <f>HYPERLINK("https://twitter.com/d_jyldyz/status/1275202745830604800")</f>
        <v>https://twitter.com/d_jyldyz/status/1275202745830604800</v>
      </c>
      <c r="AA98" s="81"/>
      <c r="AB98" s="81"/>
      <c r="AC98" s="89" t="s">
        <v>1033</v>
      </c>
      <c r="AD98" s="81"/>
      <c r="AE98" s="81" t="b">
        <v>0</v>
      </c>
      <c r="AF98" s="81">
        <v>0</v>
      </c>
      <c r="AG98" s="89" t="s">
        <v>1149</v>
      </c>
      <c r="AH98" s="81" t="b">
        <v>0</v>
      </c>
      <c r="AI98" s="81" t="s">
        <v>1150</v>
      </c>
      <c r="AJ98" s="81"/>
      <c r="AK98" s="89" t="s">
        <v>1149</v>
      </c>
      <c r="AL98" s="81" t="b">
        <v>0</v>
      </c>
      <c r="AM98" s="81">
        <v>37</v>
      </c>
      <c r="AN98" s="89" t="s">
        <v>1142</v>
      </c>
      <c r="AO98" s="81" t="s">
        <v>1176</v>
      </c>
      <c r="AP98" s="81" t="b">
        <v>0</v>
      </c>
      <c r="AQ98" s="89" t="s">
        <v>1142</v>
      </c>
      <c r="AR98" s="81" t="s">
        <v>325</v>
      </c>
      <c r="AS98" s="81">
        <v>0</v>
      </c>
      <c r="AT98" s="81">
        <v>0</v>
      </c>
      <c r="AU98" s="81"/>
      <c r="AV98" s="81"/>
      <c r="AW98" s="81"/>
      <c r="AX98" s="81"/>
      <c r="AY98" s="81"/>
      <c r="AZ98" s="81"/>
      <c r="BA98" s="81"/>
      <c r="BB98" s="81"/>
      <c r="BC98">
        <v>1</v>
      </c>
      <c r="BD98" s="80" t="str">
        <f>REPLACE(INDEX(GroupVertices[Group],MATCH(Edges25[[#This Row],[Vertex 1]],GroupVertices[Vertex],0)),1,1,"")</f>
        <v>2</v>
      </c>
      <c r="BE98" s="80" t="str">
        <f>REPLACE(INDEX(GroupVertices[Group],MATCH(Edges25[[#This Row],[Vertex 2]],GroupVertices[Vertex],0)),1,1,"")</f>
        <v>2</v>
      </c>
      <c r="BF98" s="48"/>
      <c r="BG98" s="49"/>
      <c r="BH98" s="48"/>
      <c r="BI98" s="49"/>
      <c r="BJ98" s="48"/>
      <c r="BK98" s="49"/>
      <c r="BL98" s="48"/>
      <c r="BM98" s="49"/>
      <c r="BN98" s="48"/>
    </row>
    <row r="99" spans="1:66" ht="15">
      <c r="A99" s="66" t="s">
        <v>458</v>
      </c>
      <c r="B99" s="66" t="s">
        <v>458</v>
      </c>
      <c r="C99" s="67"/>
      <c r="D99" s="68"/>
      <c r="E99" s="69"/>
      <c r="F99" s="70"/>
      <c r="G99" s="67"/>
      <c r="H99" s="71"/>
      <c r="I99" s="72"/>
      <c r="J99" s="72"/>
      <c r="K99" s="34" t="s">
        <v>65</v>
      </c>
      <c r="L99" s="79">
        <v>189</v>
      </c>
      <c r="M99" s="79"/>
      <c r="N99" s="74"/>
      <c r="O99" s="81" t="s">
        <v>325</v>
      </c>
      <c r="P99" s="83">
        <v>43994.294953703706</v>
      </c>
      <c r="Q99" s="81" t="s">
        <v>617</v>
      </c>
      <c r="R99" s="84" t="str">
        <f>HYPERLINK("https://github.com/lau-cloud/TidyTuesdaycode")</f>
        <v>https://github.com/lau-cloud/TidyTuesdaycode</v>
      </c>
      <c r="S99" s="81" t="s">
        <v>682</v>
      </c>
      <c r="T99" s="81" t="s">
        <v>715</v>
      </c>
      <c r="U99" s="84" t="str">
        <f>HYPERLINK("https://pbs.twimg.com/media/EaSyznLXsAA-WOL.jpg")</f>
        <v>https://pbs.twimg.com/media/EaSyznLXsAA-WOL.jpg</v>
      </c>
      <c r="V99" s="84" t="str">
        <f>HYPERLINK("https://pbs.twimg.com/media/EaSyznLXsAA-WOL.jpg")</f>
        <v>https://pbs.twimg.com/media/EaSyznLXsAA-WOL.jpg</v>
      </c>
      <c r="W99" s="83">
        <v>43994.294953703706</v>
      </c>
      <c r="X99" s="87">
        <v>43994</v>
      </c>
      <c r="Y99" s="89" t="s">
        <v>825</v>
      </c>
      <c r="Z99" s="84" t="str">
        <f>HYPERLINK("https://twitter.com/lauranavarrosol/status/1271337622779179009")</f>
        <v>https://twitter.com/lauranavarrosol/status/1271337622779179009</v>
      </c>
      <c r="AA99" s="81"/>
      <c r="AB99" s="81"/>
      <c r="AC99" s="89" t="s">
        <v>1034</v>
      </c>
      <c r="AD99" s="81"/>
      <c r="AE99" s="81" t="b">
        <v>0</v>
      </c>
      <c r="AF99" s="81">
        <v>16</v>
      </c>
      <c r="AG99" s="89" t="s">
        <v>1149</v>
      </c>
      <c r="AH99" s="81" t="b">
        <v>0</v>
      </c>
      <c r="AI99" s="81" t="s">
        <v>1150</v>
      </c>
      <c r="AJ99" s="81"/>
      <c r="AK99" s="89" t="s">
        <v>1149</v>
      </c>
      <c r="AL99" s="81" t="b">
        <v>0</v>
      </c>
      <c r="AM99" s="81">
        <v>5</v>
      </c>
      <c r="AN99" s="89" t="s">
        <v>1149</v>
      </c>
      <c r="AO99" s="81" t="s">
        <v>1172</v>
      </c>
      <c r="AP99" s="81" t="b">
        <v>0</v>
      </c>
      <c r="AQ99" s="89" t="s">
        <v>1034</v>
      </c>
      <c r="AR99" s="81" t="s">
        <v>586</v>
      </c>
      <c r="AS99" s="81">
        <v>0</v>
      </c>
      <c r="AT99" s="81">
        <v>0</v>
      </c>
      <c r="AU99" s="81"/>
      <c r="AV99" s="81"/>
      <c r="AW99" s="81"/>
      <c r="AX99" s="81"/>
      <c r="AY99" s="81"/>
      <c r="AZ99" s="81"/>
      <c r="BA99" s="81"/>
      <c r="BB99" s="81"/>
      <c r="BC99">
        <v>1</v>
      </c>
      <c r="BD99" s="80" t="str">
        <f>REPLACE(INDEX(GroupVertices[Group],MATCH(Edges25[[#This Row],[Vertex 1]],GroupVertices[Vertex],0)),1,1,"")</f>
        <v>19</v>
      </c>
      <c r="BE99" s="80" t="str">
        <f>REPLACE(INDEX(GroupVertices[Group],MATCH(Edges25[[#This Row],[Vertex 2]],GroupVertices[Vertex],0)),1,1,"")</f>
        <v>19</v>
      </c>
      <c r="BF99" s="48">
        <v>1</v>
      </c>
      <c r="BG99" s="49">
        <v>4.3478260869565215</v>
      </c>
      <c r="BH99" s="48">
        <v>0</v>
      </c>
      <c r="BI99" s="49">
        <v>0</v>
      </c>
      <c r="BJ99" s="48">
        <v>0</v>
      </c>
      <c r="BK99" s="49">
        <v>0</v>
      </c>
      <c r="BL99" s="48">
        <v>22</v>
      </c>
      <c r="BM99" s="49">
        <v>95.65217391304348</v>
      </c>
      <c r="BN99" s="48">
        <v>23</v>
      </c>
    </row>
    <row r="100" spans="1:66" ht="15">
      <c r="A100" s="66" t="s">
        <v>459</v>
      </c>
      <c r="B100" s="66" t="s">
        <v>458</v>
      </c>
      <c r="C100" s="67"/>
      <c r="D100" s="68"/>
      <c r="E100" s="69"/>
      <c r="F100" s="70"/>
      <c r="G100" s="67"/>
      <c r="H100" s="71"/>
      <c r="I100" s="72"/>
      <c r="J100" s="72"/>
      <c r="K100" s="34" t="s">
        <v>65</v>
      </c>
      <c r="L100" s="79">
        <v>190</v>
      </c>
      <c r="M100" s="79"/>
      <c r="N100" s="74"/>
      <c r="O100" s="81" t="s">
        <v>586</v>
      </c>
      <c r="P100" s="83">
        <v>44004.96927083333</v>
      </c>
      <c r="Q100" s="81" t="s">
        <v>617</v>
      </c>
      <c r="R100" s="81"/>
      <c r="S100" s="81"/>
      <c r="T100" s="81" t="s">
        <v>716</v>
      </c>
      <c r="U100" s="81"/>
      <c r="V100" s="84" t="str">
        <f>HYPERLINK("http://pbs.twimg.com/profile_images/820901715163680768/FxQ1vsaZ_normal.jpg")</f>
        <v>http://pbs.twimg.com/profile_images/820901715163680768/FxQ1vsaZ_normal.jpg</v>
      </c>
      <c r="W100" s="83">
        <v>44004.96927083333</v>
      </c>
      <c r="X100" s="87">
        <v>44004</v>
      </c>
      <c r="Y100" s="89" t="s">
        <v>826</v>
      </c>
      <c r="Z100" s="84" t="str">
        <f>HYPERLINK("https://twitter.com/adircinho/status/1275205867311415297")</f>
        <v>https://twitter.com/adircinho/status/1275205867311415297</v>
      </c>
      <c r="AA100" s="81"/>
      <c r="AB100" s="81"/>
      <c r="AC100" s="89" t="s">
        <v>1035</v>
      </c>
      <c r="AD100" s="81"/>
      <c r="AE100" s="81" t="b">
        <v>0</v>
      </c>
      <c r="AF100" s="81">
        <v>0</v>
      </c>
      <c r="AG100" s="89" t="s">
        <v>1149</v>
      </c>
      <c r="AH100" s="81" t="b">
        <v>0</v>
      </c>
      <c r="AI100" s="81" t="s">
        <v>1150</v>
      </c>
      <c r="AJ100" s="81"/>
      <c r="AK100" s="89" t="s">
        <v>1149</v>
      </c>
      <c r="AL100" s="81" t="b">
        <v>0</v>
      </c>
      <c r="AM100" s="81">
        <v>5</v>
      </c>
      <c r="AN100" s="89" t="s">
        <v>1034</v>
      </c>
      <c r="AO100" s="81" t="s">
        <v>1172</v>
      </c>
      <c r="AP100" s="81" t="b">
        <v>0</v>
      </c>
      <c r="AQ100" s="89" t="s">
        <v>1034</v>
      </c>
      <c r="AR100" s="81" t="s">
        <v>325</v>
      </c>
      <c r="AS100" s="81">
        <v>0</v>
      </c>
      <c r="AT100" s="81">
        <v>0</v>
      </c>
      <c r="AU100" s="81"/>
      <c r="AV100" s="81"/>
      <c r="AW100" s="81"/>
      <c r="AX100" s="81"/>
      <c r="AY100" s="81"/>
      <c r="AZ100" s="81"/>
      <c r="BA100" s="81"/>
      <c r="BB100" s="81"/>
      <c r="BC100">
        <v>1</v>
      </c>
      <c r="BD100" s="80" t="str">
        <f>REPLACE(INDEX(GroupVertices[Group],MATCH(Edges25[[#This Row],[Vertex 1]],GroupVertices[Vertex],0)),1,1,"")</f>
        <v>19</v>
      </c>
      <c r="BE100" s="80" t="str">
        <f>REPLACE(INDEX(GroupVertices[Group],MATCH(Edges25[[#This Row],[Vertex 2]],GroupVertices[Vertex],0)),1,1,"")</f>
        <v>19</v>
      </c>
      <c r="BF100" s="48">
        <v>1</v>
      </c>
      <c r="BG100" s="49">
        <v>4.3478260869565215</v>
      </c>
      <c r="BH100" s="48">
        <v>0</v>
      </c>
      <c r="BI100" s="49">
        <v>0</v>
      </c>
      <c r="BJ100" s="48">
        <v>0</v>
      </c>
      <c r="BK100" s="49">
        <v>0</v>
      </c>
      <c r="BL100" s="48">
        <v>22</v>
      </c>
      <c r="BM100" s="49">
        <v>95.65217391304348</v>
      </c>
      <c r="BN100" s="48">
        <v>23</v>
      </c>
    </row>
    <row r="101" spans="1:66" ht="15">
      <c r="A101" s="66" t="s">
        <v>460</v>
      </c>
      <c r="B101" s="66" t="s">
        <v>513</v>
      </c>
      <c r="C101" s="67"/>
      <c r="D101" s="68"/>
      <c r="E101" s="69"/>
      <c r="F101" s="70"/>
      <c r="G101" s="67"/>
      <c r="H101" s="71"/>
      <c r="I101" s="72"/>
      <c r="J101" s="72"/>
      <c r="K101" s="34" t="s">
        <v>65</v>
      </c>
      <c r="L101" s="79">
        <v>191</v>
      </c>
      <c r="M101" s="79"/>
      <c r="N101" s="74"/>
      <c r="O101" s="81" t="s">
        <v>588</v>
      </c>
      <c r="P101" s="83">
        <v>44004.990636574075</v>
      </c>
      <c r="Q101" s="81" t="s">
        <v>595</v>
      </c>
      <c r="R101" s="81"/>
      <c r="S101" s="81"/>
      <c r="T101" s="81"/>
      <c r="U101" s="81"/>
      <c r="V101" s="84" t="str">
        <f>HYPERLINK("http://pbs.twimg.com/profile_images/1176652939718533120/bbRNW-Yv_normal.jpg")</f>
        <v>http://pbs.twimg.com/profile_images/1176652939718533120/bbRNW-Yv_normal.jpg</v>
      </c>
      <c r="W101" s="83">
        <v>44004.990636574075</v>
      </c>
      <c r="X101" s="87">
        <v>44004</v>
      </c>
      <c r="Y101" s="89" t="s">
        <v>827</v>
      </c>
      <c r="Z101" s="84" t="str">
        <f>HYPERLINK("https://twitter.com/aprilarchivist/status/1275213609883389953")</f>
        <v>https://twitter.com/aprilarchivist/status/1275213609883389953</v>
      </c>
      <c r="AA101" s="81"/>
      <c r="AB101" s="81"/>
      <c r="AC101" s="89" t="s">
        <v>1036</v>
      </c>
      <c r="AD101" s="81"/>
      <c r="AE101" s="81" t="b">
        <v>0</v>
      </c>
      <c r="AF101" s="81">
        <v>0</v>
      </c>
      <c r="AG101" s="89" t="s">
        <v>1149</v>
      </c>
      <c r="AH101" s="81" t="b">
        <v>0</v>
      </c>
      <c r="AI101" s="81" t="s">
        <v>1150</v>
      </c>
      <c r="AJ101" s="81"/>
      <c r="AK101" s="89" t="s">
        <v>1149</v>
      </c>
      <c r="AL101" s="81" t="b">
        <v>0</v>
      </c>
      <c r="AM101" s="81">
        <v>37</v>
      </c>
      <c r="AN101" s="89" t="s">
        <v>1142</v>
      </c>
      <c r="AO101" s="81" t="s">
        <v>1172</v>
      </c>
      <c r="AP101" s="81" t="b">
        <v>0</v>
      </c>
      <c r="AQ101" s="89" t="s">
        <v>1142</v>
      </c>
      <c r="AR101" s="81" t="s">
        <v>325</v>
      </c>
      <c r="AS101" s="81">
        <v>0</v>
      </c>
      <c r="AT101" s="81">
        <v>0</v>
      </c>
      <c r="AU101" s="81"/>
      <c r="AV101" s="81"/>
      <c r="AW101" s="81"/>
      <c r="AX101" s="81"/>
      <c r="AY101" s="81"/>
      <c r="AZ101" s="81"/>
      <c r="BA101" s="81"/>
      <c r="BB101" s="81"/>
      <c r="BC101">
        <v>1</v>
      </c>
      <c r="BD101" s="80" t="str">
        <f>REPLACE(INDEX(GroupVertices[Group],MATCH(Edges25[[#This Row],[Vertex 1]],GroupVertices[Vertex],0)),1,1,"")</f>
        <v>2</v>
      </c>
      <c r="BE101" s="80" t="str">
        <f>REPLACE(INDEX(GroupVertices[Group],MATCH(Edges25[[#This Row],[Vertex 2]],GroupVertices[Vertex],0)),1,1,"")</f>
        <v>2</v>
      </c>
      <c r="BF101" s="48"/>
      <c r="BG101" s="49"/>
      <c r="BH101" s="48"/>
      <c r="BI101" s="49"/>
      <c r="BJ101" s="48"/>
      <c r="BK101" s="49"/>
      <c r="BL101" s="48"/>
      <c r="BM101" s="49"/>
      <c r="BN101" s="48"/>
    </row>
    <row r="102" spans="1:66" ht="15">
      <c r="A102" s="66" t="s">
        <v>461</v>
      </c>
      <c r="B102" s="66" t="s">
        <v>513</v>
      </c>
      <c r="C102" s="67"/>
      <c r="D102" s="68"/>
      <c r="E102" s="69"/>
      <c r="F102" s="70"/>
      <c r="G102" s="67"/>
      <c r="H102" s="71"/>
      <c r="I102" s="72"/>
      <c r="J102" s="72"/>
      <c r="K102" s="34" t="s">
        <v>65</v>
      </c>
      <c r="L102" s="79">
        <v>193</v>
      </c>
      <c r="M102" s="79"/>
      <c r="N102" s="74"/>
      <c r="O102" s="81" t="s">
        <v>588</v>
      </c>
      <c r="P102" s="83">
        <v>44005.009884259256</v>
      </c>
      <c r="Q102" s="81" t="s">
        <v>595</v>
      </c>
      <c r="R102" s="81"/>
      <c r="S102" s="81"/>
      <c r="T102" s="81"/>
      <c r="U102" s="81"/>
      <c r="V102" s="84" t="str">
        <f>HYPERLINK("http://pbs.twimg.com/profile_images/1226458980370833410/ayk1WDlp_normal.jpg")</f>
        <v>http://pbs.twimg.com/profile_images/1226458980370833410/ayk1WDlp_normal.jpg</v>
      </c>
      <c r="W102" s="83">
        <v>44005.009884259256</v>
      </c>
      <c r="X102" s="87">
        <v>44005</v>
      </c>
      <c r="Y102" s="89" t="s">
        <v>828</v>
      </c>
      <c r="Z102" s="84" t="str">
        <f>HYPERLINK("https://twitter.com/timgollins/status/1275220585002524676")</f>
        <v>https://twitter.com/timgollins/status/1275220585002524676</v>
      </c>
      <c r="AA102" s="81"/>
      <c r="AB102" s="81"/>
      <c r="AC102" s="89" t="s">
        <v>1037</v>
      </c>
      <c r="AD102" s="81"/>
      <c r="AE102" s="81" t="b">
        <v>0</v>
      </c>
      <c r="AF102" s="81">
        <v>0</v>
      </c>
      <c r="AG102" s="89" t="s">
        <v>1149</v>
      </c>
      <c r="AH102" s="81" t="b">
        <v>0</v>
      </c>
      <c r="AI102" s="81" t="s">
        <v>1150</v>
      </c>
      <c r="AJ102" s="81"/>
      <c r="AK102" s="89" t="s">
        <v>1149</v>
      </c>
      <c r="AL102" s="81" t="b">
        <v>0</v>
      </c>
      <c r="AM102" s="81">
        <v>37</v>
      </c>
      <c r="AN102" s="89" t="s">
        <v>1142</v>
      </c>
      <c r="AO102" s="81" t="s">
        <v>1175</v>
      </c>
      <c r="AP102" s="81" t="b">
        <v>0</v>
      </c>
      <c r="AQ102" s="89" t="s">
        <v>1142</v>
      </c>
      <c r="AR102" s="81" t="s">
        <v>325</v>
      </c>
      <c r="AS102" s="81">
        <v>0</v>
      </c>
      <c r="AT102" s="81">
        <v>0</v>
      </c>
      <c r="AU102" s="81"/>
      <c r="AV102" s="81"/>
      <c r="AW102" s="81"/>
      <c r="AX102" s="81"/>
      <c r="AY102" s="81"/>
      <c r="AZ102" s="81"/>
      <c r="BA102" s="81"/>
      <c r="BB102" s="81"/>
      <c r="BC102">
        <v>1</v>
      </c>
      <c r="BD102" s="80" t="str">
        <f>REPLACE(INDEX(GroupVertices[Group],MATCH(Edges25[[#This Row],[Vertex 1]],GroupVertices[Vertex],0)),1,1,"")</f>
        <v>2</v>
      </c>
      <c r="BE102" s="80" t="str">
        <f>REPLACE(INDEX(GroupVertices[Group],MATCH(Edges25[[#This Row],[Vertex 2]],GroupVertices[Vertex],0)),1,1,"")</f>
        <v>2</v>
      </c>
      <c r="BF102" s="48"/>
      <c r="BG102" s="49"/>
      <c r="BH102" s="48"/>
      <c r="BI102" s="49"/>
      <c r="BJ102" s="48"/>
      <c r="BK102" s="49"/>
      <c r="BL102" s="48"/>
      <c r="BM102" s="49"/>
      <c r="BN102" s="48"/>
    </row>
    <row r="103" spans="1:66" ht="15">
      <c r="A103" s="66" t="s">
        <v>462</v>
      </c>
      <c r="B103" s="66" t="s">
        <v>526</v>
      </c>
      <c r="C103" s="67"/>
      <c r="D103" s="68"/>
      <c r="E103" s="69"/>
      <c r="F103" s="70"/>
      <c r="G103" s="67"/>
      <c r="H103" s="71"/>
      <c r="I103" s="72"/>
      <c r="J103" s="72"/>
      <c r="K103" s="34" t="s">
        <v>65</v>
      </c>
      <c r="L103" s="79">
        <v>195</v>
      </c>
      <c r="M103" s="79"/>
      <c r="N103" s="74"/>
      <c r="O103" s="81" t="s">
        <v>587</v>
      </c>
      <c r="P103" s="83">
        <v>44005.03530092593</v>
      </c>
      <c r="Q103" s="81" t="s">
        <v>618</v>
      </c>
      <c r="R103" s="84" t="str">
        <f>HYPERLINK("https://interactive.aljazeera.com/aje/2020/saving-the-nile/index.html")</f>
        <v>https://interactive.aljazeera.com/aje/2020/saving-the-nile/index.html</v>
      </c>
      <c r="S103" s="81" t="s">
        <v>678</v>
      </c>
      <c r="T103" s="81" t="s">
        <v>703</v>
      </c>
      <c r="U103" s="81"/>
      <c r="V103" s="84" t="str">
        <f>HYPERLINK("http://pbs.twimg.com/profile_images/463705400756285440/xN6bn9Fv_normal.png")</f>
        <v>http://pbs.twimg.com/profile_images/463705400756285440/xN6bn9Fv_normal.png</v>
      </c>
      <c r="W103" s="83">
        <v>44005.03530092593</v>
      </c>
      <c r="X103" s="87">
        <v>44005</v>
      </c>
      <c r="Y103" s="89" t="s">
        <v>829</v>
      </c>
      <c r="Z103" s="84" t="str">
        <f>HYPERLINK("https://twitter.com/dtiiqii/status/1275229794146410496")</f>
        <v>https://twitter.com/dtiiqii/status/1275229794146410496</v>
      </c>
      <c r="AA103" s="81"/>
      <c r="AB103" s="81"/>
      <c r="AC103" s="89" t="s">
        <v>1038</v>
      </c>
      <c r="AD103" s="81"/>
      <c r="AE103" s="81" t="b">
        <v>0</v>
      </c>
      <c r="AF103" s="81">
        <v>0</v>
      </c>
      <c r="AG103" s="89" t="s">
        <v>1149</v>
      </c>
      <c r="AH103" s="81" t="b">
        <v>0</v>
      </c>
      <c r="AI103" s="81" t="s">
        <v>1150</v>
      </c>
      <c r="AJ103" s="81"/>
      <c r="AK103" s="89" t="s">
        <v>1149</v>
      </c>
      <c r="AL103" s="81" t="b">
        <v>0</v>
      </c>
      <c r="AM103" s="81">
        <v>0</v>
      </c>
      <c r="AN103" s="89" t="s">
        <v>1149</v>
      </c>
      <c r="AO103" s="81" t="s">
        <v>1172</v>
      </c>
      <c r="AP103" s="81" t="b">
        <v>0</v>
      </c>
      <c r="AQ103" s="89" t="s">
        <v>1038</v>
      </c>
      <c r="AR103" s="81" t="s">
        <v>325</v>
      </c>
      <c r="AS103" s="81">
        <v>0</v>
      </c>
      <c r="AT103" s="81">
        <v>0</v>
      </c>
      <c r="AU103" s="81"/>
      <c r="AV103" s="81"/>
      <c r="AW103" s="81"/>
      <c r="AX103" s="81"/>
      <c r="AY103" s="81"/>
      <c r="AZ103" s="81"/>
      <c r="BA103" s="81"/>
      <c r="BB103" s="81"/>
      <c r="BC103">
        <v>1</v>
      </c>
      <c r="BD103" s="80" t="str">
        <f>REPLACE(INDEX(GroupVertices[Group],MATCH(Edges25[[#This Row],[Vertex 1]],GroupVertices[Vertex],0)),1,1,"")</f>
        <v>3</v>
      </c>
      <c r="BE103" s="80" t="str">
        <f>REPLACE(INDEX(GroupVertices[Group],MATCH(Edges25[[#This Row],[Vertex 2]],GroupVertices[Vertex],0)),1,1,"")</f>
        <v>3</v>
      </c>
      <c r="BF103" s="48"/>
      <c r="BG103" s="49"/>
      <c r="BH103" s="48"/>
      <c r="BI103" s="49"/>
      <c r="BJ103" s="48"/>
      <c r="BK103" s="49"/>
      <c r="BL103" s="48"/>
      <c r="BM103" s="49"/>
      <c r="BN103" s="48"/>
    </row>
    <row r="104" spans="1:66" ht="15">
      <c r="A104" s="66" t="s">
        <v>463</v>
      </c>
      <c r="B104" s="66" t="s">
        <v>534</v>
      </c>
      <c r="C104" s="67"/>
      <c r="D104" s="68"/>
      <c r="E104" s="69"/>
      <c r="F104" s="70"/>
      <c r="G104" s="67"/>
      <c r="H104" s="71"/>
      <c r="I104" s="72"/>
      <c r="J104" s="72"/>
      <c r="K104" s="34" t="s">
        <v>65</v>
      </c>
      <c r="L104" s="79">
        <v>197</v>
      </c>
      <c r="M104" s="79"/>
      <c r="N104" s="74"/>
      <c r="O104" s="81" t="s">
        <v>588</v>
      </c>
      <c r="P104" s="83">
        <v>44005.04344907407</v>
      </c>
      <c r="Q104" s="81" t="s">
        <v>611</v>
      </c>
      <c r="R104" s="81"/>
      <c r="S104" s="81"/>
      <c r="T104" s="81" t="s">
        <v>711</v>
      </c>
      <c r="U104" s="81"/>
      <c r="V104" s="84" t="str">
        <f>HYPERLINK("http://pbs.twimg.com/profile_images/1242441234385231873/GLkHNr-B_normal.jpg")</f>
        <v>http://pbs.twimg.com/profile_images/1242441234385231873/GLkHNr-B_normal.jpg</v>
      </c>
      <c r="W104" s="83">
        <v>44005.04344907407</v>
      </c>
      <c r="X104" s="87">
        <v>44005</v>
      </c>
      <c r="Y104" s="89" t="s">
        <v>830</v>
      </c>
      <c r="Z104" s="84" t="str">
        <f>HYPERLINK("https://twitter.com/ashiquebiniqbal/status/1275232749385707520")</f>
        <v>https://twitter.com/ashiquebiniqbal/status/1275232749385707520</v>
      </c>
      <c r="AA104" s="81"/>
      <c r="AB104" s="81"/>
      <c r="AC104" s="89" t="s">
        <v>1039</v>
      </c>
      <c r="AD104" s="81"/>
      <c r="AE104" s="81" t="b">
        <v>0</v>
      </c>
      <c r="AF104" s="81">
        <v>0</v>
      </c>
      <c r="AG104" s="89" t="s">
        <v>1149</v>
      </c>
      <c r="AH104" s="81" t="b">
        <v>0</v>
      </c>
      <c r="AI104" s="81" t="s">
        <v>1150</v>
      </c>
      <c r="AJ104" s="81"/>
      <c r="AK104" s="89" t="s">
        <v>1149</v>
      </c>
      <c r="AL104" s="81" t="b">
        <v>0</v>
      </c>
      <c r="AM104" s="81">
        <v>23</v>
      </c>
      <c r="AN104" s="89" t="s">
        <v>1139</v>
      </c>
      <c r="AO104" s="81" t="s">
        <v>1172</v>
      </c>
      <c r="AP104" s="81" t="b">
        <v>0</v>
      </c>
      <c r="AQ104" s="89" t="s">
        <v>1139</v>
      </c>
      <c r="AR104" s="81" t="s">
        <v>325</v>
      </c>
      <c r="AS104" s="81">
        <v>0</v>
      </c>
      <c r="AT104" s="81">
        <v>0</v>
      </c>
      <c r="AU104" s="81"/>
      <c r="AV104" s="81"/>
      <c r="AW104" s="81"/>
      <c r="AX104" s="81"/>
      <c r="AY104" s="81"/>
      <c r="AZ104" s="81"/>
      <c r="BA104" s="81"/>
      <c r="BB104" s="81"/>
      <c r="BC104">
        <v>1</v>
      </c>
      <c r="BD104" s="80" t="str">
        <f>REPLACE(INDEX(GroupVertices[Group],MATCH(Edges25[[#This Row],[Vertex 1]],GroupVertices[Vertex],0)),1,1,"")</f>
        <v>4</v>
      </c>
      <c r="BE104" s="80" t="str">
        <f>REPLACE(INDEX(GroupVertices[Group],MATCH(Edges25[[#This Row],[Vertex 2]],GroupVertices[Vertex],0)),1,1,"")</f>
        <v>4</v>
      </c>
      <c r="BF104" s="48"/>
      <c r="BG104" s="49"/>
      <c r="BH104" s="48"/>
      <c r="BI104" s="49"/>
      <c r="BJ104" s="48"/>
      <c r="BK104" s="49"/>
      <c r="BL104" s="48"/>
      <c r="BM104" s="49"/>
      <c r="BN104" s="48"/>
    </row>
    <row r="105" spans="1:66" ht="15">
      <c r="A105" s="66" t="s">
        <v>464</v>
      </c>
      <c r="B105" s="66" t="s">
        <v>534</v>
      </c>
      <c r="C105" s="67"/>
      <c r="D105" s="68"/>
      <c r="E105" s="69"/>
      <c r="F105" s="70"/>
      <c r="G105" s="67"/>
      <c r="H105" s="71"/>
      <c r="I105" s="72"/>
      <c r="J105" s="72"/>
      <c r="K105" s="34" t="s">
        <v>65</v>
      </c>
      <c r="L105" s="79">
        <v>199</v>
      </c>
      <c r="M105" s="79"/>
      <c r="N105" s="74"/>
      <c r="O105" s="81" t="s">
        <v>588</v>
      </c>
      <c r="P105" s="83">
        <v>44005.04555555555</v>
      </c>
      <c r="Q105" s="81" t="s">
        <v>611</v>
      </c>
      <c r="R105" s="81"/>
      <c r="S105" s="81"/>
      <c r="T105" s="81" t="s">
        <v>711</v>
      </c>
      <c r="U105" s="81"/>
      <c r="V105" s="84" t="str">
        <f>HYPERLINK("http://pbs.twimg.com/profile_images/1171559246456135680/S2sSzsQl_normal.jpg")</f>
        <v>http://pbs.twimg.com/profile_images/1171559246456135680/S2sSzsQl_normal.jpg</v>
      </c>
      <c r="W105" s="83">
        <v>44005.04555555555</v>
      </c>
      <c r="X105" s="87">
        <v>44005</v>
      </c>
      <c r="Y105" s="89" t="s">
        <v>831</v>
      </c>
      <c r="Z105" s="84" t="str">
        <f>HYPERLINK("https://twitter.com/ellenychang/status/1275233509913878528")</f>
        <v>https://twitter.com/ellenychang/status/1275233509913878528</v>
      </c>
      <c r="AA105" s="81"/>
      <c r="AB105" s="81"/>
      <c r="AC105" s="89" t="s">
        <v>1040</v>
      </c>
      <c r="AD105" s="81"/>
      <c r="AE105" s="81" t="b">
        <v>0</v>
      </c>
      <c r="AF105" s="81">
        <v>0</v>
      </c>
      <c r="AG105" s="89" t="s">
        <v>1149</v>
      </c>
      <c r="AH105" s="81" t="b">
        <v>0</v>
      </c>
      <c r="AI105" s="81" t="s">
        <v>1150</v>
      </c>
      <c r="AJ105" s="81"/>
      <c r="AK105" s="89" t="s">
        <v>1149</v>
      </c>
      <c r="AL105" s="81" t="b">
        <v>0</v>
      </c>
      <c r="AM105" s="81">
        <v>23</v>
      </c>
      <c r="AN105" s="89" t="s">
        <v>1139</v>
      </c>
      <c r="AO105" s="81" t="s">
        <v>1172</v>
      </c>
      <c r="AP105" s="81" t="b">
        <v>0</v>
      </c>
      <c r="AQ105" s="89" t="s">
        <v>1139</v>
      </c>
      <c r="AR105" s="81" t="s">
        <v>325</v>
      </c>
      <c r="AS105" s="81">
        <v>0</v>
      </c>
      <c r="AT105" s="81">
        <v>0</v>
      </c>
      <c r="AU105" s="81"/>
      <c r="AV105" s="81"/>
      <c r="AW105" s="81"/>
      <c r="AX105" s="81"/>
      <c r="AY105" s="81"/>
      <c r="AZ105" s="81"/>
      <c r="BA105" s="81"/>
      <c r="BB105" s="81"/>
      <c r="BC105">
        <v>1</v>
      </c>
      <c r="BD105" s="80" t="str">
        <f>REPLACE(INDEX(GroupVertices[Group],MATCH(Edges25[[#This Row],[Vertex 1]],GroupVertices[Vertex],0)),1,1,"")</f>
        <v>4</v>
      </c>
      <c r="BE105" s="80" t="str">
        <f>REPLACE(INDEX(GroupVertices[Group],MATCH(Edges25[[#This Row],[Vertex 2]],GroupVertices[Vertex],0)),1,1,"")</f>
        <v>4</v>
      </c>
      <c r="BF105" s="48"/>
      <c r="BG105" s="49"/>
      <c r="BH105" s="48"/>
      <c r="BI105" s="49"/>
      <c r="BJ105" s="48"/>
      <c r="BK105" s="49"/>
      <c r="BL105" s="48"/>
      <c r="BM105" s="49"/>
      <c r="BN105" s="48"/>
    </row>
    <row r="106" spans="1:66" ht="15">
      <c r="A106" s="66" t="s">
        <v>465</v>
      </c>
      <c r="B106" s="66" t="s">
        <v>534</v>
      </c>
      <c r="C106" s="67"/>
      <c r="D106" s="68"/>
      <c r="E106" s="69"/>
      <c r="F106" s="70"/>
      <c r="G106" s="67"/>
      <c r="H106" s="71"/>
      <c r="I106" s="72"/>
      <c r="J106" s="72"/>
      <c r="K106" s="34" t="s">
        <v>65</v>
      </c>
      <c r="L106" s="79">
        <v>201</v>
      </c>
      <c r="M106" s="79"/>
      <c r="N106" s="74"/>
      <c r="O106" s="81" t="s">
        <v>588</v>
      </c>
      <c r="P106" s="83">
        <v>44005.050625</v>
      </c>
      <c r="Q106" s="81" t="s">
        <v>611</v>
      </c>
      <c r="R106" s="81"/>
      <c r="S106" s="81"/>
      <c r="T106" s="81" t="s">
        <v>711</v>
      </c>
      <c r="U106" s="81"/>
      <c r="V106" s="84" t="str">
        <f>HYPERLINK("http://pbs.twimg.com/profile_images/944139796628344832/Kky-ZV3__normal.jpg")</f>
        <v>http://pbs.twimg.com/profile_images/944139796628344832/Kky-ZV3__normal.jpg</v>
      </c>
      <c r="W106" s="83">
        <v>44005.050625</v>
      </c>
      <c r="X106" s="87">
        <v>44005</v>
      </c>
      <c r="Y106" s="89" t="s">
        <v>832</v>
      </c>
      <c r="Z106" s="84" t="str">
        <f>HYPERLINK("https://twitter.com/daudpasaney/status/1275235346956115969")</f>
        <v>https://twitter.com/daudpasaney/status/1275235346956115969</v>
      </c>
      <c r="AA106" s="81"/>
      <c r="AB106" s="81"/>
      <c r="AC106" s="89" t="s">
        <v>1041</v>
      </c>
      <c r="AD106" s="81"/>
      <c r="AE106" s="81" t="b">
        <v>0</v>
      </c>
      <c r="AF106" s="81">
        <v>0</v>
      </c>
      <c r="AG106" s="89" t="s">
        <v>1149</v>
      </c>
      <c r="AH106" s="81" t="b">
        <v>0</v>
      </c>
      <c r="AI106" s="81" t="s">
        <v>1150</v>
      </c>
      <c r="AJ106" s="81"/>
      <c r="AK106" s="89" t="s">
        <v>1149</v>
      </c>
      <c r="AL106" s="81" t="b">
        <v>0</v>
      </c>
      <c r="AM106" s="81">
        <v>23</v>
      </c>
      <c r="AN106" s="89" t="s">
        <v>1139</v>
      </c>
      <c r="AO106" s="81" t="s">
        <v>1176</v>
      </c>
      <c r="AP106" s="81" t="b">
        <v>0</v>
      </c>
      <c r="AQ106" s="89" t="s">
        <v>1139</v>
      </c>
      <c r="AR106" s="81" t="s">
        <v>325</v>
      </c>
      <c r="AS106" s="81">
        <v>0</v>
      </c>
      <c r="AT106" s="81">
        <v>0</v>
      </c>
      <c r="AU106" s="81"/>
      <c r="AV106" s="81"/>
      <c r="AW106" s="81"/>
      <c r="AX106" s="81"/>
      <c r="AY106" s="81"/>
      <c r="AZ106" s="81"/>
      <c r="BA106" s="81"/>
      <c r="BB106" s="81"/>
      <c r="BC106">
        <v>1</v>
      </c>
      <c r="BD106" s="80" t="str">
        <f>REPLACE(INDEX(GroupVertices[Group],MATCH(Edges25[[#This Row],[Vertex 1]],GroupVertices[Vertex],0)),1,1,"")</f>
        <v>4</v>
      </c>
      <c r="BE106" s="80" t="str">
        <f>REPLACE(INDEX(GroupVertices[Group],MATCH(Edges25[[#This Row],[Vertex 2]],GroupVertices[Vertex],0)),1,1,"")</f>
        <v>4</v>
      </c>
      <c r="BF106" s="48"/>
      <c r="BG106" s="49"/>
      <c r="BH106" s="48"/>
      <c r="BI106" s="49"/>
      <c r="BJ106" s="48"/>
      <c r="BK106" s="49"/>
      <c r="BL106" s="48"/>
      <c r="BM106" s="49"/>
      <c r="BN106" s="48"/>
    </row>
    <row r="107" spans="1:66" ht="15">
      <c r="A107" s="66" t="s">
        <v>466</v>
      </c>
      <c r="B107" s="66" t="s">
        <v>534</v>
      </c>
      <c r="C107" s="67"/>
      <c r="D107" s="68"/>
      <c r="E107" s="69"/>
      <c r="F107" s="70"/>
      <c r="G107" s="67"/>
      <c r="H107" s="71"/>
      <c r="I107" s="72"/>
      <c r="J107" s="72"/>
      <c r="K107" s="34" t="s">
        <v>65</v>
      </c>
      <c r="L107" s="79">
        <v>203</v>
      </c>
      <c r="M107" s="79"/>
      <c r="N107" s="74"/>
      <c r="O107" s="81" t="s">
        <v>588</v>
      </c>
      <c r="P107" s="83">
        <v>44005.059849537036</v>
      </c>
      <c r="Q107" s="81" t="s">
        <v>611</v>
      </c>
      <c r="R107" s="81"/>
      <c r="S107" s="81"/>
      <c r="T107" s="81" t="s">
        <v>711</v>
      </c>
      <c r="U107" s="81"/>
      <c r="V107" s="84" t="str">
        <f>HYPERLINK("http://pbs.twimg.com/profile_images/1274357533273026562/EXMxtsu0_normal.jpg")</f>
        <v>http://pbs.twimg.com/profile_images/1274357533273026562/EXMxtsu0_normal.jpg</v>
      </c>
      <c r="W107" s="83">
        <v>44005.059849537036</v>
      </c>
      <c r="X107" s="87">
        <v>44005</v>
      </c>
      <c r="Y107" s="89" t="s">
        <v>833</v>
      </c>
      <c r="Z107" s="84" t="str">
        <f>HYPERLINK("https://twitter.com/juanainesjjj/status/1275238693029113856")</f>
        <v>https://twitter.com/juanainesjjj/status/1275238693029113856</v>
      </c>
      <c r="AA107" s="81"/>
      <c r="AB107" s="81"/>
      <c r="AC107" s="89" t="s">
        <v>1042</v>
      </c>
      <c r="AD107" s="81"/>
      <c r="AE107" s="81" t="b">
        <v>0</v>
      </c>
      <c r="AF107" s="81">
        <v>0</v>
      </c>
      <c r="AG107" s="89" t="s">
        <v>1149</v>
      </c>
      <c r="AH107" s="81" t="b">
        <v>0</v>
      </c>
      <c r="AI107" s="81" t="s">
        <v>1150</v>
      </c>
      <c r="AJ107" s="81"/>
      <c r="AK107" s="89" t="s">
        <v>1149</v>
      </c>
      <c r="AL107" s="81" t="b">
        <v>0</v>
      </c>
      <c r="AM107" s="81">
        <v>23</v>
      </c>
      <c r="AN107" s="89" t="s">
        <v>1139</v>
      </c>
      <c r="AO107" s="81" t="s">
        <v>1172</v>
      </c>
      <c r="AP107" s="81" t="b">
        <v>0</v>
      </c>
      <c r="AQ107" s="89" t="s">
        <v>1139</v>
      </c>
      <c r="AR107" s="81" t="s">
        <v>325</v>
      </c>
      <c r="AS107" s="81">
        <v>0</v>
      </c>
      <c r="AT107" s="81">
        <v>0</v>
      </c>
      <c r="AU107" s="81"/>
      <c r="AV107" s="81"/>
      <c r="AW107" s="81"/>
      <c r="AX107" s="81"/>
      <c r="AY107" s="81"/>
      <c r="AZ107" s="81"/>
      <c r="BA107" s="81"/>
      <c r="BB107" s="81"/>
      <c r="BC107">
        <v>1</v>
      </c>
      <c r="BD107" s="80" t="str">
        <f>REPLACE(INDEX(GroupVertices[Group],MATCH(Edges25[[#This Row],[Vertex 1]],GroupVertices[Vertex],0)),1,1,"")</f>
        <v>4</v>
      </c>
      <c r="BE107" s="80" t="str">
        <f>REPLACE(INDEX(GroupVertices[Group],MATCH(Edges25[[#This Row],[Vertex 2]],GroupVertices[Vertex],0)),1,1,"")</f>
        <v>4</v>
      </c>
      <c r="BF107" s="48"/>
      <c r="BG107" s="49"/>
      <c r="BH107" s="48"/>
      <c r="BI107" s="49"/>
      <c r="BJ107" s="48"/>
      <c r="BK107" s="49"/>
      <c r="BL107" s="48"/>
      <c r="BM107" s="49"/>
      <c r="BN107" s="48"/>
    </row>
    <row r="108" spans="1:66" ht="15">
      <c r="A108" s="66" t="s">
        <v>467</v>
      </c>
      <c r="B108" s="66" t="s">
        <v>534</v>
      </c>
      <c r="C108" s="67"/>
      <c r="D108" s="68"/>
      <c r="E108" s="69"/>
      <c r="F108" s="70"/>
      <c r="G108" s="67"/>
      <c r="H108" s="71"/>
      <c r="I108" s="72"/>
      <c r="J108" s="72"/>
      <c r="K108" s="34" t="s">
        <v>65</v>
      </c>
      <c r="L108" s="79">
        <v>205</v>
      </c>
      <c r="M108" s="79"/>
      <c r="N108" s="74"/>
      <c r="O108" s="81" t="s">
        <v>588</v>
      </c>
      <c r="P108" s="83">
        <v>44005.076006944444</v>
      </c>
      <c r="Q108" s="81" t="s">
        <v>611</v>
      </c>
      <c r="R108" s="81"/>
      <c r="S108" s="81"/>
      <c r="T108" s="81" t="s">
        <v>711</v>
      </c>
      <c r="U108" s="81"/>
      <c r="V108" s="84" t="str">
        <f>HYPERLINK("http://pbs.twimg.com/profile_images/717636173364076544/bWAXypCk_normal.jpg")</f>
        <v>http://pbs.twimg.com/profile_images/717636173364076544/bWAXypCk_normal.jpg</v>
      </c>
      <c r="W108" s="83">
        <v>44005.076006944444</v>
      </c>
      <c r="X108" s="87">
        <v>44005</v>
      </c>
      <c r="Y108" s="89" t="s">
        <v>834</v>
      </c>
      <c r="Z108" s="84" t="str">
        <f>HYPERLINK("https://twitter.com/nellylaoni/status/1275244544867667969")</f>
        <v>https://twitter.com/nellylaoni/status/1275244544867667969</v>
      </c>
      <c r="AA108" s="81"/>
      <c r="AB108" s="81"/>
      <c r="AC108" s="89" t="s">
        <v>1043</v>
      </c>
      <c r="AD108" s="81"/>
      <c r="AE108" s="81" t="b">
        <v>0</v>
      </c>
      <c r="AF108" s="81">
        <v>0</v>
      </c>
      <c r="AG108" s="89" t="s">
        <v>1149</v>
      </c>
      <c r="AH108" s="81" t="b">
        <v>0</v>
      </c>
      <c r="AI108" s="81" t="s">
        <v>1150</v>
      </c>
      <c r="AJ108" s="81"/>
      <c r="AK108" s="89" t="s">
        <v>1149</v>
      </c>
      <c r="AL108" s="81" t="b">
        <v>0</v>
      </c>
      <c r="AM108" s="81">
        <v>23</v>
      </c>
      <c r="AN108" s="89" t="s">
        <v>1139</v>
      </c>
      <c r="AO108" s="81" t="s">
        <v>1176</v>
      </c>
      <c r="AP108" s="81" t="b">
        <v>0</v>
      </c>
      <c r="AQ108" s="89" t="s">
        <v>1139</v>
      </c>
      <c r="AR108" s="81" t="s">
        <v>325</v>
      </c>
      <c r="AS108" s="81">
        <v>0</v>
      </c>
      <c r="AT108" s="81">
        <v>0</v>
      </c>
      <c r="AU108" s="81"/>
      <c r="AV108" s="81"/>
      <c r="AW108" s="81"/>
      <c r="AX108" s="81"/>
      <c r="AY108" s="81"/>
      <c r="AZ108" s="81"/>
      <c r="BA108" s="81"/>
      <c r="BB108" s="81"/>
      <c r="BC108">
        <v>1</v>
      </c>
      <c r="BD108" s="80" t="str">
        <f>REPLACE(INDEX(GroupVertices[Group],MATCH(Edges25[[#This Row],[Vertex 1]],GroupVertices[Vertex],0)),1,1,"")</f>
        <v>4</v>
      </c>
      <c r="BE108" s="80" t="str">
        <f>REPLACE(INDEX(GroupVertices[Group],MATCH(Edges25[[#This Row],[Vertex 2]],GroupVertices[Vertex],0)),1,1,"")</f>
        <v>4</v>
      </c>
      <c r="BF108" s="48"/>
      <c r="BG108" s="49"/>
      <c r="BH108" s="48"/>
      <c r="BI108" s="49"/>
      <c r="BJ108" s="48"/>
      <c r="BK108" s="49"/>
      <c r="BL108" s="48"/>
      <c r="BM108" s="49"/>
      <c r="BN108" s="48"/>
    </row>
    <row r="109" spans="1:66" ht="15">
      <c r="A109" s="66" t="s">
        <v>468</v>
      </c>
      <c r="B109" s="66" t="s">
        <v>469</v>
      </c>
      <c r="C109" s="67"/>
      <c r="D109" s="68"/>
      <c r="E109" s="69"/>
      <c r="F109" s="70"/>
      <c r="G109" s="67"/>
      <c r="H109" s="71"/>
      <c r="I109" s="72"/>
      <c r="J109" s="72"/>
      <c r="K109" s="34" t="s">
        <v>66</v>
      </c>
      <c r="L109" s="79">
        <v>207</v>
      </c>
      <c r="M109" s="79"/>
      <c r="N109" s="74"/>
      <c r="O109" s="81" t="s">
        <v>587</v>
      </c>
      <c r="P109" s="83">
        <v>44000.69049768519</v>
      </c>
      <c r="Q109" s="81" t="s">
        <v>619</v>
      </c>
      <c r="R109" s="84" t="str">
        <f>HYPERLINK("https://ejerciciosdedatos.blogspot.com/2020/06/entrevista-jose-luis-huacles-unocc.html")</f>
        <v>https://ejerciciosdedatos.blogspot.com/2020/06/entrevista-jose-luis-huacles-unocc.html</v>
      </c>
      <c r="S109" s="81" t="s">
        <v>683</v>
      </c>
      <c r="T109" s="81" t="s">
        <v>707</v>
      </c>
      <c r="U109" s="81"/>
      <c r="V109" s="84" t="str">
        <f>HYPERLINK("http://pbs.twimg.com/profile_images/619271478039715840/3o29n4NO_normal.jpg")</f>
        <v>http://pbs.twimg.com/profile_images/619271478039715840/3o29n4NO_normal.jpg</v>
      </c>
      <c r="W109" s="83">
        <v>44000.69049768519</v>
      </c>
      <c r="X109" s="87">
        <v>44000</v>
      </c>
      <c r="Y109" s="89" t="s">
        <v>835</v>
      </c>
      <c r="Z109" s="84" t="str">
        <f>HYPERLINK("https://twitter.com/datosundav/status/1273655291457011712")</f>
        <v>https://twitter.com/datosundav/status/1273655291457011712</v>
      </c>
      <c r="AA109" s="81"/>
      <c r="AB109" s="81"/>
      <c r="AC109" s="89" t="s">
        <v>1044</v>
      </c>
      <c r="AD109" s="81"/>
      <c r="AE109" s="81" t="b">
        <v>0</v>
      </c>
      <c r="AF109" s="81">
        <v>0</v>
      </c>
      <c r="AG109" s="89" t="s">
        <v>1149</v>
      </c>
      <c r="AH109" s="81" t="b">
        <v>0</v>
      </c>
      <c r="AI109" s="81" t="s">
        <v>1156</v>
      </c>
      <c r="AJ109" s="81"/>
      <c r="AK109" s="89" t="s">
        <v>1149</v>
      </c>
      <c r="AL109" s="81" t="b">
        <v>0</v>
      </c>
      <c r="AM109" s="81">
        <v>2</v>
      </c>
      <c r="AN109" s="89" t="s">
        <v>1149</v>
      </c>
      <c r="AO109" s="81" t="s">
        <v>1172</v>
      </c>
      <c r="AP109" s="81" t="b">
        <v>0</v>
      </c>
      <c r="AQ109" s="89" t="s">
        <v>1044</v>
      </c>
      <c r="AR109" s="81" t="s">
        <v>586</v>
      </c>
      <c r="AS109" s="81">
        <v>0</v>
      </c>
      <c r="AT109" s="81">
        <v>0</v>
      </c>
      <c r="AU109" s="81"/>
      <c r="AV109" s="81"/>
      <c r="AW109" s="81"/>
      <c r="AX109" s="81"/>
      <c r="AY109" s="81"/>
      <c r="AZ109" s="81"/>
      <c r="BA109" s="81"/>
      <c r="BB109" s="81"/>
      <c r="BC109">
        <v>1</v>
      </c>
      <c r="BD109" s="80" t="str">
        <f>REPLACE(INDEX(GroupVertices[Group],MATCH(Edges25[[#This Row],[Vertex 1]],GroupVertices[Vertex],0)),1,1,"")</f>
        <v>13</v>
      </c>
      <c r="BE109" s="80" t="str">
        <f>REPLACE(INDEX(GroupVertices[Group],MATCH(Edges25[[#This Row],[Vertex 2]],GroupVertices[Vertex],0)),1,1,"")</f>
        <v>13</v>
      </c>
      <c r="BF109" s="48"/>
      <c r="BG109" s="49"/>
      <c r="BH109" s="48"/>
      <c r="BI109" s="49"/>
      <c r="BJ109" s="48"/>
      <c r="BK109" s="49"/>
      <c r="BL109" s="48"/>
      <c r="BM109" s="49"/>
      <c r="BN109" s="48"/>
    </row>
    <row r="110" spans="1:66" ht="15">
      <c r="A110" s="66" t="s">
        <v>469</v>
      </c>
      <c r="B110" s="66" t="s">
        <v>535</v>
      </c>
      <c r="C110" s="67"/>
      <c r="D110" s="68"/>
      <c r="E110" s="69"/>
      <c r="F110" s="70"/>
      <c r="G110" s="67"/>
      <c r="H110" s="71"/>
      <c r="I110" s="72"/>
      <c r="J110" s="72"/>
      <c r="K110" s="34" t="s">
        <v>65</v>
      </c>
      <c r="L110" s="79">
        <v>208</v>
      </c>
      <c r="M110" s="79"/>
      <c r="N110" s="74"/>
      <c r="O110" s="81" t="s">
        <v>588</v>
      </c>
      <c r="P110" s="83">
        <v>44005.08944444444</v>
      </c>
      <c r="Q110" s="81" t="s">
        <v>619</v>
      </c>
      <c r="R110" s="84" t="str">
        <f>HYPERLINK("https://ejerciciosdedatos.blogspot.com/2020/06/entrevista-jose-luis-huacles-unocc.html")</f>
        <v>https://ejerciciosdedatos.blogspot.com/2020/06/entrevista-jose-luis-huacles-unocc.html</v>
      </c>
      <c r="S110" s="81" t="s">
        <v>683</v>
      </c>
      <c r="T110" s="81"/>
      <c r="U110" s="81"/>
      <c r="V110" s="84" t="str">
        <f>HYPERLINK("http://pbs.twimg.com/profile_images/1224913695987453952/ZBfvgpih_normal.jpg")</f>
        <v>http://pbs.twimg.com/profile_images/1224913695987453952/ZBfvgpih_normal.jpg</v>
      </c>
      <c r="W110" s="83">
        <v>44005.08944444444</v>
      </c>
      <c r="X110" s="87">
        <v>44005</v>
      </c>
      <c r="Y110" s="89" t="s">
        <v>836</v>
      </c>
      <c r="Z110" s="84" t="str">
        <f>HYPERLINK("https://twitter.com/lacajadatera/status/1275249417868754945")</f>
        <v>https://twitter.com/lacajadatera/status/1275249417868754945</v>
      </c>
      <c r="AA110" s="81"/>
      <c r="AB110" s="81"/>
      <c r="AC110" s="89" t="s">
        <v>1045</v>
      </c>
      <c r="AD110" s="81"/>
      <c r="AE110" s="81" t="b">
        <v>0</v>
      </c>
      <c r="AF110" s="81">
        <v>0</v>
      </c>
      <c r="AG110" s="89" t="s">
        <v>1149</v>
      </c>
      <c r="AH110" s="81" t="b">
        <v>0</v>
      </c>
      <c r="AI110" s="81" t="s">
        <v>1156</v>
      </c>
      <c r="AJ110" s="81"/>
      <c r="AK110" s="89" t="s">
        <v>1149</v>
      </c>
      <c r="AL110" s="81" t="b">
        <v>0</v>
      </c>
      <c r="AM110" s="81">
        <v>2</v>
      </c>
      <c r="AN110" s="89" t="s">
        <v>1044</v>
      </c>
      <c r="AO110" s="81" t="s">
        <v>1176</v>
      </c>
      <c r="AP110" s="81" t="b">
        <v>0</v>
      </c>
      <c r="AQ110" s="89" t="s">
        <v>1044</v>
      </c>
      <c r="AR110" s="81" t="s">
        <v>325</v>
      </c>
      <c r="AS110" s="81">
        <v>0</v>
      </c>
      <c r="AT110" s="81">
        <v>0</v>
      </c>
      <c r="AU110" s="81"/>
      <c r="AV110" s="81"/>
      <c r="AW110" s="81"/>
      <c r="AX110" s="81"/>
      <c r="AY110" s="81"/>
      <c r="AZ110" s="81"/>
      <c r="BA110" s="81"/>
      <c r="BB110" s="81"/>
      <c r="BC110">
        <v>1</v>
      </c>
      <c r="BD110" s="80" t="str">
        <f>REPLACE(INDEX(GroupVertices[Group],MATCH(Edges25[[#This Row],[Vertex 1]],GroupVertices[Vertex],0)),1,1,"")</f>
        <v>13</v>
      </c>
      <c r="BE110" s="80" t="str">
        <f>REPLACE(INDEX(GroupVertices[Group],MATCH(Edges25[[#This Row],[Vertex 2]],GroupVertices[Vertex],0)),1,1,"")</f>
        <v>13</v>
      </c>
      <c r="BF110" s="48">
        <v>0</v>
      </c>
      <c r="BG110" s="49">
        <v>0</v>
      </c>
      <c r="BH110" s="48">
        <v>0</v>
      </c>
      <c r="BI110" s="49">
        <v>0</v>
      </c>
      <c r="BJ110" s="48">
        <v>0</v>
      </c>
      <c r="BK110" s="49">
        <v>0</v>
      </c>
      <c r="BL110" s="48">
        <v>16</v>
      </c>
      <c r="BM110" s="49">
        <v>100</v>
      </c>
      <c r="BN110" s="48">
        <v>16</v>
      </c>
    </row>
    <row r="111" spans="1:66" ht="15">
      <c r="A111" s="66" t="s">
        <v>470</v>
      </c>
      <c r="B111" s="66" t="s">
        <v>469</v>
      </c>
      <c r="C111" s="67"/>
      <c r="D111" s="68"/>
      <c r="E111" s="69"/>
      <c r="F111" s="70"/>
      <c r="G111" s="67"/>
      <c r="H111" s="71"/>
      <c r="I111" s="72"/>
      <c r="J111" s="72"/>
      <c r="K111" s="34" t="s">
        <v>65</v>
      </c>
      <c r="L111" s="79">
        <v>210</v>
      </c>
      <c r="M111" s="79"/>
      <c r="N111" s="74"/>
      <c r="O111" s="81" t="s">
        <v>588</v>
      </c>
      <c r="P111" s="83">
        <v>44005.089907407404</v>
      </c>
      <c r="Q111" s="81" t="s">
        <v>619</v>
      </c>
      <c r="R111" s="84" t="str">
        <f>HYPERLINK("https://ejerciciosdedatos.blogspot.com/2020/06/entrevista-jose-luis-huacles-unocc.html")</f>
        <v>https://ejerciciosdedatos.blogspot.com/2020/06/entrevista-jose-luis-huacles-unocc.html</v>
      </c>
      <c r="S111" s="81" t="s">
        <v>683</v>
      </c>
      <c r="T111" s="81"/>
      <c r="U111" s="81"/>
      <c r="V111" s="84" t="str">
        <f>HYPERLINK("http://pbs.twimg.com/profile_images/1147920122218237953/PY_DNS93_normal.jpg")</f>
        <v>http://pbs.twimg.com/profile_images/1147920122218237953/PY_DNS93_normal.jpg</v>
      </c>
      <c r="W111" s="83">
        <v>44005.089907407404</v>
      </c>
      <c r="X111" s="87">
        <v>44005</v>
      </c>
      <c r="Y111" s="89" t="s">
        <v>837</v>
      </c>
      <c r="Z111" s="84" t="str">
        <f>HYPERLINK("https://twitter.com/rocioromerox/status/1275249584265146372")</f>
        <v>https://twitter.com/rocioromerox/status/1275249584265146372</v>
      </c>
      <c r="AA111" s="81"/>
      <c r="AB111" s="81"/>
      <c r="AC111" s="89" t="s">
        <v>1046</v>
      </c>
      <c r="AD111" s="81"/>
      <c r="AE111" s="81" t="b">
        <v>0</v>
      </c>
      <c r="AF111" s="81">
        <v>0</v>
      </c>
      <c r="AG111" s="89" t="s">
        <v>1149</v>
      </c>
      <c r="AH111" s="81" t="b">
        <v>0</v>
      </c>
      <c r="AI111" s="81" t="s">
        <v>1156</v>
      </c>
      <c r="AJ111" s="81"/>
      <c r="AK111" s="89" t="s">
        <v>1149</v>
      </c>
      <c r="AL111" s="81" t="b">
        <v>0</v>
      </c>
      <c r="AM111" s="81">
        <v>2</v>
      </c>
      <c r="AN111" s="89" t="s">
        <v>1044</v>
      </c>
      <c r="AO111" s="81" t="s">
        <v>1176</v>
      </c>
      <c r="AP111" s="81" t="b">
        <v>0</v>
      </c>
      <c r="AQ111" s="89" t="s">
        <v>1044</v>
      </c>
      <c r="AR111" s="81" t="s">
        <v>325</v>
      </c>
      <c r="AS111" s="81">
        <v>0</v>
      </c>
      <c r="AT111" s="81">
        <v>0</v>
      </c>
      <c r="AU111" s="81"/>
      <c r="AV111" s="81"/>
      <c r="AW111" s="81"/>
      <c r="AX111" s="81"/>
      <c r="AY111" s="81"/>
      <c r="AZ111" s="81"/>
      <c r="BA111" s="81"/>
      <c r="BB111" s="81"/>
      <c r="BC111">
        <v>1</v>
      </c>
      <c r="BD111" s="80" t="str">
        <f>REPLACE(INDEX(GroupVertices[Group],MATCH(Edges25[[#This Row],[Vertex 1]],GroupVertices[Vertex],0)),1,1,"")</f>
        <v>13</v>
      </c>
      <c r="BE111" s="80" t="str">
        <f>REPLACE(INDEX(GroupVertices[Group],MATCH(Edges25[[#This Row],[Vertex 2]],GroupVertices[Vertex],0)),1,1,"")</f>
        <v>13</v>
      </c>
      <c r="BF111" s="48"/>
      <c r="BG111" s="49"/>
      <c r="BH111" s="48"/>
      <c r="BI111" s="49"/>
      <c r="BJ111" s="48"/>
      <c r="BK111" s="49"/>
      <c r="BL111" s="48"/>
      <c r="BM111" s="49"/>
      <c r="BN111" s="48"/>
    </row>
    <row r="112" spans="1:66" ht="15">
      <c r="A112" s="66" t="s">
        <v>471</v>
      </c>
      <c r="B112" s="66" t="s">
        <v>534</v>
      </c>
      <c r="C112" s="67"/>
      <c r="D112" s="68"/>
      <c r="E112" s="69"/>
      <c r="F112" s="70"/>
      <c r="G112" s="67"/>
      <c r="H112" s="71"/>
      <c r="I112" s="72"/>
      <c r="J112" s="72"/>
      <c r="K112" s="34" t="s">
        <v>65</v>
      </c>
      <c r="L112" s="79">
        <v>214</v>
      </c>
      <c r="M112" s="79"/>
      <c r="N112" s="74"/>
      <c r="O112" s="81" t="s">
        <v>588</v>
      </c>
      <c r="P112" s="83">
        <v>44005.10261574074</v>
      </c>
      <c r="Q112" s="81" t="s">
        <v>611</v>
      </c>
      <c r="R112" s="81"/>
      <c r="S112" s="81"/>
      <c r="T112" s="81" t="s">
        <v>711</v>
      </c>
      <c r="U112" s="81"/>
      <c r="V112" s="84" t="str">
        <f>HYPERLINK("http://pbs.twimg.com/profile_images/1159027680727068674/kSTrz2sC_normal.jpg")</f>
        <v>http://pbs.twimg.com/profile_images/1159027680727068674/kSTrz2sC_normal.jpg</v>
      </c>
      <c r="W112" s="83">
        <v>44005.10261574074</v>
      </c>
      <c r="X112" s="87">
        <v>44005</v>
      </c>
      <c r="Y112" s="89" t="s">
        <v>838</v>
      </c>
      <c r="Z112" s="84" t="str">
        <f>HYPERLINK("https://twitter.com/jaishri21/status/1275254189644550144")</f>
        <v>https://twitter.com/jaishri21/status/1275254189644550144</v>
      </c>
      <c r="AA112" s="81"/>
      <c r="AB112" s="81"/>
      <c r="AC112" s="89" t="s">
        <v>1047</v>
      </c>
      <c r="AD112" s="81"/>
      <c r="AE112" s="81" t="b">
        <v>0</v>
      </c>
      <c r="AF112" s="81">
        <v>0</v>
      </c>
      <c r="AG112" s="89" t="s">
        <v>1149</v>
      </c>
      <c r="AH112" s="81" t="b">
        <v>0</v>
      </c>
      <c r="AI112" s="81" t="s">
        <v>1150</v>
      </c>
      <c r="AJ112" s="81"/>
      <c r="AK112" s="89" t="s">
        <v>1149</v>
      </c>
      <c r="AL112" s="81" t="b">
        <v>0</v>
      </c>
      <c r="AM112" s="81">
        <v>23</v>
      </c>
      <c r="AN112" s="89" t="s">
        <v>1139</v>
      </c>
      <c r="AO112" s="81" t="s">
        <v>1176</v>
      </c>
      <c r="AP112" s="81" t="b">
        <v>0</v>
      </c>
      <c r="AQ112" s="89" t="s">
        <v>1139</v>
      </c>
      <c r="AR112" s="81" t="s">
        <v>325</v>
      </c>
      <c r="AS112" s="81">
        <v>0</v>
      </c>
      <c r="AT112" s="81">
        <v>0</v>
      </c>
      <c r="AU112" s="81"/>
      <c r="AV112" s="81"/>
      <c r="AW112" s="81"/>
      <c r="AX112" s="81"/>
      <c r="AY112" s="81"/>
      <c r="AZ112" s="81"/>
      <c r="BA112" s="81"/>
      <c r="BB112" s="81"/>
      <c r="BC112">
        <v>1</v>
      </c>
      <c r="BD112" s="80" t="str">
        <f>REPLACE(INDEX(GroupVertices[Group],MATCH(Edges25[[#This Row],[Vertex 1]],GroupVertices[Vertex],0)),1,1,"")</f>
        <v>4</v>
      </c>
      <c r="BE112" s="80" t="str">
        <f>REPLACE(INDEX(GroupVertices[Group],MATCH(Edges25[[#This Row],[Vertex 2]],GroupVertices[Vertex],0)),1,1,"")</f>
        <v>4</v>
      </c>
      <c r="BF112" s="48"/>
      <c r="BG112" s="49"/>
      <c r="BH112" s="48"/>
      <c r="BI112" s="49"/>
      <c r="BJ112" s="48"/>
      <c r="BK112" s="49"/>
      <c r="BL112" s="48"/>
      <c r="BM112" s="49"/>
      <c r="BN112" s="48"/>
    </row>
    <row r="113" spans="1:66" ht="15">
      <c r="A113" s="66" t="s">
        <v>472</v>
      </c>
      <c r="B113" s="66" t="s">
        <v>534</v>
      </c>
      <c r="C113" s="67"/>
      <c r="D113" s="68"/>
      <c r="E113" s="69"/>
      <c r="F113" s="70"/>
      <c r="G113" s="67"/>
      <c r="H113" s="71"/>
      <c r="I113" s="72"/>
      <c r="J113" s="72"/>
      <c r="K113" s="34" t="s">
        <v>65</v>
      </c>
      <c r="L113" s="79">
        <v>216</v>
      </c>
      <c r="M113" s="79"/>
      <c r="N113" s="74"/>
      <c r="O113" s="81" t="s">
        <v>588</v>
      </c>
      <c r="P113" s="83">
        <v>44005.10979166667</v>
      </c>
      <c r="Q113" s="81" t="s">
        <v>611</v>
      </c>
      <c r="R113" s="81"/>
      <c r="S113" s="81"/>
      <c r="T113" s="81" t="s">
        <v>711</v>
      </c>
      <c r="U113" s="81"/>
      <c r="V113" s="84" t="str">
        <f>HYPERLINK("http://pbs.twimg.com/profile_images/1148347541903355904/S-njLugd_normal.png")</f>
        <v>http://pbs.twimg.com/profile_images/1148347541903355904/S-njLugd_normal.png</v>
      </c>
      <c r="W113" s="83">
        <v>44005.10979166667</v>
      </c>
      <c r="X113" s="87">
        <v>44005</v>
      </c>
      <c r="Y113" s="89" t="s">
        <v>839</v>
      </c>
      <c r="Z113" s="84" t="str">
        <f>HYPERLINK("https://twitter.com/grasiel_grasel/status/1275256788049367040")</f>
        <v>https://twitter.com/grasiel_grasel/status/1275256788049367040</v>
      </c>
      <c r="AA113" s="81"/>
      <c r="AB113" s="81"/>
      <c r="AC113" s="89" t="s">
        <v>1048</v>
      </c>
      <c r="AD113" s="81"/>
      <c r="AE113" s="81" t="b">
        <v>0</v>
      </c>
      <c r="AF113" s="81">
        <v>0</v>
      </c>
      <c r="AG113" s="89" t="s">
        <v>1149</v>
      </c>
      <c r="AH113" s="81" t="b">
        <v>0</v>
      </c>
      <c r="AI113" s="81" t="s">
        <v>1150</v>
      </c>
      <c r="AJ113" s="81"/>
      <c r="AK113" s="89" t="s">
        <v>1149</v>
      </c>
      <c r="AL113" s="81" t="b">
        <v>0</v>
      </c>
      <c r="AM113" s="81">
        <v>23</v>
      </c>
      <c r="AN113" s="89" t="s">
        <v>1139</v>
      </c>
      <c r="AO113" s="81" t="s">
        <v>1172</v>
      </c>
      <c r="AP113" s="81" t="b">
        <v>0</v>
      </c>
      <c r="AQ113" s="89" t="s">
        <v>1139</v>
      </c>
      <c r="AR113" s="81" t="s">
        <v>325</v>
      </c>
      <c r="AS113" s="81">
        <v>0</v>
      </c>
      <c r="AT113" s="81">
        <v>0</v>
      </c>
      <c r="AU113" s="81"/>
      <c r="AV113" s="81"/>
      <c r="AW113" s="81"/>
      <c r="AX113" s="81"/>
      <c r="AY113" s="81"/>
      <c r="AZ113" s="81"/>
      <c r="BA113" s="81"/>
      <c r="BB113" s="81"/>
      <c r="BC113">
        <v>1</v>
      </c>
      <c r="BD113" s="80" t="str">
        <f>REPLACE(INDEX(GroupVertices[Group],MATCH(Edges25[[#This Row],[Vertex 1]],GroupVertices[Vertex],0)),1,1,"")</f>
        <v>4</v>
      </c>
      <c r="BE113" s="80" t="str">
        <f>REPLACE(INDEX(GroupVertices[Group],MATCH(Edges25[[#This Row],[Vertex 2]],GroupVertices[Vertex],0)),1,1,"")</f>
        <v>4</v>
      </c>
      <c r="BF113" s="48"/>
      <c r="BG113" s="49"/>
      <c r="BH113" s="48"/>
      <c r="BI113" s="49"/>
      <c r="BJ113" s="48"/>
      <c r="BK113" s="49"/>
      <c r="BL113" s="48"/>
      <c r="BM113" s="49"/>
      <c r="BN113" s="48"/>
    </row>
    <row r="114" spans="1:66" ht="15">
      <c r="A114" s="66" t="s">
        <v>473</v>
      </c>
      <c r="B114" s="66" t="s">
        <v>536</v>
      </c>
      <c r="C114" s="67"/>
      <c r="D114" s="68"/>
      <c r="E114" s="69"/>
      <c r="F114" s="70"/>
      <c r="G114" s="67"/>
      <c r="H114" s="71"/>
      <c r="I114" s="72"/>
      <c r="J114" s="72"/>
      <c r="K114" s="34" t="s">
        <v>65</v>
      </c>
      <c r="L114" s="79">
        <v>218</v>
      </c>
      <c r="M114" s="79"/>
      <c r="N114" s="74"/>
      <c r="O114" s="81" t="s">
        <v>587</v>
      </c>
      <c r="P114" s="83">
        <v>44004.070555555554</v>
      </c>
      <c r="Q114" s="81" t="s">
        <v>620</v>
      </c>
      <c r="R114" s="84" t="str">
        <f>HYPERLINK("https://twitter.com/i/web/status/1274865131990790146")</f>
        <v>https://twitter.com/i/web/status/1274865131990790146</v>
      </c>
      <c r="S114" s="81" t="s">
        <v>676</v>
      </c>
      <c r="T114" s="81" t="s">
        <v>717</v>
      </c>
      <c r="U114" s="81"/>
      <c r="V114" s="84" t="str">
        <f>HYPERLINK("http://pbs.twimg.com/profile_images/953436802110623744/NK6Q5dVg_normal.jpg")</f>
        <v>http://pbs.twimg.com/profile_images/953436802110623744/NK6Q5dVg_normal.jpg</v>
      </c>
      <c r="W114" s="83">
        <v>44004.070555555554</v>
      </c>
      <c r="X114" s="87">
        <v>44004</v>
      </c>
      <c r="Y114" s="89" t="s">
        <v>840</v>
      </c>
      <c r="Z114" s="84" t="str">
        <f>HYPERLINK("https://twitter.com/jornalismodados/status/1274880183955308545")</f>
        <v>https://twitter.com/jornalismodados/status/1274880183955308545</v>
      </c>
      <c r="AA114" s="81"/>
      <c r="AB114" s="81"/>
      <c r="AC114" s="89" t="s">
        <v>1049</v>
      </c>
      <c r="AD114" s="81"/>
      <c r="AE114" s="81" t="b">
        <v>0</v>
      </c>
      <c r="AF114" s="81">
        <v>0</v>
      </c>
      <c r="AG114" s="89" t="s">
        <v>1149</v>
      </c>
      <c r="AH114" s="81" t="b">
        <v>0</v>
      </c>
      <c r="AI114" s="81" t="s">
        <v>1155</v>
      </c>
      <c r="AJ114" s="81"/>
      <c r="AK114" s="89" t="s">
        <v>1149</v>
      </c>
      <c r="AL114" s="81" t="b">
        <v>0</v>
      </c>
      <c r="AM114" s="81">
        <v>0</v>
      </c>
      <c r="AN114" s="89" t="s">
        <v>1149</v>
      </c>
      <c r="AO114" s="81" t="s">
        <v>1180</v>
      </c>
      <c r="AP114" s="81" t="b">
        <v>0</v>
      </c>
      <c r="AQ114" s="89" t="s">
        <v>1049</v>
      </c>
      <c r="AR114" s="81" t="s">
        <v>325</v>
      </c>
      <c r="AS114" s="81">
        <v>0</v>
      </c>
      <c r="AT114" s="81">
        <v>0</v>
      </c>
      <c r="AU114" s="81"/>
      <c r="AV114" s="81"/>
      <c r="AW114" s="81"/>
      <c r="AX114" s="81"/>
      <c r="AY114" s="81"/>
      <c r="AZ114" s="81"/>
      <c r="BA114" s="81"/>
      <c r="BB114" s="81"/>
      <c r="BC114">
        <v>1</v>
      </c>
      <c r="BD114" s="80" t="str">
        <f>REPLACE(INDEX(GroupVertices[Group],MATCH(Edges25[[#This Row],[Vertex 1]],GroupVertices[Vertex],0)),1,1,"")</f>
        <v>1</v>
      </c>
      <c r="BE114" s="80" t="str">
        <f>REPLACE(INDEX(GroupVertices[Group],MATCH(Edges25[[#This Row],[Vertex 2]],GroupVertices[Vertex],0)),1,1,"")</f>
        <v>1</v>
      </c>
      <c r="BF114" s="48"/>
      <c r="BG114" s="49"/>
      <c r="BH114" s="48"/>
      <c r="BI114" s="49"/>
      <c r="BJ114" s="48"/>
      <c r="BK114" s="49"/>
      <c r="BL114" s="48"/>
      <c r="BM114" s="49"/>
      <c r="BN114" s="48"/>
    </row>
    <row r="115" spans="1:66" ht="15">
      <c r="A115" s="66" t="s">
        <v>473</v>
      </c>
      <c r="B115" s="66" t="s">
        <v>539</v>
      </c>
      <c r="C115" s="67"/>
      <c r="D115" s="68"/>
      <c r="E115" s="69"/>
      <c r="F115" s="70"/>
      <c r="G115" s="67"/>
      <c r="H115" s="71"/>
      <c r="I115" s="72"/>
      <c r="J115" s="72"/>
      <c r="K115" s="34" t="s">
        <v>65</v>
      </c>
      <c r="L115" s="79">
        <v>221</v>
      </c>
      <c r="M115" s="79"/>
      <c r="N115" s="74"/>
      <c r="O115" s="81" t="s">
        <v>587</v>
      </c>
      <c r="P115" s="83">
        <v>44004.1121875</v>
      </c>
      <c r="Q115" s="81" t="s">
        <v>621</v>
      </c>
      <c r="R115" s="84" t="str">
        <f>HYPERLINK("https://twitter.com/_danielmariani/status/1274701756069556225")</f>
        <v>https://twitter.com/_danielmariani/status/1274701756069556225</v>
      </c>
      <c r="S115" s="81" t="s">
        <v>676</v>
      </c>
      <c r="T115" s="81" t="s">
        <v>707</v>
      </c>
      <c r="U115" s="81"/>
      <c r="V115" s="84" t="str">
        <f>HYPERLINK("http://pbs.twimg.com/profile_images/953436802110623744/NK6Q5dVg_normal.jpg")</f>
        <v>http://pbs.twimg.com/profile_images/953436802110623744/NK6Q5dVg_normal.jpg</v>
      </c>
      <c r="W115" s="83">
        <v>44004.1121875</v>
      </c>
      <c r="X115" s="87">
        <v>44004</v>
      </c>
      <c r="Y115" s="89" t="s">
        <v>841</v>
      </c>
      <c r="Z115" s="84" t="str">
        <f>HYPERLINK("https://twitter.com/jornalismodados/status/1274895269319118848")</f>
        <v>https://twitter.com/jornalismodados/status/1274895269319118848</v>
      </c>
      <c r="AA115" s="81"/>
      <c r="AB115" s="81"/>
      <c r="AC115" s="89" t="s">
        <v>1050</v>
      </c>
      <c r="AD115" s="81"/>
      <c r="AE115" s="81" t="b">
        <v>0</v>
      </c>
      <c r="AF115" s="81">
        <v>0</v>
      </c>
      <c r="AG115" s="89" t="s">
        <v>1149</v>
      </c>
      <c r="AH115" s="81" t="b">
        <v>1</v>
      </c>
      <c r="AI115" s="81" t="s">
        <v>1155</v>
      </c>
      <c r="AJ115" s="81"/>
      <c r="AK115" s="89" t="s">
        <v>1162</v>
      </c>
      <c r="AL115" s="81" t="b">
        <v>0</v>
      </c>
      <c r="AM115" s="81">
        <v>0</v>
      </c>
      <c r="AN115" s="89" t="s">
        <v>1149</v>
      </c>
      <c r="AO115" s="81" t="s">
        <v>1180</v>
      </c>
      <c r="AP115" s="81" t="b">
        <v>0</v>
      </c>
      <c r="AQ115" s="89" t="s">
        <v>1050</v>
      </c>
      <c r="AR115" s="81" t="s">
        <v>325</v>
      </c>
      <c r="AS115" s="81">
        <v>0</v>
      </c>
      <c r="AT115" s="81">
        <v>0</v>
      </c>
      <c r="AU115" s="81"/>
      <c r="AV115" s="81"/>
      <c r="AW115" s="81"/>
      <c r="AX115" s="81"/>
      <c r="AY115" s="81"/>
      <c r="AZ115" s="81"/>
      <c r="BA115" s="81"/>
      <c r="BB115" s="81"/>
      <c r="BC115">
        <v>4</v>
      </c>
      <c r="BD115" s="80" t="str">
        <f>REPLACE(INDEX(GroupVertices[Group],MATCH(Edges25[[#This Row],[Vertex 1]],GroupVertices[Vertex],0)),1,1,"")</f>
        <v>1</v>
      </c>
      <c r="BE115" s="80" t="str">
        <f>REPLACE(INDEX(GroupVertices[Group],MATCH(Edges25[[#This Row],[Vertex 2]],GroupVertices[Vertex],0)),1,1,"")</f>
        <v>1</v>
      </c>
      <c r="BF115" s="48">
        <v>0</v>
      </c>
      <c r="BG115" s="49">
        <v>0</v>
      </c>
      <c r="BH115" s="48">
        <v>0</v>
      </c>
      <c r="BI115" s="49">
        <v>0</v>
      </c>
      <c r="BJ115" s="48">
        <v>0</v>
      </c>
      <c r="BK115" s="49">
        <v>0</v>
      </c>
      <c r="BL115" s="48">
        <v>18</v>
      </c>
      <c r="BM115" s="49">
        <v>100</v>
      </c>
      <c r="BN115" s="48">
        <v>18</v>
      </c>
    </row>
    <row r="116" spans="1:66" ht="15">
      <c r="A116" s="66" t="s">
        <v>473</v>
      </c>
      <c r="B116" s="66" t="s">
        <v>539</v>
      </c>
      <c r="C116" s="67"/>
      <c r="D116" s="68"/>
      <c r="E116" s="69"/>
      <c r="F116" s="70"/>
      <c r="G116" s="67"/>
      <c r="H116" s="71"/>
      <c r="I116" s="72"/>
      <c r="J116" s="72"/>
      <c r="K116" s="34" t="s">
        <v>65</v>
      </c>
      <c r="L116" s="79">
        <v>222</v>
      </c>
      <c r="M116" s="79"/>
      <c r="N116" s="74"/>
      <c r="O116" s="81" t="s">
        <v>587</v>
      </c>
      <c r="P116" s="83">
        <v>44004.15385416667</v>
      </c>
      <c r="Q116" s="81" t="s">
        <v>622</v>
      </c>
      <c r="R116" s="84" t="str">
        <f>HYPERLINK("https://twitter.com/_danielmariani/status/1274701756069556225")</f>
        <v>https://twitter.com/_danielmariani/status/1274701756069556225</v>
      </c>
      <c r="S116" s="81" t="s">
        <v>676</v>
      </c>
      <c r="T116" s="81" t="s">
        <v>718</v>
      </c>
      <c r="U116" s="81"/>
      <c r="V116" s="84" t="str">
        <f>HYPERLINK("http://pbs.twimg.com/profile_images/953436802110623744/NK6Q5dVg_normal.jpg")</f>
        <v>http://pbs.twimg.com/profile_images/953436802110623744/NK6Q5dVg_normal.jpg</v>
      </c>
      <c r="W116" s="83">
        <v>44004.15385416667</v>
      </c>
      <c r="X116" s="87">
        <v>44004</v>
      </c>
      <c r="Y116" s="89" t="s">
        <v>842</v>
      </c>
      <c r="Z116" s="84" t="str">
        <f>HYPERLINK("https://twitter.com/jornalismodados/status/1274910369551724547")</f>
        <v>https://twitter.com/jornalismodados/status/1274910369551724547</v>
      </c>
      <c r="AA116" s="81"/>
      <c r="AB116" s="81"/>
      <c r="AC116" s="89" t="s">
        <v>1051</v>
      </c>
      <c r="AD116" s="81"/>
      <c r="AE116" s="81" t="b">
        <v>0</v>
      </c>
      <c r="AF116" s="81">
        <v>0</v>
      </c>
      <c r="AG116" s="89" t="s">
        <v>1149</v>
      </c>
      <c r="AH116" s="81" t="b">
        <v>1</v>
      </c>
      <c r="AI116" s="81" t="s">
        <v>1155</v>
      </c>
      <c r="AJ116" s="81"/>
      <c r="AK116" s="89" t="s">
        <v>1162</v>
      </c>
      <c r="AL116" s="81" t="b">
        <v>0</v>
      </c>
      <c r="AM116" s="81">
        <v>0</v>
      </c>
      <c r="AN116" s="89" t="s">
        <v>1149</v>
      </c>
      <c r="AO116" s="81" t="s">
        <v>1180</v>
      </c>
      <c r="AP116" s="81" t="b">
        <v>0</v>
      </c>
      <c r="AQ116" s="89" t="s">
        <v>1051</v>
      </c>
      <c r="AR116" s="81" t="s">
        <v>325</v>
      </c>
      <c r="AS116" s="81">
        <v>0</v>
      </c>
      <c r="AT116" s="81">
        <v>0</v>
      </c>
      <c r="AU116" s="81"/>
      <c r="AV116" s="81"/>
      <c r="AW116" s="81"/>
      <c r="AX116" s="81"/>
      <c r="AY116" s="81"/>
      <c r="AZ116" s="81"/>
      <c r="BA116" s="81"/>
      <c r="BB116" s="81"/>
      <c r="BC116">
        <v>4</v>
      </c>
      <c r="BD116" s="80" t="str">
        <f>REPLACE(INDEX(GroupVertices[Group],MATCH(Edges25[[#This Row],[Vertex 1]],GroupVertices[Vertex],0)),1,1,"")</f>
        <v>1</v>
      </c>
      <c r="BE116" s="80" t="str">
        <f>REPLACE(INDEX(GroupVertices[Group],MATCH(Edges25[[#This Row],[Vertex 2]],GroupVertices[Vertex],0)),1,1,"")</f>
        <v>1</v>
      </c>
      <c r="BF116" s="48">
        <v>0</v>
      </c>
      <c r="BG116" s="49">
        <v>0</v>
      </c>
      <c r="BH116" s="48">
        <v>0</v>
      </c>
      <c r="BI116" s="49">
        <v>0</v>
      </c>
      <c r="BJ116" s="48">
        <v>0</v>
      </c>
      <c r="BK116" s="49">
        <v>0</v>
      </c>
      <c r="BL116" s="48">
        <v>24</v>
      </c>
      <c r="BM116" s="49">
        <v>100</v>
      </c>
      <c r="BN116" s="48">
        <v>24</v>
      </c>
    </row>
    <row r="117" spans="1:66" ht="15">
      <c r="A117" s="66" t="s">
        <v>473</v>
      </c>
      <c r="B117" s="66" t="s">
        <v>539</v>
      </c>
      <c r="C117" s="67"/>
      <c r="D117" s="68"/>
      <c r="E117" s="69"/>
      <c r="F117" s="70"/>
      <c r="G117" s="67"/>
      <c r="H117" s="71"/>
      <c r="I117" s="72"/>
      <c r="J117" s="72"/>
      <c r="K117" s="34" t="s">
        <v>65</v>
      </c>
      <c r="L117" s="79">
        <v>223</v>
      </c>
      <c r="M117" s="79"/>
      <c r="N117" s="74"/>
      <c r="O117" s="81" t="s">
        <v>587</v>
      </c>
      <c r="P117" s="83">
        <v>44004.19571759259</v>
      </c>
      <c r="Q117" s="81" t="s">
        <v>623</v>
      </c>
      <c r="R117" s="84" t="str">
        <f>HYPERLINK("https://twitter.com/i/web/status/1274910369551724547")</f>
        <v>https://twitter.com/i/web/status/1274910369551724547</v>
      </c>
      <c r="S117" s="81" t="s">
        <v>676</v>
      </c>
      <c r="T117" s="81" t="s">
        <v>717</v>
      </c>
      <c r="U117" s="81"/>
      <c r="V117" s="84" t="str">
        <f>HYPERLINK("http://pbs.twimg.com/profile_images/953436802110623744/NK6Q5dVg_normal.jpg")</f>
        <v>http://pbs.twimg.com/profile_images/953436802110623744/NK6Q5dVg_normal.jpg</v>
      </c>
      <c r="W117" s="83">
        <v>44004.19571759259</v>
      </c>
      <c r="X117" s="87">
        <v>44004</v>
      </c>
      <c r="Y117" s="89" t="s">
        <v>843</v>
      </c>
      <c r="Z117" s="84" t="str">
        <f>HYPERLINK("https://twitter.com/jornalismodados/status/1274925539954958337")</f>
        <v>https://twitter.com/jornalismodados/status/1274925539954958337</v>
      </c>
      <c r="AA117" s="81"/>
      <c r="AB117" s="81"/>
      <c r="AC117" s="89" t="s">
        <v>1052</v>
      </c>
      <c r="AD117" s="81"/>
      <c r="AE117" s="81" t="b">
        <v>0</v>
      </c>
      <c r="AF117" s="81">
        <v>0</v>
      </c>
      <c r="AG117" s="89" t="s">
        <v>1149</v>
      </c>
      <c r="AH117" s="81" t="b">
        <v>0</v>
      </c>
      <c r="AI117" s="81" t="s">
        <v>1155</v>
      </c>
      <c r="AJ117" s="81"/>
      <c r="AK117" s="89" t="s">
        <v>1149</v>
      </c>
      <c r="AL117" s="81" t="b">
        <v>0</v>
      </c>
      <c r="AM117" s="81">
        <v>0</v>
      </c>
      <c r="AN117" s="89" t="s">
        <v>1149</v>
      </c>
      <c r="AO117" s="81" t="s">
        <v>1180</v>
      </c>
      <c r="AP117" s="81" t="b">
        <v>0</v>
      </c>
      <c r="AQ117" s="89" t="s">
        <v>1052</v>
      </c>
      <c r="AR117" s="81" t="s">
        <v>325</v>
      </c>
      <c r="AS117" s="81">
        <v>0</v>
      </c>
      <c r="AT117" s="81">
        <v>0</v>
      </c>
      <c r="AU117" s="81"/>
      <c r="AV117" s="81"/>
      <c r="AW117" s="81"/>
      <c r="AX117" s="81"/>
      <c r="AY117" s="81"/>
      <c r="AZ117" s="81"/>
      <c r="BA117" s="81"/>
      <c r="BB117" s="81"/>
      <c r="BC117">
        <v>4</v>
      </c>
      <c r="BD117" s="80" t="str">
        <f>REPLACE(INDEX(GroupVertices[Group],MATCH(Edges25[[#This Row],[Vertex 1]],GroupVertices[Vertex],0)),1,1,"")</f>
        <v>1</v>
      </c>
      <c r="BE117" s="80" t="str">
        <f>REPLACE(INDEX(GroupVertices[Group],MATCH(Edges25[[#This Row],[Vertex 2]],GroupVertices[Vertex],0)),1,1,"")</f>
        <v>1</v>
      </c>
      <c r="BF117" s="48">
        <v>0</v>
      </c>
      <c r="BG117" s="49">
        <v>0</v>
      </c>
      <c r="BH117" s="48">
        <v>0</v>
      </c>
      <c r="BI117" s="49">
        <v>0</v>
      </c>
      <c r="BJ117" s="48">
        <v>0</v>
      </c>
      <c r="BK117" s="49">
        <v>0</v>
      </c>
      <c r="BL117" s="48">
        <v>28</v>
      </c>
      <c r="BM117" s="49">
        <v>100</v>
      </c>
      <c r="BN117" s="48">
        <v>28</v>
      </c>
    </row>
    <row r="118" spans="1:66" ht="15">
      <c r="A118" s="66" t="s">
        <v>473</v>
      </c>
      <c r="B118" s="66" t="s">
        <v>539</v>
      </c>
      <c r="C118" s="67"/>
      <c r="D118" s="68"/>
      <c r="E118" s="69"/>
      <c r="F118" s="70"/>
      <c r="G118" s="67"/>
      <c r="H118" s="71"/>
      <c r="I118" s="72"/>
      <c r="J118" s="72"/>
      <c r="K118" s="34" t="s">
        <v>65</v>
      </c>
      <c r="L118" s="79">
        <v>224</v>
      </c>
      <c r="M118" s="79"/>
      <c r="N118" s="74"/>
      <c r="O118" s="81" t="s">
        <v>587</v>
      </c>
      <c r="P118" s="83">
        <v>44004.2371875</v>
      </c>
      <c r="Q118" s="81" t="s">
        <v>624</v>
      </c>
      <c r="R118" s="84" t="str">
        <f>HYPERLINK("https://twitter.com/i/web/status/1274925539954958337")</f>
        <v>https://twitter.com/i/web/status/1274925539954958337</v>
      </c>
      <c r="S118" s="81" t="s">
        <v>676</v>
      </c>
      <c r="T118" s="81" t="s">
        <v>719</v>
      </c>
      <c r="U118" s="81"/>
      <c r="V118" s="84" t="str">
        <f>HYPERLINK("http://pbs.twimg.com/profile_images/953436802110623744/NK6Q5dVg_normal.jpg")</f>
        <v>http://pbs.twimg.com/profile_images/953436802110623744/NK6Q5dVg_normal.jpg</v>
      </c>
      <c r="W118" s="83">
        <v>44004.2371875</v>
      </c>
      <c r="X118" s="87">
        <v>44004</v>
      </c>
      <c r="Y118" s="89" t="s">
        <v>844</v>
      </c>
      <c r="Z118" s="84" t="str">
        <f>HYPERLINK("https://twitter.com/jornalismodados/status/1274940568360095744")</f>
        <v>https://twitter.com/jornalismodados/status/1274940568360095744</v>
      </c>
      <c r="AA118" s="81"/>
      <c r="AB118" s="81"/>
      <c r="AC118" s="89" t="s">
        <v>1053</v>
      </c>
      <c r="AD118" s="81"/>
      <c r="AE118" s="81" t="b">
        <v>0</v>
      </c>
      <c r="AF118" s="81">
        <v>0</v>
      </c>
      <c r="AG118" s="89" t="s">
        <v>1149</v>
      </c>
      <c r="AH118" s="81" t="b">
        <v>0</v>
      </c>
      <c r="AI118" s="81" t="s">
        <v>1155</v>
      </c>
      <c r="AJ118" s="81"/>
      <c r="AK118" s="89" t="s">
        <v>1149</v>
      </c>
      <c r="AL118" s="81" t="b">
        <v>0</v>
      </c>
      <c r="AM118" s="81">
        <v>0</v>
      </c>
      <c r="AN118" s="89" t="s">
        <v>1149</v>
      </c>
      <c r="AO118" s="81" t="s">
        <v>1180</v>
      </c>
      <c r="AP118" s="81" t="b">
        <v>0</v>
      </c>
      <c r="AQ118" s="89" t="s">
        <v>1053</v>
      </c>
      <c r="AR118" s="81" t="s">
        <v>325</v>
      </c>
      <c r="AS118" s="81">
        <v>0</v>
      </c>
      <c r="AT118" s="81">
        <v>0</v>
      </c>
      <c r="AU118" s="81"/>
      <c r="AV118" s="81"/>
      <c r="AW118" s="81"/>
      <c r="AX118" s="81"/>
      <c r="AY118" s="81"/>
      <c r="AZ118" s="81"/>
      <c r="BA118" s="81"/>
      <c r="BB118" s="81"/>
      <c r="BC118">
        <v>4</v>
      </c>
      <c r="BD118" s="80" t="str">
        <f>REPLACE(INDEX(GroupVertices[Group],MATCH(Edges25[[#This Row],[Vertex 1]],GroupVertices[Vertex],0)),1,1,"")</f>
        <v>1</v>
      </c>
      <c r="BE118" s="80" t="str">
        <f>REPLACE(INDEX(GroupVertices[Group],MATCH(Edges25[[#This Row],[Vertex 2]],GroupVertices[Vertex],0)),1,1,"")</f>
        <v>1</v>
      </c>
      <c r="BF118" s="48">
        <v>0</v>
      </c>
      <c r="BG118" s="49">
        <v>0</v>
      </c>
      <c r="BH118" s="48">
        <v>0</v>
      </c>
      <c r="BI118" s="49">
        <v>0</v>
      </c>
      <c r="BJ118" s="48">
        <v>0</v>
      </c>
      <c r="BK118" s="49">
        <v>0</v>
      </c>
      <c r="BL118" s="48">
        <v>26</v>
      </c>
      <c r="BM118" s="49">
        <v>100</v>
      </c>
      <c r="BN118" s="48">
        <v>26</v>
      </c>
    </row>
    <row r="119" spans="1:66" ht="15">
      <c r="A119" s="66" t="s">
        <v>473</v>
      </c>
      <c r="B119" s="66" t="s">
        <v>540</v>
      </c>
      <c r="C119" s="67"/>
      <c r="D119" s="68"/>
      <c r="E119" s="69"/>
      <c r="F119" s="70"/>
      <c r="G119" s="67"/>
      <c r="H119" s="71"/>
      <c r="I119" s="72"/>
      <c r="J119" s="72"/>
      <c r="K119" s="34" t="s">
        <v>65</v>
      </c>
      <c r="L119" s="79">
        <v>225</v>
      </c>
      <c r="M119" s="79"/>
      <c r="N119" s="74"/>
      <c r="O119" s="81" t="s">
        <v>587</v>
      </c>
      <c r="P119" s="83">
        <v>44004.4871875</v>
      </c>
      <c r="Q119" s="81" t="s">
        <v>625</v>
      </c>
      <c r="R119" s="84" t="str">
        <f>HYPERLINK("https://twitter.com/i/web/status/1275027326720450560")</f>
        <v>https://twitter.com/i/web/status/1275027326720450560</v>
      </c>
      <c r="S119" s="81" t="s">
        <v>676</v>
      </c>
      <c r="T119" s="81" t="s">
        <v>707</v>
      </c>
      <c r="U119" s="81"/>
      <c r="V119" s="84" t="str">
        <f>HYPERLINK("http://pbs.twimg.com/profile_images/953436802110623744/NK6Q5dVg_normal.jpg")</f>
        <v>http://pbs.twimg.com/profile_images/953436802110623744/NK6Q5dVg_normal.jpg</v>
      </c>
      <c r="W119" s="83">
        <v>44004.4871875</v>
      </c>
      <c r="X119" s="87">
        <v>44004</v>
      </c>
      <c r="Y119" s="89" t="s">
        <v>845</v>
      </c>
      <c r="Z119" s="84" t="str">
        <f>HYPERLINK("https://twitter.com/jornalismodados/status/1275031165020274690")</f>
        <v>https://twitter.com/jornalismodados/status/1275031165020274690</v>
      </c>
      <c r="AA119" s="81"/>
      <c r="AB119" s="81"/>
      <c r="AC119" s="89" t="s">
        <v>1054</v>
      </c>
      <c r="AD119" s="81"/>
      <c r="AE119" s="81" t="b">
        <v>0</v>
      </c>
      <c r="AF119" s="81">
        <v>1</v>
      </c>
      <c r="AG119" s="89" t="s">
        <v>1149</v>
      </c>
      <c r="AH119" s="81" t="b">
        <v>0</v>
      </c>
      <c r="AI119" s="81" t="s">
        <v>1155</v>
      </c>
      <c r="AJ119" s="81"/>
      <c r="AK119" s="89" t="s">
        <v>1149</v>
      </c>
      <c r="AL119" s="81" t="b">
        <v>0</v>
      </c>
      <c r="AM119" s="81">
        <v>0</v>
      </c>
      <c r="AN119" s="89" t="s">
        <v>1149</v>
      </c>
      <c r="AO119" s="81" t="s">
        <v>1180</v>
      </c>
      <c r="AP119" s="81" t="b">
        <v>0</v>
      </c>
      <c r="AQ119" s="89" t="s">
        <v>1054</v>
      </c>
      <c r="AR119" s="81" t="s">
        <v>325</v>
      </c>
      <c r="AS119" s="81">
        <v>0</v>
      </c>
      <c r="AT119" s="81">
        <v>0</v>
      </c>
      <c r="AU119" s="81"/>
      <c r="AV119" s="81"/>
      <c r="AW119" s="81"/>
      <c r="AX119" s="81"/>
      <c r="AY119" s="81"/>
      <c r="AZ119" s="81"/>
      <c r="BA119" s="81"/>
      <c r="BB119" s="81"/>
      <c r="BC119">
        <v>1</v>
      </c>
      <c r="BD119" s="80" t="str">
        <f>REPLACE(INDEX(GroupVertices[Group],MATCH(Edges25[[#This Row],[Vertex 1]],GroupVertices[Vertex],0)),1,1,"")</f>
        <v>1</v>
      </c>
      <c r="BE119" s="80" t="str">
        <f>REPLACE(INDEX(GroupVertices[Group],MATCH(Edges25[[#This Row],[Vertex 2]],GroupVertices[Vertex],0)),1,1,"")</f>
        <v>1</v>
      </c>
      <c r="BF119" s="48"/>
      <c r="BG119" s="49"/>
      <c r="BH119" s="48"/>
      <c r="BI119" s="49"/>
      <c r="BJ119" s="48"/>
      <c r="BK119" s="49"/>
      <c r="BL119" s="48"/>
      <c r="BM119" s="49"/>
      <c r="BN119" s="48"/>
    </row>
    <row r="120" spans="1:66" ht="15">
      <c r="A120" s="66" t="s">
        <v>473</v>
      </c>
      <c r="B120" s="66" t="s">
        <v>543</v>
      </c>
      <c r="C120" s="67"/>
      <c r="D120" s="68"/>
      <c r="E120" s="69"/>
      <c r="F120" s="70"/>
      <c r="G120" s="67"/>
      <c r="H120" s="71"/>
      <c r="I120" s="72"/>
      <c r="J120" s="72"/>
      <c r="K120" s="34" t="s">
        <v>65</v>
      </c>
      <c r="L120" s="79">
        <v>228</v>
      </c>
      <c r="M120" s="79"/>
      <c r="N120" s="74"/>
      <c r="O120" s="81" t="s">
        <v>587</v>
      </c>
      <c r="P120" s="83">
        <v>44004.57053240741</v>
      </c>
      <c r="Q120" s="81" t="s">
        <v>626</v>
      </c>
      <c r="R120" s="84" t="str">
        <f>HYPERLINK("https://twitter.com/i/web/status/1275054330006196226")</f>
        <v>https://twitter.com/i/web/status/1275054330006196226</v>
      </c>
      <c r="S120" s="81" t="s">
        <v>676</v>
      </c>
      <c r="T120" s="81" t="s">
        <v>707</v>
      </c>
      <c r="U120" s="81"/>
      <c r="V120" s="84" t="str">
        <f>HYPERLINK("http://pbs.twimg.com/profile_images/953436802110623744/NK6Q5dVg_normal.jpg")</f>
        <v>http://pbs.twimg.com/profile_images/953436802110623744/NK6Q5dVg_normal.jpg</v>
      </c>
      <c r="W120" s="83">
        <v>44004.57053240741</v>
      </c>
      <c r="X120" s="87">
        <v>44004</v>
      </c>
      <c r="Y120" s="89" t="s">
        <v>846</v>
      </c>
      <c r="Z120" s="84" t="str">
        <f>HYPERLINK("https://twitter.com/jornalismodados/status/1275061368203259904")</f>
        <v>https://twitter.com/jornalismodados/status/1275061368203259904</v>
      </c>
      <c r="AA120" s="81"/>
      <c r="AB120" s="81"/>
      <c r="AC120" s="89" t="s">
        <v>1055</v>
      </c>
      <c r="AD120" s="81"/>
      <c r="AE120" s="81" t="b">
        <v>0</v>
      </c>
      <c r="AF120" s="81">
        <v>0</v>
      </c>
      <c r="AG120" s="89" t="s">
        <v>1149</v>
      </c>
      <c r="AH120" s="81" t="b">
        <v>0</v>
      </c>
      <c r="AI120" s="81" t="s">
        <v>1155</v>
      </c>
      <c r="AJ120" s="81"/>
      <c r="AK120" s="89" t="s">
        <v>1149</v>
      </c>
      <c r="AL120" s="81" t="b">
        <v>0</v>
      </c>
      <c r="AM120" s="81">
        <v>0</v>
      </c>
      <c r="AN120" s="89" t="s">
        <v>1149</v>
      </c>
      <c r="AO120" s="81" t="s">
        <v>1180</v>
      </c>
      <c r="AP120" s="81" t="b">
        <v>0</v>
      </c>
      <c r="AQ120" s="89" t="s">
        <v>1055</v>
      </c>
      <c r="AR120" s="81" t="s">
        <v>325</v>
      </c>
      <c r="AS120" s="81">
        <v>0</v>
      </c>
      <c r="AT120" s="81">
        <v>0</v>
      </c>
      <c r="AU120" s="81"/>
      <c r="AV120" s="81"/>
      <c r="AW120" s="81"/>
      <c r="AX120" s="81"/>
      <c r="AY120" s="81"/>
      <c r="AZ120" s="81"/>
      <c r="BA120" s="81"/>
      <c r="BB120" s="81"/>
      <c r="BC120">
        <v>1</v>
      </c>
      <c r="BD120" s="80" t="str">
        <f>REPLACE(INDEX(GroupVertices[Group],MATCH(Edges25[[#This Row],[Vertex 1]],GroupVertices[Vertex],0)),1,1,"")</f>
        <v>1</v>
      </c>
      <c r="BE120" s="80" t="str">
        <f>REPLACE(INDEX(GroupVertices[Group],MATCH(Edges25[[#This Row],[Vertex 2]],GroupVertices[Vertex],0)),1,1,"")</f>
        <v>1</v>
      </c>
      <c r="BF120" s="48"/>
      <c r="BG120" s="49"/>
      <c r="BH120" s="48"/>
      <c r="BI120" s="49"/>
      <c r="BJ120" s="48"/>
      <c r="BK120" s="49"/>
      <c r="BL120" s="48"/>
      <c r="BM120" s="49"/>
      <c r="BN120" s="48"/>
    </row>
    <row r="121" spans="1:66" ht="15">
      <c r="A121" s="66" t="s">
        <v>473</v>
      </c>
      <c r="B121" s="66" t="s">
        <v>546</v>
      </c>
      <c r="C121" s="67"/>
      <c r="D121" s="68"/>
      <c r="E121" s="69"/>
      <c r="F121" s="70"/>
      <c r="G121" s="67"/>
      <c r="H121" s="71"/>
      <c r="I121" s="72"/>
      <c r="J121" s="72"/>
      <c r="K121" s="34" t="s">
        <v>65</v>
      </c>
      <c r="L121" s="79">
        <v>231</v>
      </c>
      <c r="M121" s="79"/>
      <c r="N121" s="74"/>
      <c r="O121" s="81" t="s">
        <v>587</v>
      </c>
      <c r="P121" s="83">
        <v>44004.57063657408</v>
      </c>
      <c r="Q121" s="81" t="s">
        <v>627</v>
      </c>
      <c r="R121" s="84" t="str">
        <f>HYPERLINK("https://twitter.com/i/web/status/1275050043129692160")</f>
        <v>https://twitter.com/i/web/status/1275050043129692160</v>
      </c>
      <c r="S121" s="81" t="s">
        <v>676</v>
      </c>
      <c r="T121" s="81" t="s">
        <v>707</v>
      </c>
      <c r="U121" s="81"/>
      <c r="V121" s="84" t="str">
        <f>HYPERLINK("http://pbs.twimg.com/profile_images/953436802110623744/NK6Q5dVg_normal.jpg")</f>
        <v>http://pbs.twimg.com/profile_images/953436802110623744/NK6Q5dVg_normal.jpg</v>
      </c>
      <c r="W121" s="83">
        <v>44004.57063657408</v>
      </c>
      <c r="X121" s="87">
        <v>44004</v>
      </c>
      <c r="Y121" s="89" t="s">
        <v>847</v>
      </c>
      <c r="Z121" s="84" t="str">
        <f>HYPERLINK("https://twitter.com/jornalismodados/status/1275061407709573122")</f>
        <v>https://twitter.com/jornalismodados/status/1275061407709573122</v>
      </c>
      <c r="AA121" s="81"/>
      <c r="AB121" s="81"/>
      <c r="AC121" s="89" t="s">
        <v>1056</v>
      </c>
      <c r="AD121" s="81"/>
      <c r="AE121" s="81" t="b">
        <v>0</v>
      </c>
      <c r="AF121" s="81">
        <v>0</v>
      </c>
      <c r="AG121" s="89" t="s">
        <v>1149</v>
      </c>
      <c r="AH121" s="81" t="b">
        <v>0</v>
      </c>
      <c r="AI121" s="81" t="s">
        <v>1155</v>
      </c>
      <c r="AJ121" s="81"/>
      <c r="AK121" s="89" t="s">
        <v>1149</v>
      </c>
      <c r="AL121" s="81" t="b">
        <v>0</v>
      </c>
      <c r="AM121" s="81">
        <v>0</v>
      </c>
      <c r="AN121" s="89" t="s">
        <v>1149</v>
      </c>
      <c r="AO121" s="81" t="s">
        <v>1180</v>
      </c>
      <c r="AP121" s="81" t="b">
        <v>0</v>
      </c>
      <c r="AQ121" s="89" t="s">
        <v>1056</v>
      </c>
      <c r="AR121" s="81" t="s">
        <v>325</v>
      </c>
      <c r="AS121" s="81">
        <v>0</v>
      </c>
      <c r="AT121" s="81">
        <v>0</v>
      </c>
      <c r="AU121" s="81"/>
      <c r="AV121" s="81"/>
      <c r="AW121" s="81"/>
      <c r="AX121" s="81"/>
      <c r="AY121" s="81"/>
      <c r="AZ121" s="81"/>
      <c r="BA121" s="81"/>
      <c r="BB121" s="81"/>
      <c r="BC121">
        <v>1</v>
      </c>
      <c r="BD121" s="80" t="str">
        <f>REPLACE(INDEX(GroupVertices[Group],MATCH(Edges25[[#This Row],[Vertex 1]],GroupVertices[Vertex],0)),1,1,"")</f>
        <v>1</v>
      </c>
      <c r="BE121" s="80" t="str">
        <f>REPLACE(INDEX(GroupVertices[Group],MATCH(Edges25[[#This Row],[Vertex 2]],GroupVertices[Vertex],0)),1,1,"")</f>
        <v>1</v>
      </c>
      <c r="BF121" s="48"/>
      <c r="BG121" s="49"/>
      <c r="BH121" s="48"/>
      <c r="BI121" s="49"/>
      <c r="BJ121" s="48"/>
      <c r="BK121" s="49"/>
      <c r="BL121" s="48"/>
      <c r="BM121" s="49"/>
      <c r="BN121" s="48"/>
    </row>
    <row r="122" spans="1:66" ht="15">
      <c r="A122" s="66" t="s">
        <v>473</v>
      </c>
      <c r="B122" s="66" t="s">
        <v>548</v>
      </c>
      <c r="C122" s="67"/>
      <c r="D122" s="68"/>
      <c r="E122" s="69"/>
      <c r="F122" s="70"/>
      <c r="G122" s="67"/>
      <c r="H122" s="71"/>
      <c r="I122" s="72"/>
      <c r="J122" s="72"/>
      <c r="K122" s="34" t="s">
        <v>65</v>
      </c>
      <c r="L122" s="79">
        <v>233</v>
      </c>
      <c r="M122" s="79"/>
      <c r="N122" s="74"/>
      <c r="O122" s="81" t="s">
        <v>587</v>
      </c>
      <c r="P122" s="83">
        <v>44004.6121875</v>
      </c>
      <c r="Q122" s="81" t="s">
        <v>628</v>
      </c>
      <c r="R122" s="84" t="str">
        <f>HYPERLINK("https://twitter.com/i/web/status/1275067751967502336")</f>
        <v>https://twitter.com/i/web/status/1275067751967502336</v>
      </c>
      <c r="S122" s="81" t="s">
        <v>676</v>
      </c>
      <c r="T122" s="81" t="s">
        <v>707</v>
      </c>
      <c r="U122" s="81"/>
      <c r="V122" s="84" t="str">
        <f>HYPERLINK("http://pbs.twimg.com/profile_images/953436802110623744/NK6Q5dVg_normal.jpg")</f>
        <v>http://pbs.twimg.com/profile_images/953436802110623744/NK6Q5dVg_normal.jpg</v>
      </c>
      <c r="W122" s="83">
        <v>44004.6121875</v>
      </c>
      <c r="X122" s="87">
        <v>44004</v>
      </c>
      <c r="Y122" s="89" t="s">
        <v>848</v>
      </c>
      <c r="Z122" s="84" t="str">
        <f>HYPERLINK("https://twitter.com/jornalismodados/status/1275076463805386753")</f>
        <v>https://twitter.com/jornalismodados/status/1275076463805386753</v>
      </c>
      <c r="AA122" s="81"/>
      <c r="AB122" s="81"/>
      <c r="AC122" s="89" t="s">
        <v>1057</v>
      </c>
      <c r="AD122" s="81"/>
      <c r="AE122" s="81" t="b">
        <v>0</v>
      </c>
      <c r="AF122" s="81">
        <v>0</v>
      </c>
      <c r="AG122" s="89" t="s">
        <v>1149</v>
      </c>
      <c r="AH122" s="81" t="b">
        <v>0</v>
      </c>
      <c r="AI122" s="81" t="s">
        <v>1155</v>
      </c>
      <c r="AJ122" s="81"/>
      <c r="AK122" s="89" t="s">
        <v>1149</v>
      </c>
      <c r="AL122" s="81" t="b">
        <v>0</v>
      </c>
      <c r="AM122" s="81">
        <v>0</v>
      </c>
      <c r="AN122" s="89" t="s">
        <v>1149</v>
      </c>
      <c r="AO122" s="81" t="s">
        <v>1180</v>
      </c>
      <c r="AP122" s="81" t="b">
        <v>0</v>
      </c>
      <c r="AQ122" s="89" t="s">
        <v>1057</v>
      </c>
      <c r="AR122" s="81" t="s">
        <v>325</v>
      </c>
      <c r="AS122" s="81">
        <v>0</v>
      </c>
      <c r="AT122" s="81">
        <v>0</v>
      </c>
      <c r="AU122" s="81"/>
      <c r="AV122" s="81"/>
      <c r="AW122" s="81"/>
      <c r="AX122" s="81"/>
      <c r="AY122" s="81"/>
      <c r="AZ122" s="81"/>
      <c r="BA122" s="81"/>
      <c r="BB122" s="81"/>
      <c r="BC122">
        <v>2</v>
      </c>
      <c r="BD122" s="80" t="str">
        <f>REPLACE(INDEX(GroupVertices[Group],MATCH(Edges25[[#This Row],[Vertex 1]],GroupVertices[Vertex],0)),1,1,"")</f>
        <v>1</v>
      </c>
      <c r="BE122" s="80" t="str">
        <f>REPLACE(INDEX(GroupVertices[Group],MATCH(Edges25[[#This Row],[Vertex 2]],GroupVertices[Vertex],0)),1,1,"")</f>
        <v>1</v>
      </c>
      <c r="BF122" s="48"/>
      <c r="BG122" s="49"/>
      <c r="BH122" s="48"/>
      <c r="BI122" s="49"/>
      <c r="BJ122" s="48"/>
      <c r="BK122" s="49"/>
      <c r="BL122" s="48"/>
      <c r="BM122" s="49"/>
      <c r="BN122" s="48"/>
    </row>
    <row r="123" spans="1:66" ht="15">
      <c r="A123" s="66" t="s">
        <v>473</v>
      </c>
      <c r="B123" s="66" t="s">
        <v>548</v>
      </c>
      <c r="C123" s="67"/>
      <c r="D123" s="68"/>
      <c r="E123" s="69"/>
      <c r="F123" s="70"/>
      <c r="G123" s="67"/>
      <c r="H123" s="71"/>
      <c r="I123" s="72"/>
      <c r="J123" s="72"/>
      <c r="K123" s="34" t="s">
        <v>65</v>
      </c>
      <c r="L123" s="79">
        <v>234</v>
      </c>
      <c r="M123" s="79"/>
      <c r="N123" s="74"/>
      <c r="O123" s="81" t="s">
        <v>587</v>
      </c>
      <c r="P123" s="83">
        <v>44004.65385416667</v>
      </c>
      <c r="Q123" s="81" t="s">
        <v>629</v>
      </c>
      <c r="R123" s="81"/>
      <c r="S123" s="81"/>
      <c r="T123" s="81" t="s">
        <v>707</v>
      </c>
      <c r="U123" s="81"/>
      <c r="V123" s="84" t="str">
        <f>HYPERLINK("http://pbs.twimg.com/profile_images/953436802110623744/NK6Q5dVg_normal.jpg")</f>
        <v>http://pbs.twimg.com/profile_images/953436802110623744/NK6Q5dVg_normal.jpg</v>
      </c>
      <c r="W123" s="83">
        <v>44004.65385416667</v>
      </c>
      <c r="X123" s="87">
        <v>44004</v>
      </c>
      <c r="Y123" s="89" t="s">
        <v>849</v>
      </c>
      <c r="Z123" s="84" t="str">
        <f>HYPERLINK("https://twitter.com/jornalismodados/status/1275091562947633153")</f>
        <v>https://twitter.com/jornalismodados/status/1275091562947633153</v>
      </c>
      <c r="AA123" s="81"/>
      <c r="AB123" s="81"/>
      <c r="AC123" s="89" t="s">
        <v>1058</v>
      </c>
      <c r="AD123" s="81"/>
      <c r="AE123" s="81" t="b">
        <v>0</v>
      </c>
      <c r="AF123" s="81">
        <v>0</v>
      </c>
      <c r="AG123" s="89" t="s">
        <v>1149</v>
      </c>
      <c r="AH123" s="81" t="b">
        <v>0</v>
      </c>
      <c r="AI123" s="81" t="s">
        <v>1155</v>
      </c>
      <c r="AJ123" s="81"/>
      <c r="AK123" s="89" t="s">
        <v>1149</v>
      </c>
      <c r="AL123" s="81" t="b">
        <v>0</v>
      </c>
      <c r="AM123" s="81">
        <v>0</v>
      </c>
      <c r="AN123" s="89" t="s">
        <v>1149</v>
      </c>
      <c r="AO123" s="81" t="s">
        <v>1180</v>
      </c>
      <c r="AP123" s="81" t="b">
        <v>0</v>
      </c>
      <c r="AQ123" s="89" t="s">
        <v>1058</v>
      </c>
      <c r="AR123" s="81" t="s">
        <v>325</v>
      </c>
      <c r="AS123" s="81">
        <v>0</v>
      </c>
      <c r="AT123" s="81">
        <v>0</v>
      </c>
      <c r="AU123" s="81"/>
      <c r="AV123" s="81"/>
      <c r="AW123" s="81"/>
      <c r="AX123" s="81"/>
      <c r="AY123" s="81"/>
      <c r="AZ123" s="81"/>
      <c r="BA123" s="81"/>
      <c r="BB123" s="81"/>
      <c r="BC123">
        <v>2</v>
      </c>
      <c r="BD123" s="80" t="str">
        <f>REPLACE(INDEX(GroupVertices[Group],MATCH(Edges25[[#This Row],[Vertex 1]],GroupVertices[Vertex],0)),1,1,"")</f>
        <v>1</v>
      </c>
      <c r="BE123" s="80" t="str">
        <f>REPLACE(INDEX(GroupVertices[Group],MATCH(Edges25[[#This Row],[Vertex 2]],GroupVertices[Vertex],0)),1,1,"")</f>
        <v>1</v>
      </c>
      <c r="BF123" s="48"/>
      <c r="BG123" s="49"/>
      <c r="BH123" s="48"/>
      <c r="BI123" s="49"/>
      <c r="BJ123" s="48"/>
      <c r="BK123" s="49"/>
      <c r="BL123" s="48"/>
      <c r="BM123" s="49"/>
      <c r="BN123" s="48"/>
    </row>
    <row r="124" spans="1:66" ht="15">
      <c r="A124" s="66" t="s">
        <v>473</v>
      </c>
      <c r="B124" s="66" t="s">
        <v>551</v>
      </c>
      <c r="C124" s="67"/>
      <c r="D124" s="68"/>
      <c r="E124" s="69"/>
      <c r="F124" s="70"/>
      <c r="G124" s="67"/>
      <c r="H124" s="71"/>
      <c r="I124" s="72"/>
      <c r="J124" s="72"/>
      <c r="K124" s="34" t="s">
        <v>65</v>
      </c>
      <c r="L124" s="79">
        <v>239</v>
      </c>
      <c r="M124" s="79"/>
      <c r="N124" s="74"/>
      <c r="O124" s="81" t="s">
        <v>587</v>
      </c>
      <c r="P124" s="83">
        <v>44004.65390046296</v>
      </c>
      <c r="Q124" s="81" t="s">
        <v>630</v>
      </c>
      <c r="R124" s="84" t="str">
        <f>HYPERLINK("https://twitter.com/i/web/status/1275081774133940224")</f>
        <v>https://twitter.com/i/web/status/1275081774133940224</v>
      </c>
      <c r="S124" s="81" t="s">
        <v>676</v>
      </c>
      <c r="T124" s="81" t="s">
        <v>707</v>
      </c>
      <c r="U124" s="81"/>
      <c r="V124" s="84" t="str">
        <f>HYPERLINK("http://pbs.twimg.com/profile_images/953436802110623744/NK6Q5dVg_normal.jpg")</f>
        <v>http://pbs.twimg.com/profile_images/953436802110623744/NK6Q5dVg_normal.jpg</v>
      </c>
      <c r="W124" s="83">
        <v>44004.65390046296</v>
      </c>
      <c r="X124" s="87">
        <v>44004</v>
      </c>
      <c r="Y124" s="89" t="s">
        <v>850</v>
      </c>
      <c r="Z124" s="84" t="str">
        <f>HYPERLINK("https://twitter.com/jornalismodados/status/1275091581159321600")</f>
        <v>https://twitter.com/jornalismodados/status/1275091581159321600</v>
      </c>
      <c r="AA124" s="81"/>
      <c r="AB124" s="81"/>
      <c r="AC124" s="89" t="s">
        <v>1059</v>
      </c>
      <c r="AD124" s="81"/>
      <c r="AE124" s="81" t="b">
        <v>0</v>
      </c>
      <c r="AF124" s="81">
        <v>0</v>
      </c>
      <c r="AG124" s="89" t="s">
        <v>1149</v>
      </c>
      <c r="AH124" s="81" t="b">
        <v>0</v>
      </c>
      <c r="AI124" s="81" t="s">
        <v>1155</v>
      </c>
      <c r="AJ124" s="81"/>
      <c r="AK124" s="89" t="s">
        <v>1149</v>
      </c>
      <c r="AL124" s="81" t="b">
        <v>0</v>
      </c>
      <c r="AM124" s="81">
        <v>0</v>
      </c>
      <c r="AN124" s="89" t="s">
        <v>1149</v>
      </c>
      <c r="AO124" s="81" t="s">
        <v>1180</v>
      </c>
      <c r="AP124" s="81" t="b">
        <v>0</v>
      </c>
      <c r="AQ124" s="89" t="s">
        <v>1059</v>
      </c>
      <c r="AR124" s="81" t="s">
        <v>325</v>
      </c>
      <c r="AS124" s="81">
        <v>0</v>
      </c>
      <c r="AT124" s="81">
        <v>0</v>
      </c>
      <c r="AU124" s="81"/>
      <c r="AV124" s="81"/>
      <c r="AW124" s="81"/>
      <c r="AX124" s="81"/>
      <c r="AY124" s="81"/>
      <c r="AZ124" s="81"/>
      <c r="BA124" s="81"/>
      <c r="BB124" s="81"/>
      <c r="BC124">
        <v>1</v>
      </c>
      <c r="BD124" s="80" t="str">
        <f>REPLACE(INDEX(GroupVertices[Group],MATCH(Edges25[[#This Row],[Vertex 1]],GroupVertices[Vertex],0)),1,1,"")</f>
        <v>1</v>
      </c>
      <c r="BE124" s="80" t="str">
        <f>REPLACE(INDEX(GroupVertices[Group],MATCH(Edges25[[#This Row],[Vertex 2]],GroupVertices[Vertex],0)),1,1,"")</f>
        <v>1</v>
      </c>
      <c r="BF124" s="48">
        <v>0</v>
      </c>
      <c r="BG124" s="49">
        <v>0</v>
      </c>
      <c r="BH124" s="48">
        <v>0</v>
      </c>
      <c r="BI124" s="49">
        <v>0</v>
      </c>
      <c r="BJ124" s="48">
        <v>0</v>
      </c>
      <c r="BK124" s="49">
        <v>0</v>
      </c>
      <c r="BL124" s="48">
        <v>25</v>
      </c>
      <c r="BM124" s="49">
        <v>100</v>
      </c>
      <c r="BN124" s="48">
        <v>25</v>
      </c>
    </row>
    <row r="125" spans="1:66" ht="15">
      <c r="A125" s="66" t="s">
        <v>473</v>
      </c>
      <c r="B125" s="66" t="s">
        <v>552</v>
      </c>
      <c r="C125" s="67"/>
      <c r="D125" s="68"/>
      <c r="E125" s="69"/>
      <c r="F125" s="70"/>
      <c r="G125" s="67"/>
      <c r="H125" s="71"/>
      <c r="I125" s="72"/>
      <c r="J125" s="72"/>
      <c r="K125" s="34" t="s">
        <v>65</v>
      </c>
      <c r="L125" s="79">
        <v>240</v>
      </c>
      <c r="M125" s="79"/>
      <c r="N125" s="74"/>
      <c r="O125" s="81" t="s">
        <v>587</v>
      </c>
      <c r="P125" s="83">
        <v>44004.69552083333</v>
      </c>
      <c r="Q125" s="81" t="s">
        <v>631</v>
      </c>
      <c r="R125" s="81"/>
      <c r="S125" s="81"/>
      <c r="T125" s="81" t="s">
        <v>707</v>
      </c>
      <c r="U125" s="81"/>
      <c r="V125" s="84" t="str">
        <f>HYPERLINK("http://pbs.twimg.com/profile_images/953436802110623744/NK6Q5dVg_normal.jpg")</f>
        <v>http://pbs.twimg.com/profile_images/953436802110623744/NK6Q5dVg_normal.jpg</v>
      </c>
      <c r="W125" s="83">
        <v>44004.69552083333</v>
      </c>
      <c r="X125" s="87">
        <v>44004</v>
      </c>
      <c r="Y125" s="89" t="s">
        <v>851</v>
      </c>
      <c r="Z125" s="84" t="str">
        <f>HYPERLINK("https://twitter.com/jornalismodados/status/1275106662630731776")</f>
        <v>https://twitter.com/jornalismodados/status/1275106662630731776</v>
      </c>
      <c r="AA125" s="81"/>
      <c r="AB125" s="81"/>
      <c r="AC125" s="89" t="s">
        <v>1060</v>
      </c>
      <c r="AD125" s="81"/>
      <c r="AE125" s="81" t="b">
        <v>0</v>
      </c>
      <c r="AF125" s="81">
        <v>0</v>
      </c>
      <c r="AG125" s="89" t="s">
        <v>1149</v>
      </c>
      <c r="AH125" s="81" t="b">
        <v>0</v>
      </c>
      <c r="AI125" s="81" t="s">
        <v>1155</v>
      </c>
      <c r="AJ125" s="81"/>
      <c r="AK125" s="89" t="s">
        <v>1149</v>
      </c>
      <c r="AL125" s="81" t="b">
        <v>0</v>
      </c>
      <c r="AM125" s="81">
        <v>0</v>
      </c>
      <c r="AN125" s="89" t="s">
        <v>1149</v>
      </c>
      <c r="AO125" s="81" t="s">
        <v>1180</v>
      </c>
      <c r="AP125" s="81" t="b">
        <v>0</v>
      </c>
      <c r="AQ125" s="89" t="s">
        <v>1060</v>
      </c>
      <c r="AR125" s="81" t="s">
        <v>325</v>
      </c>
      <c r="AS125" s="81">
        <v>0</v>
      </c>
      <c r="AT125" s="81">
        <v>0</v>
      </c>
      <c r="AU125" s="81"/>
      <c r="AV125" s="81"/>
      <c r="AW125" s="81"/>
      <c r="AX125" s="81"/>
      <c r="AY125" s="81"/>
      <c r="AZ125" s="81"/>
      <c r="BA125" s="81"/>
      <c r="BB125" s="81"/>
      <c r="BC125">
        <v>1</v>
      </c>
      <c r="BD125" s="80" t="str">
        <f>REPLACE(INDEX(GroupVertices[Group],MATCH(Edges25[[#This Row],[Vertex 1]],GroupVertices[Vertex],0)),1,1,"")</f>
        <v>1</v>
      </c>
      <c r="BE125" s="80" t="str">
        <f>REPLACE(INDEX(GroupVertices[Group],MATCH(Edges25[[#This Row],[Vertex 2]],GroupVertices[Vertex],0)),1,1,"")</f>
        <v>1</v>
      </c>
      <c r="BF125" s="48"/>
      <c r="BG125" s="49"/>
      <c r="BH125" s="48"/>
      <c r="BI125" s="49"/>
      <c r="BJ125" s="48"/>
      <c r="BK125" s="49"/>
      <c r="BL125" s="48"/>
      <c r="BM125" s="49"/>
      <c r="BN125" s="48"/>
    </row>
    <row r="126" spans="1:66" ht="15">
      <c r="A126" s="66" t="s">
        <v>473</v>
      </c>
      <c r="B126" s="66" t="s">
        <v>553</v>
      </c>
      <c r="C126" s="67"/>
      <c r="D126" s="68"/>
      <c r="E126" s="69"/>
      <c r="F126" s="70"/>
      <c r="G126" s="67"/>
      <c r="H126" s="71"/>
      <c r="I126" s="72"/>
      <c r="J126" s="72"/>
      <c r="K126" s="34" t="s">
        <v>65</v>
      </c>
      <c r="L126" s="79">
        <v>241</v>
      </c>
      <c r="M126" s="79"/>
      <c r="N126" s="74"/>
      <c r="O126" s="81" t="s">
        <v>587</v>
      </c>
      <c r="P126" s="83">
        <v>44004.69556712963</v>
      </c>
      <c r="Q126" s="81" t="s">
        <v>632</v>
      </c>
      <c r="R126" s="81"/>
      <c r="S126" s="81"/>
      <c r="T126" s="81" t="s">
        <v>707</v>
      </c>
      <c r="U126" s="81"/>
      <c r="V126" s="84" t="str">
        <f>HYPERLINK("http://pbs.twimg.com/profile_images/953436802110623744/NK6Q5dVg_normal.jpg")</f>
        <v>http://pbs.twimg.com/profile_images/953436802110623744/NK6Q5dVg_normal.jpg</v>
      </c>
      <c r="W126" s="83">
        <v>44004.69556712963</v>
      </c>
      <c r="X126" s="87">
        <v>44004</v>
      </c>
      <c r="Y126" s="89" t="s">
        <v>852</v>
      </c>
      <c r="Z126" s="84" t="str">
        <f>HYPERLINK("https://twitter.com/jornalismodados/status/1275106681060560896")</f>
        <v>https://twitter.com/jornalismodados/status/1275106681060560896</v>
      </c>
      <c r="AA126" s="81"/>
      <c r="AB126" s="81"/>
      <c r="AC126" s="89" t="s">
        <v>1061</v>
      </c>
      <c r="AD126" s="81"/>
      <c r="AE126" s="81" t="b">
        <v>0</v>
      </c>
      <c r="AF126" s="81">
        <v>1</v>
      </c>
      <c r="AG126" s="89" t="s">
        <v>1149</v>
      </c>
      <c r="AH126" s="81" t="b">
        <v>0</v>
      </c>
      <c r="AI126" s="81" t="s">
        <v>1155</v>
      </c>
      <c r="AJ126" s="81"/>
      <c r="AK126" s="89" t="s">
        <v>1149</v>
      </c>
      <c r="AL126" s="81" t="b">
        <v>0</v>
      </c>
      <c r="AM126" s="81">
        <v>0</v>
      </c>
      <c r="AN126" s="89" t="s">
        <v>1149</v>
      </c>
      <c r="AO126" s="81" t="s">
        <v>1180</v>
      </c>
      <c r="AP126" s="81" t="b">
        <v>0</v>
      </c>
      <c r="AQ126" s="89" t="s">
        <v>1061</v>
      </c>
      <c r="AR126" s="81" t="s">
        <v>325</v>
      </c>
      <c r="AS126" s="81">
        <v>0</v>
      </c>
      <c r="AT126" s="81">
        <v>0</v>
      </c>
      <c r="AU126" s="81"/>
      <c r="AV126" s="81"/>
      <c r="AW126" s="81"/>
      <c r="AX126" s="81"/>
      <c r="AY126" s="81"/>
      <c r="AZ126" s="81"/>
      <c r="BA126" s="81"/>
      <c r="BB126" s="81"/>
      <c r="BC126">
        <v>1</v>
      </c>
      <c r="BD126" s="80" t="str">
        <f>REPLACE(INDEX(GroupVertices[Group],MATCH(Edges25[[#This Row],[Vertex 1]],GroupVertices[Vertex],0)),1,1,"")</f>
        <v>1</v>
      </c>
      <c r="BE126" s="80" t="str">
        <f>REPLACE(INDEX(GroupVertices[Group],MATCH(Edges25[[#This Row],[Vertex 2]],GroupVertices[Vertex],0)),1,1,"")</f>
        <v>1</v>
      </c>
      <c r="BF126" s="48"/>
      <c r="BG126" s="49"/>
      <c r="BH126" s="48"/>
      <c r="BI126" s="49"/>
      <c r="BJ126" s="48"/>
      <c r="BK126" s="49"/>
      <c r="BL126" s="48"/>
      <c r="BM126" s="49"/>
      <c r="BN126" s="48"/>
    </row>
    <row r="127" spans="1:66" ht="15">
      <c r="A127" s="66" t="s">
        <v>473</v>
      </c>
      <c r="B127" s="66" t="s">
        <v>554</v>
      </c>
      <c r="C127" s="67"/>
      <c r="D127" s="68"/>
      <c r="E127" s="69"/>
      <c r="F127" s="70"/>
      <c r="G127" s="67"/>
      <c r="H127" s="71"/>
      <c r="I127" s="72"/>
      <c r="J127" s="72"/>
      <c r="K127" s="34" t="s">
        <v>65</v>
      </c>
      <c r="L127" s="79">
        <v>242</v>
      </c>
      <c r="M127" s="79"/>
      <c r="N127" s="74"/>
      <c r="O127" s="81" t="s">
        <v>587</v>
      </c>
      <c r="P127" s="83">
        <v>44004.69567129629</v>
      </c>
      <c r="Q127" s="81" t="s">
        <v>633</v>
      </c>
      <c r="R127" s="81"/>
      <c r="S127" s="81"/>
      <c r="T127" s="81" t="s">
        <v>707</v>
      </c>
      <c r="U127" s="81"/>
      <c r="V127" s="84" t="str">
        <f>HYPERLINK("http://pbs.twimg.com/profile_images/953436802110623744/NK6Q5dVg_normal.jpg")</f>
        <v>http://pbs.twimg.com/profile_images/953436802110623744/NK6Q5dVg_normal.jpg</v>
      </c>
      <c r="W127" s="83">
        <v>44004.69567129629</v>
      </c>
      <c r="X127" s="87">
        <v>44004</v>
      </c>
      <c r="Y127" s="89" t="s">
        <v>853</v>
      </c>
      <c r="Z127" s="84" t="str">
        <f>HYPERLINK("https://twitter.com/jornalismodados/status/1275106716489789441")</f>
        <v>https://twitter.com/jornalismodados/status/1275106716489789441</v>
      </c>
      <c r="AA127" s="81"/>
      <c r="AB127" s="81"/>
      <c r="AC127" s="89" t="s">
        <v>1062</v>
      </c>
      <c r="AD127" s="81"/>
      <c r="AE127" s="81" t="b">
        <v>0</v>
      </c>
      <c r="AF127" s="81">
        <v>0</v>
      </c>
      <c r="AG127" s="89" t="s">
        <v>1149</v>
      </c>
      <c r="AH127" s="81" t="b">
        <v>0</v>
      </c>
      <c r="AI127" s="81" t="s">
        <v>1155</v>
      </c>
      <c r="AJ127" s="81"/>
      <c r="AK127" s="89" t="s">
        <v>1149</v>
      </c>
      <c r="AL127" s="81" t="b">
        <v>0</v>
      </c>
      <c r="AM127" s="81">
        <v>0</v>
      </c>
      <c r="AN127" s="89" t="s">
        <v>1149</v>
      </c>
      <c r="AO127" s="81" t="s">
        <v>1180</v>
      </c>
      <c r="AP127" s="81" t="b">
        <v>0</v>
      </c>
      <c r="AQ127" s="89" t="s">
        <v>1062</v>
      </c>
      <c r="AR127" s="81" t="s">
        <v>325</v>
      </c>
      <c r="AS127" s="81">
        <v>0</v>
      </c>
      <c r="AT127" s="81">
        <v>0</v>
      </c>
      <c r="AU127" s="81"/>
      <c r="AV127" s="81"/>
      <c r="AW127" s="81"/>
      <c r="AX127" s="81"/>
      <c r="AY127" s="81"/>
      <c r="AZ127" s="81"/>
      <c r="BA127" s="81"/>
      <c r="BB127" s="81"/>
      <c r="BC127">
        <v>2</v>
      </c>
      <c r="BD127" s="80" t="str">
        <f>REPLACE(INDEX(GroupVertices[Group],MATCH(Edges25[[#This Row],[Vertex 1]],GroupVertices[Vertex],0)),1,1,"")</f>
        <v>1</v>
      </c>
      <c r="BE127" s="80" t="str">
        <f>REPLACE(INDEX(GroupVertices[Group],MATCH(Edges25[[#This Row],[Vertex 2]],GroupVertices[Vertex],0)),1,1,"")</f>
        <v>1</v>
      </c>
      <c r="BF127" s="48"/>
      <c r="BG127" s="49"/>
      <c r="BH127" s="48"/>
      <c r="BI127" s="49"/>
      <c r="BJ127" s="48"/>
      <c r="BK127" s="49"/>
      <c r="BL127" s="48"/>
      <c r="BM127" s="49"/>
      <c r="BN127" s="48"/>
    </row>
    <row r="128" spans="1:66" ht="15">
      <c r="A128" s="66" t="s">
        <v>473</v>
      </c>
      <c r="B128" s="66" t="s">
        <v>554</v>
      </c>
      <c r="C128" s="67"/>
      <c r="D128" s="68"/>
      <c r="E128" s="69"/>
      <c r="F128" s="70"/>
      <c r="G128" s="67"/>
      <c r="H128" s="71"/>
      <c r="I128" s="72"/>
      <c r="J128" s="72"/>
      <c r="K128" s="34" t="s">
        <v>65</v>
      </c>
      <c r="L128" s="79">
        <v>243</v>
      </c>
      <c r="M128" s="79"/>
      <c r="N128" s="74"/>
      <c r="O128" s="81" t="s">
        <v>587</v>
      </c>
      <c r="P128" s="83">
        <v>44004.73753472222</v>
      </c>
      <c r="Q128" s="81" t="s">
        <v>634</v>
      </c>
      <c r="R128" s="84" t="str">
        <f>HYPERLINK("https://twitter.com/i/web/status/1275106716489789441")</f>
        <v>https://twitter.com/i/web/status/1275106716489789441</v>
      </c>
      <c r="S128" s="81" t="s">
        <v>676</v>
      </c>
      <c r="T128" s="81" t="s">
        <v>718</v>
      </c>
      <c r="U128" s="81"/>
      <c r="V128" s="84" t="str">
        <f>HYPERLINK("http://pbs.twimg.com/profile_images/953436802110623744/NK6Q5dVg_normal.jpg")</f>
        <v>http://pbs.twimg.com/profile_images/953436802110623744/NK6Q5dVg_normal.jpg</v>
      </c>
      <c r="W128" s="83">
        <v>44004.73753472222</v>
      </c>
      <c r="X128" s="87">
        <v>44004</v>
      </c>
      <c r="Y128" s="89" t="s">
        <v>854</v>
      </c>
      <c r="Z128" s="84" t="str">
        <f>HYPERLINK("https://twitter.com/jornalismodados/status/1275121889099333634")</f>
        <v>https://twitter.com/jornalismodados/status/1275121889099333634</v>
      </c>
      <c r="AA128" s="81"/>
      <c r="AB128" s="81"/>
      <c r="AC128" s="89" t="s">
        <v>1063</v>
      </c>
      <c r="AD128" s="81"/>
      <c r="AE128" s="81" t="b">
        <v>0</v>
      </c>
      <c r="AF128" s="81">
        <v>0</v>
      </c>
      <c r="AG128" s="89" t="s">
        <v>1149</v>
      </c>
      <c r="AH128" s="81" t="b">
        <v>0</v>
      </c>
      <c r="AI128" s="81" t="s">
        <v>1155</v>
      </c>
      <c r="AJ128" s="81"/>
      <c r="AK128" s="89" t="s">
        <v>1149</v>
      </c>
      <c r="AL128" s="81" t="b">
        <v>0</v>
      </c>
      <c r="AM128" s="81">
        <v>0</v>
      </c>
      <c r="AN128" s="89" t="s">
        <v>1149</v>
      </c>
      <c r="AO128" s="81" t="s">
        <v>1180</v>
      </c>
      <c r="AP128" s="81" t="b">
        <v>0</v>
      </c>
      <c r="AQ128" s="89" t="s">
        <v>1063</v>
      </c>
      <c r="AR128" s="81" t="s">
        <v>325</v>
      </c>
      <c r="AS128" s="81">
        <v>0</v>
      </c>
      <c r="AT128" s="81">
        <v>0</v>
      </c>
      <c r="AU128" s="81"/>
      <c r="AV128" s="81"/>
      <c r="AW128" s="81"/>
      <c r="AX128" s="81"/>
      <c r="AY128" s="81"/>
      <c r="AZ128" s="81"/>
      <c r="BA128" s="81"/>
      <c r="BB128" s="81"/>
      <c r="BC128">
        <v>2</v>
      </c>
      <c r="BD128" s="80" t="str">
        <f>REPLACE(INDEX(GroupVertices[Group],MATCH(Edges25[[#This Row],[Vertex 1]],GroupVertices[Vertex],0)),1,1,"")</f>
        <v>1</v>
      </c>
      <c r="BE128" s="80" t="str">
        <f>REPLACE(INDEX(GroupVertices[Group],MATCH(Edges25[[#This Row],[Vertex 2]],GroupVertices[Vertex],0)),1,1,"")</f>
        <v>1</v>
      </c>
      <c r="BF128" s="48"/>
      <c r="BG128" s="49"/>
      <c r="BH128" s="48"/>
      <c r="BI128" s="49"/>
      <c r="BJ128" s="48"/>
      <c r="BK128" s="49"/>
      <c r="BL128" s="48"/>
      <c r="BM128" s="49"/>
      <c r="BN128" s="48"/>
    </row>
    <row r="129" spans="1:66" ht="15">
      <c r="A129" s="66" t="s">
        <v>473</v>
      </c>
      <c r="B129" s="66" t="s">
        <v>555</v>
      </c>
      <c r="C129" s="67"/>
      <c r="D129" s="68"/>
      <c r="E129" s="69"/>
      <c r="F129" s="70"/>
      <c r="G129" s="67"/>
      <c r="H129" s="71"/>
      <c r="I129" s="72"/>
      <c r="J129" s="72"/>
      <c r="K129" s="34" t="s">
        <v>65</v>
      </c>
      <c r="L129" s="79">
        <v>244</v>
      </c>
      <c r="M129" s="79"/>
      <c r="N129" s="74"/>
      <c r="O129" s="81" t="s">
        <v>587</v>
      </c>
      <c r="P129" s="83">
        <v>44004.737337962964</v>
      </c>
      <c r="Q129" s="81" t="s">
        <v>635</v>
      </c>
      <c r="R129" s="81"/>
      <c r="S129" s="81"/>
      <c r="T129" s="81" t="s">
        <v>707</v>
      </c>
      <c r="U129" s="81"/>
      <c r="V129" s="84" t="str">
        <f>HYPERLINK("http://pbs.twimg.com/profile_images/953436802110623744/NK6Q5dVg_normal.jpg")</f>
        <v>http://pbs.twimg.com/profile_images/953436802110623744/NK6Q5dVg_normal.jpg</v>
      </c>
      <c r="W129" s="83">
        <v>44004.737337962964</v>
      </c>
      <c r="X129" s="87">
        <v>44004</v>
      </c>
      <c r="Y129" s="89" t="s">
        <v>855</v>
      </c>
      <c r="Z129" s="84" t="str">
        <f>HYPERLINK("https://twitter.com/jornalismodados/status/1275121818836389888")</f>
        <v>https://twitter.com/jornalismodados/status/1275121818836389888</v>
      </c>
      <c r="AA129" s="81"/>
      <c r="AB129" s="81"/>
      <c r="AC129" s="89" t="s">
        <v>1064</v>
      </c>
      <c r="AD129" s="81"/>
      <c r="AE129" s="81" t="b">
        <v>0</v>
      </c>
      <c r="AF129" s="81">
        <v>0</v>
      </c>
      <c r="AG129" s="89" t="s">
        <v>1149</v>
      </c>
      <c r="AH129" s="81" t="b">
        <v>0</v>
      </c>
      <c r="AI129" s="81" t="s">
        <v>1155</v>
      </c>
      <c r="AJ129" s="81"/>
      <c r="AK129" s="89" t="s">
        <v>1149</v>
      </c>
      <c r="AL129" s="81" t="b">
        <v>0</v>
      </c>
      <c r="AM129" s="81">
        <v>0</v>
      </c>
      <c r="AN129" s="89" t="s">
        <v>1149</v>
      </c>
      <c r="AO129" s="81" t="s">
        <v>1180</v>
      </c>
      <c r="AP129" s="81" t="b">
        <v>0</v>
      </c>
      <c r="AQ129" s="89" t="s">
        <v>1064</v>
      </c>
      <c r="AR129" s="81" t="s">
        <v>325</v>
      </c>
      <c r="AS129" s="81">
        <v>0</v>
      </c>
      <c r="AT129" s="81">
        <v>0</v>
      </c>
      <c r="AU129" s="81"/>
      <c r="AV129" s="81"/>
      <c r="AW129" s="81"/>
      <c r="AX129" s="81"/>
      <c r="AY129" s="81"/>
      <c r="AZ129" s="81"/>
      <c r="BA129" s="81"/>
      <c r="BB129" s="81"/>
      <c r="BC129">
        <v>2</v>
      </c>
      <c r="BD129" s="80" t="str">
        <f>REPLACE(INDEX(GroupVertices[Group],MATCH(Edges25[[#This Row],[Vertex 1]],GroupVertices[Vertex],0)),1,1,"")</f>
        <v>1</v>
      </c>
      <c r="BE129" s="80" t="str">
        <f>REPLACE(INDEX(GroupVertices[Group],MATCH(Edges25[[#This Row],[Vertex 2]],GroupVertices[Vertex],0)),1,1,"")</f>
        <v>1</v>
      </c>
      <c r="BF129" s="48"/>
      <c r="BG129" s="49"/>
      <c r="BH129" s="48"/>
      <c r="BI129" s="49"/>
      <c r="BJ129" s="48"/>
      <c r="BK129" s="49"/>
      <c r="BL129" s="48"/>
      <c r="BM129" s="49"/>
      <c r="BN129" s="48"/>
    </row>
    <row r="130" spans="1:66" ht="15">
      <c r="A130" s="66" t="s">
        <v>473</v>
      </c>
      <c r="B130" s="66" t="s">
        <v>555</v>
      </c>
      <c r="C130" s="67"/>
      <c r="D130" s="68"/>
      <c r="E130" s="69"/>
      <c r="F130" s="70"/>
      <c r="G130" s="67"/>
      <c r="H130" s="71"/>
      <c r="I130" s="72"/>
      <c r="J130" s="72"/>
      <c r="K130" s="34" t="s">
        <v>65</v>
      </c>
      <c r="L130" s="79">
        <v>245</v>
      </c>
      <c r="M130" s="79"/>
      <c r="N130" s="74"/>
      <c r="O130" s="81" t="s">
        <v>587</v>
      </c>
      <c r="P130" s="83">
        <v>44004.77885416667</v>
      </c>
      <c r="Q130" s="81" t="s">
        <v>636</v>
      </c>
      <c r="R130" s="84" t="str">
        <f>HYPERLINK("https://twitter.com/i/web/status/1275121818836389888")</f>
        <v>https://twitter.com/i/web/status/1275121818836389888</v>
      </c>
      <c r="S130" s="81" t="s">
        <v>676</v>
      </c>
      <c r="T130" s="81" t="s">
        <v>718</v>
      </c>
      <c r="U130" s="81"/>
      <c r="V130" s="84" t="str">
        <f>HYPERLINK("http://pbs.twimg.com/profile_images/953436802110623744/NK6Q5dVg_normal.jpg")</f>
        <v>http://pbs.twimg.com/profile_images/953436802110623744/NK6Q5dVg_normal.jpg</v>
      </c>
      <c r="W130" s="83">
        <v>44004.77885416667</v>
      </c>
      <c r="X130" s="87">
        <v>44004</v>
      </c>
      <c r="Y130" s="89" t="s">
        <v>856</v>
      </c>
      <c r="Z130" s="84" t="str">
        <f>HYPERLINK("https://twitter.com/jornalismodados/status/1275136861065949184")</f>
        <v>https://twitter.com/jornalismodados/status/1275136861065949184</v>
      </c>
      <c r="AA130" s="81"/>
      <c r="AB130" s="81"/>
      <c r="AC130" s="89" t="s">
        <v>1065</v>
      </c>
      <c r="AD130" s="81"/>
      <c r="AE130" s="81" t="b">
        <v>0</v>
      </c>
      <c r="AF130" s="81">
        <v>0</v>
      </c>
      <c r="AG130" s="89" t="s">
        <v>1149</v>
      </c>
      <c r="AH130" s="81" t="b">
        <v>0</v>
      </c>
      <c r="AI130" s="81" t="s">
        <v>1155</v>
      </c>
      <c r="AJ130" s="81"/>
      <c r="AK130" s="89" t="s">
        <v>1149</v>
      </c>
      <c r="AL130" s="81" t="b">
        <v>0</v>
      </c>
      <c r="AM130" s="81">
        <v>0</v>
      </c>
      <c r="AN130" s="89" t="s">
        <v>1149</v>
      </c>
      <c r="AO130" s="81" t="s">
        <v>1180</v>
      </c>
      <c r="AP130" s="81" t="b">
        <v>0</v>
      </c>
      <c r="AQ130" s="89" t="s">
        <v>1065</v>
      </c>
      <c r="AR130" s="81" t="s">
        <v>325</v>
      </c>
      <c r="AS130" s="81">
        <v>0</v>
      </c>
      <c r="AT130" s="81">
        <v>0</v>
      </c>
      <c r="AU130" s="81"/>
      <c r="AV130" s="81"/>
      <c r="AW130" s="81"/>
      <c r="AX130" s="81"/>
      <c r="AY130" s="81"/>
      <c r="AZ130" s="81"/>
      <c r="BA130" s="81"/>
      <c r="BB130" s="81"/>
      <c r="BC130">
        <v>2</v>
      </c>
      <c r="BD130" s="80" t="str">
        <f>REPLACE(INDEX(GroupVertices[Group],MATCH(Edges25[[#This Row],[Vertex 1]],GroupVertices[Vertex],0)),1,1,"")</f>
        <v>1</v>
      </c>
      <c r="BE130" s="80" t="str">
        <f>REPLACE(INDEX(GroupVertices[Group],MATCH(Edges25[[#This Row],[Vertex 2]],GroupVertices[Vertex],0)),1,1,"")</f>
        <v>1</v>
      </c>
      <c r="BF130" s="48"/>
      <c r="BG130" s="49"/>
      <c r="BH130" s="48"/>
      <c r="BI130" s="49"/>
      <c r="BJ130" s="48"/>
      <c r="BK130" s="49"/>
      <c r="BL130" s="48"/>
      <c r="BM130" s="49"/>
      <c r="BN130" s="48"/>
    </row>
    <row r="131" spans="1:66" ht="15">
      <c r="A131" s="66" t="s">
        <v>473</v>
      </c>
      <c r="B131" s="66" t="s">
        <v>556</v>
      </c>
      <c r="C131" s="67"/>
      <c r="D131" s="68"/>
      <c r="E131" s="69"/>
      <c r="F131" s="70"/>
      <c r="G131" s="67"/>
      <c r="H131" s="71"/>
      <c r="I131" s="72"/>
      <c r="J131" s="72"/>
      <c r="K131" s="34" t="s">
        <v>65</v>
      </c>
      <c r="L131" s="79">
        <v>246</v>
      </c>
      <c r="M131" s="79"/>
      <c r="N131" s="74"/>
      <c r="O131" s="81" t="s">
        <v>587</v>
      </c>
      <c r="P131" s="83">
        <v>44004.737280092595</v>
      </c>
      <c r="Q131" s="81" t="s">
        <v>637</v>
      </c>
      <c r="R131" s="81"/>
      <c r="S131" s="81"/>
      <c r="T131" s="81" t="s">
        <v>707</v>
      </c>
      <c r="U131" s="81"/>
      <c r="V131" s="84" t="str">
        <f>HYPERLINK("http://pbs.twimg.com/profile_images/953436802110623744/NK6Q5dVg_normal.jpg")</f>
        <v>http://pbs.twimg.com/profile_images/953436802110623744/NK6Q5dVg_normal.jpg</v>
      </c>
      <c r="W131" s="83">
        <v>44004.737280092595</v>
      </c>
      <c r="X131" s="87">
        <v>44004</v>
      </c>
      <c r="Y131" s="89" t="s">
        <v>857</v>
      </c>
      <c r="Z131" s="84" t="str">
        <f>HYPERLINK("https://twitter.com/jornalismodados/status/1275121796350709761")</f>
        <v>https://twitter.com/jornalismodados/status/1275121796350709761</v>
      </c>
      <c r="AA131" s="81"/>
      <c r="AB131" s="81"/>
      <c r="AC131" s="89" t="s">
        <v>1066</v>
      </c>
      <c r="AD131" s="81"/>
      <c r="AE131" s="81" t="b">
        <v>0</v>
      </c>
      <c r="AF131" s="81">
        <v>0</v>
      </c>
      <c r="AG131" s="89" t="s">
        <v>1149</v>
      </c>
      <c r="AH131" s="81" t="b">
        <v>0</v>
      </c>
      <c r="AI131" s="81" t="s">
        <v>1155</v>
      </c>
      <c r="AJ131" s="81"/>
      <c r="AK131" s="89" t="s">
        <v>1149</v>
      </c>
      <c r="AL131" s="81" t="b">
        <v>0</v>
      </c>
      <c r="AM131" s="81">
        <v>0</v>
      </c>
      <c r="AN131" s="89" t="s">
        <v>1149</v>
      </c>
      <c r="AO131" s="81" t="s">
        <v>1180</v>
      </c>
      <c r="AP131" s="81" t="b">
        <v>0</v>
      </c>
      <c r="AQ131" s="89" t="s">
        <v>1066</v>
      </c>
      <c r="AR131" s="81" t="s">
        <v>325</v>
      </c>
      <c r="AS131" s="81">
        <v>0</v>
      </c>
      <c r="AT131" s="81">
        <v>0</v>
      </c>
      <c r="AU131" s="81"/>
      <c r="AV131" s="81"/>
      <c r="AW131" s="81"/>
      <c r="AX131" s="81"/>
      <c r="AY131" s="81"/>
      <c r="AZ131" s="81"/>
      <c r="BA131" s="81"/>
      <c r="BB131" s="81"/>
      <c r="BC131">
        <v>2</v>
      </c>
      <c r="BD131" s="80" t="str">
        <f>REPLACE(INDEX(GroupVertices[Group],MATCH(Edges25[[#This Row],[Vertex 1]],GroupVertices[Vertex],0)),1,1,"")</f>
        <v>1</v>
      </c>
      <c r="BE131" s="80" t="str">
        <f>REPLACE(INDEX(GroupVertices[Group],MATCH(Edges25[[#This Row],[Vertex 2]],GroupVertices[Vertex],0)),1,1,"")</f>
        <v>1</v>
      </c>
      <c r="BF131" s="48"/>
      <c r="BG131" s="49"/>
      <c r="BH131" s="48"/>
      <c r="BI131" s="49"/>
      <c r="BJ131" s="48"/>
      <c r="BK131" s="49"/>
      <c r="BL131" s="48"/>
      <c r="BM131" s="49"/>
      <c r="BN131" s="48"/>
    </row>
    <row r="132" spans="1:66" ht="15">
      <c r="A132" s="66" t="s">
        <v>473</v>
      </c>
      <c r="B132" s="66" t="s">
        <v>556</v>
      </c>
      <c r="C132" s="67"/>
      <c r="D132" s="68"/>
      <c r="E132" s="69"/>
      <c r="F132" s="70"/>
      <c r="G132" s="67"/>
      <c r="H132" s="71"/>
      <c r="I132" s="72"/>
      <c r="J132" s="72"/>
      <c r="K132" s="34" t="s">
        <v>65</v>
      </c>
      <c r="L132" s="79">
        <v>247</v>
      </c>
      <c r="M132" s="79"/>
      <c r="N132" s="74"/>
      <c r="O132" s="81" t="s">
        <v>587</v>
      </c>
      <c r="P132" s="83">
        <v>44004.77893518518</v>
      </c>
      <c r="Q132" s="81" t="s">
        <v>638</v>
      </c>
      <c r="R132" s="84" t="str">
        <f>HYPERLINK("https://twitter.com/i/web/status/1275121796350709761")</f>
        <v>https://twitter.com/i/web/status/1275121796350709761</v>
      </c>
      <c r="S132" s="81" t="s">
        <v>676</v>
      </c>
      <c r="T132" s="81" t="s">
        <v>718</v>
      </c>
      <c r="U132" s="81"/>
      <c r="V132" s="84" t="str">
        <f>HYPERLINK("http://pbs.twimg.com/profile_images/953436802110623744/NK6Q5dVg_normal.jpg")</f>
        <v>http://pbs.twimg.com/profile_images/953436802110623744/NK6Q5dVg_normal.jpg</v>
      </c>
      <c r="W132" s="83">
        <v>44004.77893518518</v>
      </c>
      <c r="X132" s="87">
        <v>44004</v>
      </c>
      <c r="Y132" s="89" t="s">
        <v>858</v>
      </c>
      <c r="Z132" s="84" t="str">
        <f>HYPERLINK("https://twitter.com/jornalismodados/status/1275136891856306176")</f>
        <v>https://twitter.com/jornalismodados/status/1275136891856306176</v>
      </c>
      <c r="AA132" s="81"/>
      <c r="AB132" s="81"/>
      <c r="AC132" s="89" t="s">
        <v>1067</v>
      </c>
      <c r="AD132" s="81"/>
      <c r="AE132" s="81" t="b">
        <v>0</v>
      </c>
      <c r="AF132" s="81">
        <v>0</v>
      </c>
      <c r="AG132" s="89" t="s">
        <v>1149</v>
      </c>
      <c r="AH132" s="81" t="b">
        <v>0</v>
      </c>
      <c r="AI132" s="81" t="s">
        <v>1155</v>
      </c>
      <c r="AJ132" s="81"/>
      <c r="AK132" s="89" t="s">
        <v>1149</v>
      </c>
      <c r="AL132" s="81" t="b">
        <v>0</v>
      </c>
      <c r="AM132" s="81">
        <v>0</v>
      </c>
      <c r="AN132" s="89" t="s">
        <v>1149</v>
      </c>
      <c r="AO132" s="81" t="s">
        <v>1180</v>
      </c>
      <c r="AP132" s="81" t="b">
        <v>0</v>
      </c>
      <c r="AQ132" s="89" t="s">
        <v>1067</v>
      </c>
      <c r="AR132" s="81" t="s">
        <v>325</v>
      </c>
      <c r="AS132" s="81">
        <v>0</v>
      </c>
      <c r="AT132" s="81">
        <v>0</v>
      </c>
      <c r="AU132" s="81"/>
      <c r="AV132" s="81"/>
      <c r="AW132" s="81"/>
      <c r="AX132" s="81"/>
      <c r="AY132" s="81"/>
      <c r="AZ132" s="81"/>
      <c r="BA132" s="81"/>
      <c r="BB132" s="81"/>
      <c r="BC132">
        <v>2</v>
      </c>
      <c r="BD132" s="80" t="str">
        <f>REPLACE(INDEX(GroupVertices[Group],MATCH(Edges25[[#This Row],[Vertex 1]],GroupVertices[Vertex],0)),1,1,"")</f>
        <v>1</v>
      </c>
      <c r="BE132" s="80" t="str">
        <f>REPLACE(INDEX(GroupVertices[Group],MATCH(Edges25[[#This Row],[Vertex 2]],GroupVertices[Vertex],0)),1,1,"")</f>
        <v>1</v>
      </c>
      <c r="BF132" s="48"/>
      <c r="BG132" s="49"/>
      <c r="BH132" s="48"/>
      <c r="BI132" s="49"/>
      <c r="BJ132" s="48"/>
      <c r="BK132" s="49"/>
      <c r="BL132" s="48"/>
      <c r="BM132" s="49"/>
      <c r="BN132" s="48"/>
    </row>
    <row r="133" spans="1:66" ht="15">
      <c r="A133" s="66" t="s">
        <v>473</v>
      </c>
      <c r="B133" s="66" t="s">
        <v>557</v>
      </c>
      <c r="C133" s="67"/>
      <c r="D133" s="68"/>
      <c r="E133" s="69"/>
      <c r="F133" s="70"/>
      <c r="G133" s="67"/>
      <c r="H133" s="71"/>
      <c r="I133" s="72"/>
      <c r="J133" s="72"/>
      <c r="K133" s="34" t="s">
        <v>65</v>
      </c>
      <c r="L133" s="79">
        <v>248</v>
      </c>
      <c r="M133" s="79"/>
      <c r="N133" s="74"/>
      <c r="O133" s="81" t="s">
        <v>587</v>
      </c>
      <c r="P133" s="83">
        <v>44004.7371875</v>
      </c>
      <c r="Q133" s="81" t="s">
        <v>639</v>
      </c>
      <c r="R133" s="81"/>
      <c r="S133" s="81"/>
      <c r="T133" s="81" t="s">
        <v>707</v>
      </c>
      <c r="U133" s="81"/>
      <c r="V133" s="84" t="str">
        <f>HYPERLINK("http://pbs.twimg.com/profile_images/953436802110623744/NK6Q5dVg_normal.jpg")</f>
        <v>http://pbs.twimg.com/profile_images/953436802110623744/NK6Q5dVg_normal.jpg</v>
      </c>
      <c r="W133" s="83">
        <v>44004.7371875</v>
      </c>
      <c r="X133" s="87">
        <v>44004</v>
      </c>
      <c r="Y133" s="89" t="s">
        <v>859</v>
      </c>
      <c r="Z133" s="84" t="str">
        <f>HYPERLINK("https://twitter.com/jornalismodados/status/1275121761441517569")</f>
        <v>https://twitter.com/jornalismodados/status/1275121761441517569</v>
      </c>
      <c r="AA133" s="81"/>
      <c r="AB133" s="81"/>
      <c r="AC133" s="89" t="s">
        <v>1068</v>
      </c>
      <c r="AD133" s="81"/>
      <c r="AE133" s="81" t="b">
        <v>0</v>
      </c>
      <c r="AF133" s="81">
        <v>0</v>
      </c>
      <c r="AG133" s="89" t="s">
        <v>1149</v>
      </c>
      <c r="AH133" s="81" t="b">
        <v>0</v>
      </c>
      <c r="AI133" s="81" t="s">
        <v>1155</v>
      </c>
      <c r="AJ133" s="81"/>
      <c r="AK133" s="89" t="s">
        <v>1149</v>
      </c>
      <c r="AL133" s="81" t="b">
        <v>0</v>
      </c>
      <c r="AM133" s="81">
        <v>0</v>
      </c>
      <c r="AN133" s="89" t="s">
        <v>1149</v>
      </c>
      <c r="AO133" s="81" t="s">
        <v>1180</v>
      </c>
      <c r="AP133" s="81" t="b">
        <v>0</v>
      </c>
      <c r="AQ133" s="89" t="s">
        <v>1068</v>
      </c>
      <c r="AR133" s="81" t="s">
        <v>325</v>
      </c>
      <c r="AS133" s="81">
        <v>0</v>
      </c>
      <c r="AT133" s="81">
        <v>0</v>
      </c>
      <c r="AU133" s="81"/>
      <c r="AV133" s="81"/>
      <c r="AW133" s="81"/>
      <c r="AX133" s="81"/>
      <c r="AY133" s="81"/>
      <c r="AZ133" s="81"/>
      <c r="BA133" s="81"/>
      <c r="BB133" s="81"/>
      <c r="BC133">
        <v>2</v>
      </c>
      <c r="BD133" s="80" t="str">
        <f>REPLACE(INDEX(GroupVertices[Group],MATCH(Edges25[[#This Row],[Vertex 1]],GroupVertices[Vertex],0)),1,1,"")</f>
        <v>1</v>
      </c>
      <c r="BE133" s="80" t="str">
        <f>REPLACE(INDEX(GroupVertices[Group],MATCH(Edges25[[#This Row],[Vertex 2]],GroupVertices[Vertex],0)),1,1,"")</f>
        <v>1</v>
      </c>
      <c r="BF133" s="48"/>
      <c r="BG133" s="49"/>
      <c r="BH133" s="48"/>
      <c r="BI133" s="49"/>
      <c r="BJ133" s="48"/>
      <c r="BK133" s="49"/>
      <c r="BL133" s="48"/>
      <c r="BM133" s="49"/>
      <c r="BN133" s="48"/>
    </row>
    <row r="134" spans="1:66" ht="15">
      <c r="A134" s="66" t="s">
        <v>473</v>
      </c>
      <c r="B134" s="66" t="s">
        <v>557</v>
      </c>
      <c r="C134" s="67"/>
      <c r="D134" s="68"/>
      <c r="E134" s="69"/>
      <c r="F134" s="70"/>
      <c r="G134" s="67"/>
      <c r="H134" s="71"/>
      <c r="I134" s="72"/>
      <c r="J134" s="72"/>
      <c r="K134" s="34" t="s">
        <v>65</v>
      </c>
      <c r="L134" s="79">
        <v>249</v>
      </c>
      <c r="M134" s="79"/>
      <c r="N134" s="74"/>
      <c r="O134" s="81" t="s">
        <v>587</v>
      </c>
      <c r="P134" s="83">
        <v>44004.77903935185</v>
      </c>
      <c r="Q134" s="81" t="s">
        <v>640</v>
      </c>
      <c r="R134" s="84" t="str">
        <f>HYPERLINK("https://twitter.com/i/web/status/1275121761441517569")</f>
        <v>https://twitter.com/i/web/status/1275121761441517569</v>
      </c>
      <c r="S134" s="81" t="s">
        <v>676</v>
      </c>
      <c r="T134" s="81" t="s">
        <v>718</v>
      </c>
      <c r="U134" s="81"/>
      <c r="V134" s="84" t="str">
        <f>HYPERLINK("http://pbs.twimg.com/profile_images/953436802110623744/NK6Q5dVg_normal.jpg")</f>
        <v>http://pbs.twimg.com/profile_images/953436802110623744/NK6Q5dVg_normal.jpg</v>
      </c>
      <c r="W134" s="83">
        <v>44004.77903935185</v>
      </c>
      <c r="X134" s="87">
        <v>44004</v>
      </c>
      <c r="Y134" s="89" t="s">
        <v>860</v>
      </c>
      <c r="Z134" s="84" t="str">
        <f>HYPERLINK("https://twitter.com/jornalismodados/status/1275136931349790721")</f>
        <v>https://twitter.com/jornalismodados/status/1275136931349790721</v>
      </c>
      <c r="AA134" s="81"/>
      <c r="AB134" s="81"/>
      <c r="AC134" s="89" t="s">
        <v>1069</v>
      </c>
      <c r="AD134" s="81"/>
      <c r="AE134" s="81" t="b">
        <v>0</v>
      </c>
      <c r="AF134" s="81">
        <v>0</v>
      </c>
      <c r="AG134" s="89" t="s">
        <v>1149</v>
      </c>
      <c r="AH134" s="81" t="b">
        <v>0</v>
      </c>
      <c r="AI134" s="81" t="s">
        <v>1155</v>
      </c>
      <c r="AJ134" s="81"/>
      <c r="AK134" s="89" t="s">
        <v>1149</v>
      </c>
      <c r="AL134" s="81" t="b">
        <v>0</v>
      </c>
      <c r="AM134" s="81">
        <v>0</v>
      </c>
      <c r="AN134" s="89" t="s">
        <v>1149</v>
      </c>
      <c r="AO134" s="81" t="s">
        <v>1180</v>
      </c>
      <c r="AP134" s="81" t="b">
        <v>0</v>
      </c>
      <c r="AQ134" s="89" t="s">
        <v>1069</v>
      </c>
      <c r="AR134" s="81" t="s">
        <v>325</v>
      </c>
      <c r="AS134" s="81">
        <v>0</v>
      </c>
      <c r="AT134" s="81">
        <v>0</v>
      </c>
      <c r="AU134" s="81"/>
      <c r="AV134" s="81"/>
      <c r="AW134" s="81"/>
      <c r="AX134" s="81"/>
      <c r="AY134" s="81"/>
      <c r="AZ134" s="81"/>
      <c r="BA134" s="81"/>
      <c r="BB134" s="81"/>
      <c r="BC134">
        <v>2</v>
      </c>
      <c r="BD134" s="80" t="str">
        <f>REPLACE(INDEX(GroupVertices[Group],MATCH(Edges25[[#This Row],[Vertex 1]],GroupVertices[Vertex],0)),1,1,"")</f>
        <v>1</v>
      </c>
      <c r="BE134" s="80" t="str">
        <f>REPLACE(INDEX(GroupVertices[Group],MATCH(Edges25[[#This Row],[Vertex 2]],GroupVertices[Vertex],0)),1,1,"")</f>
        <v>1</v>
      </c>
      <c r="BF134" s="48"/>
      <c r="BG134" s="49"/>
      <c r="BH134" s="48"/>
      <c r="BI134" s="49"/>
      <c r="BJ134" s="48"/>
      <c r="BK134" s="49"/>
      <c r="BL134" s="48"/>
      <c r="BM134" s="49"/>
      <c r="BN134" s="48"/>
    </row>
    <row r="135" spans="1:66" ht="15">
      <c r="A135" s="66" t="s">
        <v>473</v>
      </c>
      <c r="B135" s="66" t="s">
        <v>558</v>
      </c>
      <c r="C135" s="67"/>
      <c r="D135" s="68"/>
      <c r="E135" s="69"/>
      <c r="F135" s="70"/>
      <c r="G135" s="67"/>
      <c r="H135" s="71"/>
      <c r="I135" s="72"/>
      <c r="J135" s="72"/>
      <c r="K135" s="34" t="s">
        <v>65</v>
      </c>
      <c r="L135" s="79">
        <v>250</v>
      </c>
      <c r="M135" s="79"/>
      <c r="N135" s="74"/>
      <c r="O135" s="81" t="s">
        <v>587</v>
      </c>
      <c r="P135" s="83">
        <v>44004.820625</v>
      </c>
      <c r="Q135" s="81" t="s">
        <v>641</v>
      </c>
      <c r="R135" s="84" t="str">
        <f>HYPERLINK("https://twitter.com/i/web/status/1275146401245204481")</f>
        <v>https://twitter.com/i/web/status/1275146401245204481</v>
      </c>
      <c r="S135" s="81" t="s">
        <v>676</v>
      </c>
      <c r="T135" s="81" t="s">
        <v>707</v>
      </c>
      <c r="U135" s="81"/>
      <c r="V135" s="84" t="str">
        <f>HYPERLINK("http://pbs.twimg.com/profile_images/953436802110623744/NK6Q5dVg_normal.jpg")</f>
        <v>http://pbs.twimg.com/profile_images/953436802110623744/NK6Q5dVg_normal.jpg</v>
      </c>
      <c r="W135" s="83">
        <v>44004.820625</v>
      </c>
      <c r="X135" s="87">
        <v>44004</v>
      </c>
      <c r="Y135" s="89" t="s">
        <v>861</v>
      </c>
      <c r="Z135" s="84" t="str">
        <f>HYPERLINK("https://twitter.com/jornalismodados/status/1275152000095789057")</f>
        <v>https://twitter.com/jornalismodados/status/1275152000095789057</v>
      </c>
      <c r="AA135" s="81"/>
      <c r="AB135" s="81"/>
      <c r="AC135" s="89" t="s">
        <v>1070</v>
      </c>
      <c r="AD135" s="81"/>
      <c r="AE135" s="81" t="b">
        <v>0</v>
      </c>
      <c r="AF135" s="81">
        <v>0</v>
      </c>
      <c r="AG135" s="89" t="s">
        <v>1149</v>
      </c>
      <c r="AH135" s="81" t="b">
        <v>0</v>
      </c>
      <c r="AI135" s="81" t="s">
        <v>1155</v>
      </c>
      <c r="AJ135" s="81"/>
      <c r="AK135" s="89" t="s">
        <v>1149</v>
      </c>
      <c r="AL135" s="81" t="b">
        <v>0</v>
      </c>
      <c r="AM135" s="81">
        <v>0</v>
      </c>
      <c r="AN135" s="89" t="s">
        <v>1149</v>
      </c>
      <c r="AO135" s="81" t="s">
        <v>1180</v>
      </c>
      <c r="AP135" s="81" t="b">
        <v>0</v>
      </c>
      <c r="AQ135" s="89" t="s">
        <v>1070</v>
      </c>
      <c r="AR135" s="81" t="s">
        <v>325</v>
      </c>
      <c r="AS135" s="81">
        <v>0</v>
      </c>
      <c r="AT135" s="81">
        <v>0</v>
      </c>
      <c r="AU135" s="81"/>
      <c r="AV135" s="81"/>
      <c r="AW135" s="81"/>
      <c r="AX135" s="81"/>
      <c r="AY135" s="81"/>
      <c r="AZ135" s="81"/>
      <c r="BA135" s="81"/>
      <c r="BB135" s="81"/>
      <c r="BC135">
        <v>1</v>
      </c>
      <c r="BD135" s="80" t="str">
        <f>REPLACE(INDEX(GroupVertices[Group],MATCH(Edges25[[#This Row],[Vertex 1]],GroupVertices[Vertex],0)),1,1,"")</f>
        <v>1</v>
      </c>
      <c r="BE135" s="80" t="str">
        <f>REPLACE(INDEX(GroupVertices[Group],MATCH(Edges25[[#This Row],[Vertex 2]],GroupVertices[Vertex],0)),1,1,"")</f>
        <v>1</v>
      </c>
      <c r="BF135" s="48"/>
      <c r="BG135" s="49"/>
      <c r="BH135" s="48"/>
      <c r="BI135" s="49"/>
      <c r="BJ135" s="48"/>
      <c r="BK135" s="49"/>
      <c r="BL135" s="48"/>
      <c r="BM135" s="49"/>
      <c r="BN135" s="48"/>
    </row>
    <row r="136" spans="1:66" ht="15">
      <c r="A136" s="66" t="s">
        <v>473</v>
      </c>
      <c r="B136" s="66" t="s">
        <v>560</v>
      </c>
      <c r="C136" s="67"/>
      <c r="D136" s="68"/>
      <c r="E136" s="69"/>
      <c r="F136" s="70"/>
      <c r="G136" s="67"/>
      <c r="H136" s="71"/>
      <c r="I136" s="72"/>
      <c r="J136" s="72"/>
      <c r="K136" s="34" t="s">
        <v>65</v>
      </c>
      <c r="L136" s="79">
        <v>252</v>
      </c>
      <c r="M136" s="79"/>
      <c r="N136" s="74"/>
      <c r="O136" s="81" t="s">
        <v>587</v>
      </c>
      <c r="P136" s="83">
        <v>44004.82067129629</v>
      </c>
      <c r="Q136" s="81" t="s">
        <v>642</v>
      </c>
      <c r="R136" s="84" t="str">
        <f>HYPERLINK("https://twitter.com/i/web/status/1275142638782631936")</f>
        <v>https://twitter.com/i/web/status/1275142638782631936</v>
      </c>
      <c r="S136" s="81" t="s">
        <v>676</v>
      </c>
      <c r="T136" s="81" t="s">
        <v>707</v>
      </c>
      <c r="U136" s="81"/>
      <c r="V136" s="84" t="str">
        <f>HYPERLINK("http://pbs.twimg.com/profile_images/953436802110623744/NK6Q5dVg_normal.jpg")</f>
        <v>http://pbs.twimg.com/profile_images/953436802110623744/NK6Q5dVg_normal.jpg</v>
      </c>
      <c r="W136" s="83">
        <v>44004.82067129629</v>
      </c>
      <c r="X136" s="87">
        <v>44004</v>
      </c>
      <c r="Y136" s="89" t="s">
        <v>862</v>
      </c>
      <c r="Z136" s="84" t="str">
        <f>HYPERLINK("https://twitter.com/jornalismodados/status/1275152014285176832")</f>
        <v>https://twitter.com/jornalismodados/status/1275152014285176832</v>
      </c>
      <c r="AA136" s="81"/>
      <c r="AB136" s="81"/>
      <c r="AC136" s="89" t="s">
        <v>1071</v>
      </c>
      <c r="AD136" s="81"/>
      <c r="AE136" s="81" t="b">
        <v>0</v>
      </c>
      <c r="AF136" s="81">
        <v>0</v>
      </c>
      <c r="AG136" s="89" t="s">
        <v>1149</v>
      </c>
      <c r="AH136" s="81" t="b">
        <v>0</v>
      </c>
      <c r="AI136" s="81" t="s">
        <v>1155</v>
      </c>
      <c r="AJ136" s="81"/>
      <c r="AK136" s="89" t="s">
        <v>1149</v>
      </c>
      <c r="AL136" s="81" t="b">
        <v>0</v>
      </c>
      <c r="AM136" s="81">
        <v>0</v>
      </c>
      <c r="AN136" s="89" t="s">
        <v>1149</v>
      </c>
      <c r="AO136" s="81" t="s">
        <v>1180</v>
      </c>
      <c r="AP136" s="81" t="b">
        <v>0</v>
      </c>
      <c r="AQ136" s="89" t="s">
        <v>1071</v>
      </c>
      <c r="AR136" s="81" t="s">
        <v>325</v>
      </c>
      <c r="AS136" s="81">
        <v>0</v>
      </c>
      <c r="AT136" s="81">
        <v>0</v>
      </c>
      <c r="AU136" s="81"/>
      <c r="AV136" s="81"/>
      <c r="AW136" s="81"/>
      <c r="AX136" s="81"/>
      <c r="AY136" s="81"/>
      <c r="AZ136" s="81"/>
      <c r="BA136" s="81"/>
      <c r="BB136" s="81"/>
      <c r="BC136">
        <v>1</v>
      </c>
      <c r="BD136" s="80" t="str">
        <f>REPLACE(INDEX(GroupVertices[Group],MATCH(Edges25[[#This Row],[Vertex 1]],GroupVertices[Vertex],0)),1,1,"")</f>
        <v>1</v>
      </c>
      <c r="BE136" s="80" t="str">
        <f>REPLACE(INDEX(GroupVertices[Group],MATCH(Edges25[[#This Row],[Vertex 2]],GroupVertices[Vertex],0)),1,1,"")</f>
        <v>1</v>
      </c>
      <c r="BF136" s="48">
        <v>0</v>
      </c>
      <c r="BG136" s="49">
        <v>0</v>
      </c>
      <c r="BH136" s="48">
        <v>0</v>
      </c>
      <c r="BI136" s="49">
        <v>0</v>
      </c>
      <c r="BJ136" s="48">
        <v>0</v>
      </c>
      <c r="BK136" s="49">
        <v>0</v>
      </c>
      <c r="BL136" s="48">
        <v>27</v>
      </c>
      <c r="BM136" s="49">
        <v>100</v>
      </c>
      <c r="BN136" s="48">
        <v>27</v>
      </c>
    </row>
    <row r="137" spans="1:66" ht="15">
      <c r="A137" s="66" t="s">
        <v>473</v>
      </c>
      <c r="B137" s="66" t="s">
        <v>561</v>
      </c>
      <c r="C137" s="67"/>
      <c r="D137" s="68"/>
      <c r="E137" s="69"/>
      <c r="F137" s="70"/>
      <c r="G137" s="67"/>
      <c r="H137" s="71"/>
      <c r="I137" s="72"/>
      <c r="J137" s="72"/>
      <c r="K137" s="34" t="s">
        <v>65</v>
      </c>
      <c r="L137" s="79">
        <v>253</v>
      </c>
      <c r="M137" s="79"/>
      <c r="N137" s="74"/>
      <c r="O137" s="81" t="s">
        <v>587</v>
      </c>
      <c r="P137" s="83">
        <v>44004.8621875</v>
      </c>
      <c r="Q137" s="81" t="s">
        <v>643</v>
      </c>
      <c r="R137" s="81"/>
      <c r="S137" s="81"/>
      <c r="T137" s="81" t="s">
        <v>707</v>
      </c>
      <c r="U137" s="81"/>
      <c r="V137" s="84" t="str">
        <f>HYPERLINK("http://pbs.twimg.com/profile_images/953436802110623744/NK6Q5dVg_normal.jpg")</f>
        <v>http://pbs.twimg.com/profile_images/953436802110623744/NK6Q5dVg_normal.jpg</v>
      </c>
      <c r="W137" s="83">
        <v>44004.8621875</v>
      </c>
      <c r="X137" s="87">
        <v>44004</v>
      </c>
      <c r="Y137" s="89" t="s">
        <v>863</v>
      </c>
      <c r="Z137" s="84" t="str">
        <f>HYPERLINK("https://twitter.com/jornalismodados/status/1275167060952322051")</f>
        <v>https://twitter.com/jornalismodados/status/1275167060952322051</v>
      </c>
      <c r="AA137" s="81"/>
      <c r="AB137" s="81"/>
      <c r="AC137" s="89" t="s">
        <v>1072</v>
      </c>
      <c r="AD137" s="81"/>
      <c r="AE137" s="81" t="b">
        <v>0</v>
      </c>
      <c r="AF137" s="81">
        <v>0</v>
      </c>
      <c r="AG137" s="89" t="s">
        <v>1149</v>
      </c>
      <c r="AH137" s="81" t="b">
        <v>0</v>
      </c>
      <c r="AI137" s="81" t="s">
        <v>1155</v>
      </c>
      <c r="AJ137" s="81"/>
      <c r="AK137" s="89" t="s">
        <v>1149</v>
      </c>
      <c r="AL137" s="81" t="b">
        <v>0</v>
      </c>
      <c r="AM137" s="81">
        <v>0</v>
      </c>
      <c r="AN137" s="89" t="s">
        <v>1149</v>
      </c>
      <c r="AO137" s="81" t="s">
        <v>1180</v>
      </c>
      <c r="AP137" s="81" t="b">
        <v>0</v>
      </c>
      <c r="AQ137" s="89" t="s">
        <v>1072</v>
      </c>
      <c r="AR137" s="81" t="s">
        <v>325</v>
      </c>
      <c r="AS137" s="81">
        <v>0</v>
      </c>
      <c r="AT137" s="81">
        <v>0</v>
      </c>
      <c r="AU137" s="81"/>
      <c r="AV137" s="81"/>
      <c r="AW137" s="81"/>
      <c r="AX137" s="81"/>
      <c r="AY137" s="81"/>
      <c r="AZ137" s="81"/>
      <c r="BA137" s="81"/>
      <c r="BB137" s="81"/>
      <c r="BC137">
        <v>1</v>
      </c>
      <c r="BD137" s="80" t="str">
        <f>REPLACE(INDEX(GroupVertices[Group],MATCH(Edges25[[#This Row],[Vertex 1]],GroupVertices[Vertex],0)),1,1,"")</f>
        <v>1</v>
      </c>
      <c r="BE137" s="80" t="str">
        <f>REPLACE(INDEX(GroupVertices[Group],MATCH(Edges25[[#This Row],[Vertex 2]],GroupVertices[Vertex],0)),1,1,"")</f>
        <v>1</v>
      </c>
      <c r="BF137" s="48"/>
      <c r="BG137" s="49"/>
      <c r="BH137" s="48"/>
      <c r="BI137" s="49"/>
      <c r="BJ137" s="48"/>
      <c r="BK137" s="49"/>
      <c r="BL137" s="48"/>
      <c r="BM137" s="49"/>
      <c r="BN137" s="48"/>
    </row>
    <row r="138" spans="1:66" ht="15">
      <c r="A138" s="66" t="s">
        <v>473</v>
      </c>
      <c r="B138" s="66" t="s">
        <v>562</v>
      </c>
      <c r="C138" s="67"/>
      <c r="D138" s="68"/>
      <c r="E138" s="69"/>
      <c r="F138" s="70"/>
      <c r="G138" s="67"/>
      <c r="H138" s="71"/>
      <c r="I138" s="72"/>
      <c r="J138" s="72"/>
      <c r="K138" s="34" t="s">
        <v>65</v>
      </c>
      <c r="L138" s="79">
        <v>254</v>
      </c>
      <c r="M138" s="79"/>
      <c r="N138" s="74"/>
      <c r="O138" s="81" t="s">
        <v>587</v>
      </c>
      <c r="P138" s="83">
        <v>44004.862233796295</v>
      </c>
      <c r="Q138" s="81" t="s">
        <v>644</v>
      </c>
      <c r="R138" s="81"/>
      <c r="S138" s="81"/>
      <c r="T138" s="81" t="s">
        <v>707</v>
      </c>
      <c r="U138" s="81"/>
      <c r="V138" s="84" t="str">
        <f>HYPERLINK("http://pbs.twimg.com/profile_images/953436802110623744/NK6Q5dVg_normal.jpg")</f>
        <v>http://pbs.twimg.com/profile_images/953436802110623744/NK6Q5dVg_normal.jpg</v>
      </c>
      <c r="W138" s="83">
        <v>44004.862233796295</v>
      </c>
      <c r="X138" s="87">
        <v>44004</v>
      </c>
      <c r="Y138" s="89" t="s">
        <v>864</v>
      </c>
      <c r="Z138" s="84" t="str">
        <f>HYPERLINK("https://twitter.com/jornalismodados/status/1275167079294013446")</f>
        <v>https://twitter.com/jornalismodados/status/1275167079294013446</v>
      </c>
      <c r="AA138" s="81"/>
      <c r="AB138" s="81"/>
      <c r="AC138" s="89" t="s">
        <v>1073</v>
      </c>
      <c r="AD138" s="81"/>
      <c r="AE138" s="81" t="b">
        <v>0</v>
      </c>
      <c r="AF138" s="81">
        <v>0</v>
      </c>
      <c r="AG138" s="89" t="s">
        <v>1149</v>
      </c>
      <c r="AH138" s="81" t="b">
        <v>0</v>
      </c>
      <c r="AI138" s="81" t="s">
        <v>1155</v>
      </c>
      <c r="AJ138" s="81"/>
      <c r="AK138" s="89" t="s">
        <v>1149</v>
      </c>
      <c r="AL138" s="81" t="b">
        <v>0</v>
      </c>
      <c r="AM138" s="81">
        <v>0</v>
      </c>
      <c r="AN138" s="89" t="s">
        <v>1149</v>
      </c>
      <c r="AO138" s="81" t="s">
        <v>1180</v>
      </c>
      <c r="AP138" s="81" t="b">
        <v>0</v>
      </c>
      <c r="AQ138" s="89" t="s">
        <v>1073</v>
      </c>
      <c r="AR138" s="81" t="s">
        <v>325</v>
      </c>
      <c r="AS138" s="81">
        <v>0</v>
      </c>
      <c r="AT138" s="81">
        <v>0</v>
      </c>
      <c r="AU138" s="81"/>
      <c r="AV138" s="81"/>
      <c r="AW138" s="81"/>
      <c r="AX138" s="81"/>
      <c r="AY138" s="81"/>
      <c r="AZ138" s="81"/>
      <c r="BA138" s="81"/>
      <c r="BB138" s="81"/>
      <c r="BC138">
        <v>1</v>
      </c>
      <c r="BD138" s="80" t="str">
        <f>REPLACE(INDEX(GroupVertices[Group],MATCH(Edges25[[#This Row],[Vertex 1]],GroupVertices[Vertex],0)),1,1,"")</f>
        <v>1</v>
      </c>
      <c r="BE138" s="80" t="str">
        <f>REPLACE(INDEX(GroupVertices[Group],MATCH(Edges25[[#This Row],[Vertex 2]],GroupVertices[Vertex],0)),1,1,"")</f>
        <v>1</v>
      </c>
      <c r="BF138" s="48"/>
      <c r="BG138" s="49"/>
      <c r="BH138" s="48"/>
      <c r="BI138" s="49"/>
      <c r="BJ138" s="48"/>
      <c r="BK138" s="49"/>
      <c r="BL138" s="48"/>
      <c r="BM138" s="49"/>
      <c r="BN138" s="48"/>
    </row>
    <row r="139" spans="1:66" ht="15">
      <c r="A139" s="66" t="s">
        <v>473</v>
      </c>
      <c r="B139" s="66" t="s">
        <v>563</v>
      </c>
      <c r="C139" s="67"/>
      <c r="D139" s="68"/>
      <c r="E139" s="69"/>
      <c r="F139" s="70"/>
      <c r="G139" s="67"/>
      <c r="H139" s="71"/>
      <c r="I139" s="72"/>
      <c r="J139" s="72"/>
      <c r="K139" s="34" t="s">
        <v>65</v>
      </c>
      <c r="L139" s="79">
        <v>255</v>
      </c>
      <c r="M139" s="79"/>
      <c r="N139" s="74"/>
      <c r="O139" s="81" t="s">
        <v>587</v>
      </c>
      <c r="P139" s="83">
        <v>44004.82074074074</v>
      </c>
      <c r="Q139" s="81" t="s">
        <v>645</v>
      </c>
      <c r="R139" s="81"/>
      <c r="S139" s="81"/>
      <c r="T139" s="81" t="s">
        <v>707</v>
      </c>
      <c r="U139" s="81"/>
      <c r="V139" s="84" t="str">
        <f>HYPERLINK("http://pbs.twimg.com/profile_images/953436802110623744/NK6Q5dVg_normal.jpg")</f>
        <v>http://pbs.twimg.com/profile_images/953436802110623744/NK6Q5dVg_normal.jpg</v>
      </c>
      <c r="W139" s="83">
        <v>44004.82074074074</v>
      </c>
      <c r="X139" s="87">
        <v>44004</v>
      </c>
      <c r="Y139" s="89" t="s">
        <v>865</v>
      </c>
      <c r="Z139" s="84" t="str">
        <f>HYPERLINK("https://twitter.com/jornalismodados/status/1275152041283932160")</f>
        <v>https://twitter.com/jornalismodados/status/1275152041283932160</v>
      </c>
      <c r="AA139" s="81"/>
      <c r="AB139" s="81"/>
      <c r="AC139" s="89" t="s">
        <v>1074</v>
      </c>
      <c r="AD139" s="81"/>
      <c r="AE139" s="81" t="b">
        <v>0</v>
      </c>
      <c r="AF139" s="81">
        <v>0</v>
      </c>
      <c r="AG139" s="89" t="s">
        <v>1149</v>
      </c>
      <c r="AH139" s="81" t="b">
        <v>0</v>
      </c>
      <c r="AI139" s="81" t="s">
        <v>1155</v>
      </c>
      <c r="AJ139" s="81"/>
      <c r="AK139" s="89" t="s">
        <v>1149</v>
      </c>
      <c r="AL139" s="81" t="b">
        <v>0</v>
      </c>
      <c r="AM139" s="81">
        <v>0</v>
      </c>
      <c r="AN139" s="89" t="s">
        <v>1149</v>
      </c>
      <c r="AO139" s="81" t="s">
        <v>1180</v>
      </c>
      <c r="AP139" s="81" t="b">
        <v>0</v>
      </c>
      <c r="AQ139" s="89" t="s">
        <v>1074</v>
      </c>
      <c r="AR139" s="81" t="s">
        <v>325</v>
      </c>
      <c r="AS139" s="81">
        <v>0</v>
      </c>
      <c r="AT139" s="81">
        <v>0</v>
      </c>
      <c r="AU139" s="81"/>
      <c r="AV139" s="81"/>
      <c r="AW139" s="81"/>
      <c r="AX139" s="81"/>
      <c r="AY139" s="81"/>
      <c r="AZ139" s="81"/>
      <c r="BA139" s="81"/>
      <c r="BB139" s="81"/>
      <c r="BC139">
        <v>2</v>
      </c>
      <c r="BD139" s="80" t="str">
        <f>REPLACE(INDEX(GroupVertices[Group],MATCH(Edges25[[#This Row],[Vertex 1]],GroupVertices[Vertex],0)),1,1,"")</f>
        <v>1</v>
      </c>
      <c r="BE139" s="80" t="str">
        <f>REPLACE(INDEX(GroupVertices[Group],MATCH(Edges25[[#This Row],[Vertex 2]],GroupVertices[Vertex],0)),1,1,"")</f>
        <v>1</v>
      </c>
      <c r="BF139" s="48"/>
      <c r="BG139" s="49"/>
      <c r="BH139" s="48"/>
      <c r="BI139" s="49"/>
      <c r="BJ139" s="48"/>
      <c r="BK139" s="49"/>
      <c r="BL139" s="48"/>
      <c r="BM139" s="49"/>
      <c r="BN139" s="48"/>
    </row>
    <row r="140" spans="1:66" ht="15">
      <c r="A140" s="66" t="s">
        <v>473</v>
      </c>
      <c r="B140" s="66" t="s">
        <v>563</v>
      </c>
      <c r="C140" s="67"/>
      <c r="D140" s="68"/>
      <c r="E140" s="69"/>
      <c r="F140" s="70"/>
      <c r="G140" s="67"/>
      <c r="H140" s="71"/>
      <c r="I140" s="72"/>
      <c r="J140" s="72"/>
      <c r="K140" s="34" t="s">
        <v>65</v>
      </c>
      <c r="L140" s="79">
        <v>256</v>
      </c>
      <c r="M140" s="79"/>
      <c r="N140" s="74"/>
      <c r="O140" s="81" t="s">
        <v>587</v>
      </c>
      <c r="P140" s="83">
        <v>44004.86240740741</v>
      </c>
      <c r="Q140" s="81" t="s">
        <v>646</v>
      </c>
      <c r="R140" s="84" t="str">
        <f>HYPERLINK("https://twitter.com/i/web/status/1275152041283932160")</f>
        <v>https://twitter.com/i/web/status/1275152041283932160</v>
      </c>
      <c r="S140" s="81" t="s">
        <v>676</v>
      </c>
      <c r="T140" s="81" t="s">
        <v>718</v>
      </c>
      <c r="U140" s="81"/>
      <c r="V140" s="84" t="str">
        <f>HYPERLINK("http://pbs.twimg.com/profile_images/953436802110623744/NK6Q5dVg_normal.jpg")</f>
        <v>http://pbs.twimg.com/profile_images/953436802110623744/NK6Q5dVg_normal.jpg</v>
      </c>
      <c r="W140" s="83">
        <v>44004.86240740741</v>
      </c>
      <c r="X140" s="87">
        <v>44004</v>
      </c>
      <c r="Y140" s="89" t="s">
        <v>866</v>
      </c>
      <c r="Z140" s="84" t="str">
        <f>HYPERLINK("https://twitter.com/jornalismodados/status/1275167141835259905")</f>
        <v>https://twitter.com/jornalismodados/status/1275167141835259905</v>
      </c>
      <c r="AA140" s="81"/>
      <c r="AB140" s="81"/>
      <c r="AC140" s="89" t="s">
        <v>1075</v>
      </c>
      <c r="AD140" s="81"/>
      <c r="AE140" s="81" t="b">
        <v>0</v>
      </c>
      <c r="AF140" s="81">
        <v>0</v>
      </c>
      <c r="AG140" s="89" t="s">
        <v>1149</v>
      </c>
      <c r="AH140" s="81" t="b">
        <v>0</v>
      </c>
      <c r="AI140" s="81" t="s">
        <v>1155</v>
      </c>
      <c r="AJ140" s="81"/>
      <c r="AK140" s="89" t="s">
        <v>1149</v>
      </c>
      <c r="AL140" s="81" t="b">
        <v>0</v>
      </c>
      <c r="AM140" s="81">
        <v>0</v>
      </c>
      <c r="AN140" s="89" t="s">
        <v>1149</v>
      </c>
      <c r="AO140" s="81" t="s">
        <v>1180</v>
      </c>
      <c r="AP140" s="81" t="b">
        <v>0</v>
      </c>
      <c r="AQ140" s="89" t="s">
        <v>1075</v>
      </c>
      <c r="AR140" s="81" t="s">
        <v>325</v>
      </c>
      <c r="AS140" s="81">
        <v>0</v>
      </c>
      <c r="AT140" s="81">
        <v>0</v>
      </c>
      <c r="AU140" s="81"/>
      <c r="AV140" s="81"/>
      <c r="AW140" s="81"/>
      <c r="AX140" s="81"/>
      <c r="AY140" s="81"/>
      <c r="AZ140" s="81"/>
      <c r="BA140" s="81"/>
      <c r="BB140" s="81"/>
      <c r="BC140">
        <v>2</v>
      </c>
      <c r="BD140" s="80" t="str">
        <f>REPLACE(INDEX(GroupVertices[Group],MATCH(Edges25[[#This Row],[Vertex 1]],GroupVertices[Vertex],0)),1,1,"")</f>
        <v>1</v>
      </c>
      <c r="BE140" s="80" t="str">
        <f>REPLACE(INDEX(GroupVertices[Group],MATCH(Edges25[[#This Row],[Vertex 2]],GroupVertices[Vertex],0)),1,1,"")</f>
        <v>1</v>
      </c>
      <c r="BF140" s="48"/>
      <c r="BG140" s="49"/>
      <c r="BH140" s="48"/>
      <c r="BI140" s="49"/>
      <c r="BJ140" s="48"/>
      <c r="BK140" s="49"/>
      <c r="BL140" s="48"/>
      <c r="BM140" s="49"/>
      <c r="BN140" s="48"/>
    </row>
    <row r="141" spans="1:66" ht="15">
      <c r="A141" s="66" t="s">
        <v>473</v>
      </c>
      <c r="B141" s="66" t="s">
        <v>564</v>
      </c>
      <c r="C141" s="67"/>
      <c r="D141" s="68"/>
      <c r="E141" s="69"/>
      <c r="F141" s="70"/>
      <c r="G141" s="67"/>
      <c r="H141" s="71"/>
      <c r="I141" s="72"/>
      <c r="J141" s="72"/>
      <c r="K141" s="34" t="s">
        <v>65</v>
      </c>
      <c r="L141" s="79">
        <v>260</v>
      </c>
      <c r="M141" s="79"/>
      <c r="N141" s="74"/>
      <c r="O141" s="81" t="s">
        <v>587</v>
      </c>
      <c r="P141" s="83">
        <v>44004.69578703704</v>
      </c>
      <c r="Q141" s="81" t="s">
        <v>647</v>
      </c>
      <c r="R141" s="84" t="str">
        <f>HYPERLINK("https://twitter.com/i/web/status/1275093202144497665")</f>
        <v>https://twitter.com/i/web/status/1275093202144497665</v>
      </c>
      <c r="S141" s="81" t="s">
        <v>676</v>
      </c>
      <c r="T141" s="81" t="s">
        <v>707</v>
      </c>
      <c r="U141" s="81"/>
      <c r="V141" s="84" t="str">
        <f>HYPERLINK("http://pbs.twimg.com/profile_images/953436802110623744/NK6Q5dVg_normal.jpg")</f>
        <v>http://pbs.twimg.com/profile_images/953436802110623744/NK6Q5dVg_normal.jpg</v>
      </c>
      <c r="W141" s="83">
        <v>44004.69578703704</v>
      </c>
      <c r="X141" s="87">
        <v>44004</v>
      </c>
      <c r="Y141" s="89" t="s">
        <v>867</v>
      </c>
      <c r="Z141" s="84" t="str">
        <f>HYPERLINK("https://twitter.com/jornalismodados/status/1275106760110608384")</f>
        <v>https://twitter.com/jornalismodados/status/1275106760110608384</v>
      </c>
      <c r="AA141" s="81"/>
      <c r="AB141" s="81"/>
      <c r="AC141" s="89" t="s">
        <v>1076</v>
      </c>
      <c r="AD141" s="81"/>
      <c r="AE141" s="81" t="b">
        <v>0</v>
      </c>
      <c r="AF141" s="81">
        <v>0</v>
      </c>
      <c r="AG141" s="89" t="s">
        <v>1149</v>
      </c>
      <c r="AH141" s="81" t="b">
        <v>0</v>
      </c>
      <c r="AI141" s="81" t="s">
        <v>1155</v>
      </c>
      <c r="AJ141" s="81"/>
      <c r="AK141" s="89" t="s">
        <v>1149</v>
      </c>
      <c r="AL141" s="81" t="b">
        <v>0</v>
      </c>
      <c r="AM141" s="81">
        <v>0</v>
      </c>
      <c r="AN141" s="89" t="s">
        <v>1149</v>
      </c>
      <c r="AO141" s="81" t="s">
        <v>1180</v>
      </c>
      <c r="AP141" s="81" t="b">
        <v>0</v>
      </c>
      <c r="AQ141" s="89" t="s">
        <v>1076</v>
      </c>
      <c r="AR141" s="81" t="s">
        <v>325</v>
      </c>
      <c r="AS141" s="81">
        <v>0</v>
      </c>
      <c r="AT141" s="81">
        <v>0</v>
      </c>
      <c r="AU141" s="81"/>
      <c r="AV141" s="81"/>
      <c r="AW141" s="81"/>
      <c r="AX141" s="81"/>
      <c r="AY141" s="81"/>
      <c r="AZ141" s="81"/>
      <c r="BA141" s="81"/>
      <c r="BB141" s="81"/>
      <c r="BC141">
        <v>16</v>
      </c>
      <c r="BD141" s="80" t="str">
        <f>REPLACE(INDEX(GroupVertices[Group],MATCH(Edges25[[#This Row],[Vertex 1]],GroupVertices[Vertex],0)),1,1,"")</f>
        <v>1</v>
      </c>
      <c r="BE141" s="80" t="str">
        <f>REPLACE(INDEX(GroupVertices[Group],MATCH(Edges25[[#This Row],[Vertex 2]],GroupVertices[Vertex],0)),1,1,"")</f>
        <v>1</v>
      </c>
      <c r="BF141" s="48">
        <v>0</v>
      </c>
      <c r="BG141" s="49">
        <v>0</v>
      </c>
      <c r="BH141" s="48">
        <v>0</v>
      </c>
      <c r="BI141" s="49">
        <v>0</v>
      </c>
      <c r="BJ141" s="48">
        <v>0</v>
      </c>
      <c r="BK141" s="49">
        <v>0</v>
      </c>
      <c r="BL141" s="48">
        <v>27</v>
      </c>
      <c r="BM141" s="49">
        <v>100</v>
      </c>
      <c r="BN141" s="48">
        <v>27</v>
      </c>
    </row>
    <row r="142" spans="1:66" ht="15">
      <c r="A142" s="66" t="s">
        <v>473</v>
      </c>
      <c r="B142" s="66" t="s">
        <v>564</v>
      </c>
      <c r="C142" s="67"/>
      <c r="D142" s="68"/>
      <c r="E142" s="69"/>
      <c r="F142" s="70"/>
      <c r="G142" s="67"/>
      <c r="H142" s="71"/>
      <c r="I142" s="72"/>
      <c r="J142" s="72"/>
      <c r="K142" s="34" t="s">
        <v>65</v>
      </c>
      <c r="L142" s="79">
        <v>264</v>
      </c>
      <c r="M142" s="79"/>
      <c r="N142" s="74"/>
      <c r="O142" s="81" t="s">
        <v>587</v>
      </c>
      <c r="P142" s="83">
        <v>44004.73746527778</v>
      </c>
      <c r="Q142" s="81" t="s">
        <v>648</v>
      </c>
      <c r="R142" s="84" t="str">
        <f>HYPERLINK("https://twitter.com/i/web/status/1275106760110608384")</f>
        <v>https://twitter.com/i/web/status/1275106760110608384</v>
      </c>
      <c r="S142" s="81" t="s">
        <v>676</v>
      </c>
      <c r="T142" s="81" t="s">
        <v>718</v>
      </c>
      <c r="U142" s="81"/>
      <c r="V142" s="84" t="str">
        <f>HYPERLINK("http://pbs.twimg.com/profile_images/953436802110623744/NK6Q5dVg_normal.jpg")</f>
        <v>http://pbs.twimg.com/profile_images/953436802110623744/NK6Q5dVg_normal.jpg</v>
      </c>
      <c r="W142" s="83">
        <v>44004.73746527778</v>
      </c>
      <c r="X142" s="87">
        <v>44004</v>
      </c>
      <c r="Y142" s="89" t="s">
        <v>868</v>
      </c>
      <c r="Z142" s="84" t="str">
        <f>HYPERLINK("https://twitter.com/jornalismodados/status/1275121862394236929")</f>
        <v>https://twitter.com/jornalismodados/status/1275121862394236929</v>
      </c>
      <c r="AA142" s="81"/>
      <c r="AB142" s="81"/>
      <c r="AC142" s="89" t="s">
        <v>1077</v>
      </c>
      <c r="AD142" s="81"/>
      <c r="AE142" s="81" t="b">
        <v>0</v>
      </c>
      <c r="AF142" s="81">
        <v>0</v>
      </c>
      <c r="AG142" s="89" t="s">
        <v>1149</v>
      </c>
      <c r="AH142" s="81" t="b">
        <v>0</v>
      </c>
      <c r="AI142" s="81" t="s">
        <v>1155</v>
      </c>
      <c r="AJ142" s="81"/>
      <c r="AK142" s="89" t="s">
        <v>1149</v>
      </c>
      <c r="AL142" s="81" t="b">
        <v>0</v>
      </c>
      <c r="AM142" s="81">
        <v>0</v>
      </c>
      <c r="AN142" s="89" t="s">
        <v>1149</v>
      </c>
      <c r="AO142" s="81" t="s">
        <v>1180</v>
      </c>
      <c r="AP142" s="81" t="b">
        <v>0</v>
      </c>
      <c r="AQ142" s="89" t="s">
        <v>1077</v>
      </c>
      <c r="AR142" s="81" t="s">
        <v>325</v>
      </c>
      <c r="AS142" s="81">
        <v>0</v>
      </c>
      <c r="AT142" s="81">
        <v>0</v>
      </c>
      <c r="AU142" s="81"/>
      <c r="AV142" s="81"/>
      <c r="AW142" s="81"/>
      <c r="AX142" s="81"/>
      <c r="AY142" s="81"/>
      <c r="AZ142" s="81"/>
      <c r="BA142" s="81"/>
      <c r="BB142" s="81"/>
      <c r="BC142">
        <v>16</v>
      </c>
      <c r="BD142" s="80" t="str">
        <f>REPLACE(INDEX(GroupVertices[Group],MATCH(Edges25[[#This Row],[Vertex 1]],GroupVertices[Vertex],0)),1,1,"")</f>
        <v>1</v>
      </c>
      <c r="BE142" s="80" t="str">
        <f>REPLACE(INDEX(GroupVertices[Group],MATCH(Edges25[[#This Row],[Vertex 2]],GroupVertices[Vertex],0)),1,1,"")</f>
        <v>1</v>
      </c>
      <c r="BF142" s="48">
        <v>0</v>
      </c>
      <c r="BG142" s="49">
        <v>0</v>
      </c>
      <c r="BH142" s="48">
        <v>0</v>
      </c>
      <c r="BI142" s="49">
        <v>0</v>
      </c>
      <c r="BJ142" s="48">
        <v>0</v>
      </c>
      <c r="BK142" s="49">
        <v>0</v>
      </c>
      <c r="BL142" s="48">
        <v>28</v>
      </c>
      <c r="BM142" s="49">
        <v>100</v>
      </c>
      <c r="BN142" s="48">
        <v>28</v>
      </c>
    </row>
    <row r="143" spans="1:66" ht="15">
      <c r="A143" s="66" t="s">
        <v>473</v>
      </c>
      <c r="B143" s="66" t="s">
        <v>564</v>
      </c>
      <c r="C143" s="67"/>
      <c r="D143" s="68"/>
      <c r="E143" s="69"/>
      <c r="F143" s="70"/>
      <c r="G143" s="67"/>
      <c r="H143" s="71"/>
      <c r="I143" s="72"/>
      <c r="J143" s="72"/>
      <c r="K143" s="34" t="s">
        <v>65</v>
      </c>
      <c r="L143" s="79">
        <v>269</v>
      </c>
      <c r="M143" s="79"/>
      <c r="N143" s="74"/>
      <c r="O143" s="81" t="s">
        <v>587</v>
      </c>
      <c r="P143" s="83">
        <v>44004.82052083333</v>
      </c>
      <c r="Q143" s="81" t="s">
        <v>649</v>
      </c>
      <c r="R143" s="81"/>
      <c r="S143" s="81"/>
      <c r="T143" s="81" t="s">
        <v>707</v>
      </c>
      <c r="U143" s="81"/>
      <c r="V143" s="84" t="str">
        <f>HYPERLINK("http://pbs.twimg.com/profile_images/953436802110623744/NK6Q5dVg_normal.jpg")</f>
        <v>http://pbs.twimg.com/profile_images/953436802110623744/NK6Q5dVg_normal.jpg</v>
      </c>
      <c r="W143" s="83">
        <v>44004.82052083333</v>
      </c>
      <c r="X143" s="87">
        <v>44004</v>
      </c>
      <c r="Y143" s="89" t="s">
        <v>869</v>
      </c>
      <c r="Z143" s="84" t="str">
        <f>HYPERLINK("https://twitter.com/jornalismodados/status/1275151960887439361")</f>
        <v>https://twitter.com/jornalismodados/status/1275151960887439361</v>
      </c>
      <c r="AA143" s="81"/>
      <c r="AB143" s="81"/>
      <c r="AC143" s="89" t="s">
        <v>1078</v>
      </c>
      <c r="AD143" s="81"/>
      <c r="AE143" s="81" t="b">
        <v>0</v>
      </c>
      <c r="AF143" s="81">
        <v>0</v>
      </c>
      <c r="AG143" s="89" t="s">
        <v>1149</v>
      </c>
      <c r="AH143" s="81" t="b">
        <v>0</v>
      </c>
      <c r="AI143" s="81" t="s">
        <v>1155</v>
      </c>
      <c r="AJ143" s="81"/>
      <c r="AK143" s="89" t="s">
        <v>1149</v>
      </c>
      <c r="AL143" s="81" t="b">
        <v>0</v>
      </c>
      <c r="AM143" s="81">
        <v>0</v>
      </c>
      <c r="AN143" s="89" t="s">
        <v>1149</v>
      </c>
      <c r="AO143" s="81" t="s">
        <v>1180</v>
      </c>
      <c r="AP143" s="81" t="b">
        <v>0</v>
      </c>
      <c r="AQ143" s="89" t="s">
        <v>1078</v>
      </c>
      <c r="AR143" s="81" t="s">
        <v>325</v>
      </c>
      <c r="AS143" s="81">
        <v>0</v>
      </c>
      <c r="AT143" s="81">
        <v>0</v>
      </c>
      <c r="AU143" s="81"/>
      <c r="AV143" s="81"/>
      <c r="AW143" s="81"/>
      <c r="AX143" s="81"/>
      <c r="AY143" s="81"/>
      <c r="AZ143" s="81"/>
      <c r="BA143" s="81"/>
      <c r="BB143" s="81"/>
      <c r="BC143">
        <v>16</v>
      </c>
      <c r="BD143" s="80" t="str">
        <f>REPLACE(INDEX(GroupVertices[Group],MATCH(Edges25[[#This Row],[Vertex 1]],GroupVertices[Vertex],0)),1,1,"")</f>
        <v>1</v>
      </c>
      <c r="BE143" s="80" t="str">
        <f>REPLACE(INDEX(GroupVertices[Group],MATCH(Edges25[[#This Row],[Vertex 2]],GroupVertices[Vertex],0)),1,1,"")</f>
        <v>1</v>
      </c>
      <c r="BF143" s="48"/>
      <c r="BG143" s="49"/>
      <c r="BH143" s="48"/>
      <c r="BI143" s="49"/>
      <c r="BJ143" s="48"/>
      <c r="BK143" s="49"/>
      <c r="BL143" s="48"/>
      <c r="BM143" s="49"/>
      <c r="BN143" s="48"/>
    </row>
    <row r="144" spans="1:66" ht="15">
      <c r="A144" s="66" t="s">
        <v>473</v>
      </c>
      <c r="B144" s="66" t="s">
        <v>564</v>
      </c>
      <c r="C144" s="67"/>
      <c r="D144" s="68"/>
      <c r="E144" s="69"/>
      <c r="F144" s="70"/>
      <c r="G144" s="67"/>
      <c r="H144" s="71"/>
      <c r="I144" s="72"/>
      <c r="J144" s="72"/>
      <c r="K144" s="34" t="s">
        <v>65</v>
      </c>
      <c r="L144" s="79">
        <v>272</v>
      </c>
      <c r="M144" s="79"/>
      <c r="N144" s="74"/>
      <c r="O144" s="81" t="s">
        <v>587</v>
      </c>
      <c r="P144" s="83">
        <v>44004.86246527778</v>
      </c>
      <c r="Q144" s="81" t="s">
        <v>650</v>
      </c>
      <c r="R144" s="84" t="str">
        <f>HYPERLINK("https://twitter.com/i/web/status/1275151960887439361")</f>
        <v>https://twitter.com/i/web/status/1275151960887439361</v>
      </c>
      <c r="S144" s="81" t="s">
        <v>676</v>
      </c>
      <c r="T144" s="81" t="s">
        <v>718</v>
      </c>
      <c r="U144" s="81"/>
      <c r="V144" s="84" t="str">
        <f>HYPERLINK("http://pbs.twimg.com/profile_images/953436802110623744/NK6Q5dVg_normal.jpg")</f>
        <v>http://pbs.twimg.com/profile_images/953436802110623744/NK6Q5dVg_normal.jpg</v>
      </c>
      <c r="W144" s="83">
        <v>44004.86246527778</v>
      </c>
      <c r="X144" s="87">
        <v>44004</v>
      </c>
      <c r="Y144" s="89" t="s">
        <v>870</v>
      </c>
      <c r="Z144" s="84" t="str">
        <f>HYPERLINK("https://twitter.com/jornalismodados/status/1275167160067817472")</f>
        <v>https://twitter.com/jornalismodados/status/1275167160067817472</v>
      </c>
      <c r="AA144" s="81"/>
      <c r="AB144" s="81"/>
      <c r="AC144" s="89" t="s">
        <v>1079</v>
      </c>
      <c r="AD144" s="81"/>
      <c r="AE144" s="81" t="b">
        <v>0</v>
      </c>
      <c r="AF144" s="81">
        <v>0</v>
      </c>
      <c r="AG144" s="89" t="s">
        <v>1149</v>
      </c>
      <c r="AH144" s="81" t="b">
        <v>0</v>
      </c>
      <c r="AI144" s="81" t="s">
        <v>1155</v>
      </c>
      <c r="AJ144" s="81"/>
      <c r="AK144" s="89" t="s">
        <v>1149</v>
      </c>
      <c r="AL144" s="81" t="b">
        <v>0</v>
      </c>
      <c r="AM144" s="81">
        <v>0</v>
      </c>
      <c r="AN144" s="89" t="s">
        <v>1149</v>
      </c>
      <c r="AO144" s="81" t="s">
        <v>1180</v>
      </c>
      <c r="AP144" s="81" t="b">
        <v>0</v>
      </c>
      <c r="AQ144" s="89" t="s">
        <v>1079</v>
      </c>
      <c r="AR144" s="81" t="s">
        <v>325</v>
      </c>
      <c r="AS144" s="81">
        <v>0</v>
      </c>
      <c r="AT144" s="81">
        <v>0</v>
      </c>
      <c r="AU144" s="81"/>
      <c r="AV144" s="81"/>
      <c r="AW144" s="81"/>
      <c r="AX144" s="81"/>
      <c r="AY144" s="81"/>
      <c r="AZ144" s="81"/>
      <c r="BA144" s="81"/>
      <c r="BB144" s="81"/>
      <c r="BC144">
        <v>16</v>
      </c>
      <c r="BD144" s="80" t="str">
        <f>REPLACE(INDEX(GroupVertices[Group],MATCH(Edges25[[#This Row],[Vertex 1]],GroupVertices[Vertex],0)),1,1,"")</f>
        <v>1</v>
      </c>
      <c r="BE144" s="80" t="str">
        <f>REPLACE(INDEX(GroupVertices[Group],MATCH(Edges25[[#This Row],[Vertex 2]],GroupVertices[Vertex],0)),1,1,"")</f>
        <v>1</v>
      </c>
      <c r="BF144" s="48"/>
      <c r="BG144" s="49"/>
      <c r="BH144" s="48"/>
      <c r="BI144" s="49"/>
      <c r="BJ144" s="48"/>
      <c r="BK144" s="49"/>
      <c r="BL144" s="48"/>
      <c r="BM144" s="49"/>
      <c r="BN144" s="48"/>
    </row>
    <row r="145" spans="1:66" ht="15">
      <c r="A145" s="66" t="s">
        <v>473</v>
      </c>
      <c r="B145" s="66" t="s">
        <v>566</v>
      </c>
      <c r="C145" s="67"/>
      <c r="D145" s="68"/>
      <c r="E145" s="69"/>
      <c r="F145" s="70"/>
      <c r="G145" s="67"/>
      <c r="H145" s="71"/>
      <c r="I145" s="72"/>
      <c r="J145" s="72"/>
      <c r="K145" s="34" t="s">
        <v>65</v>
      </c>
      <c r="L145" s="79">
        <v>275</v>
      </c>
      <c r="M145" s="79"/>
      <c r="N145" s="74"/>
      <c r="O145" s="81" t="s">
        <v>587</v>
      </c>
      <c r="P145" s="83">
        <v>44004.90385416667</v>
      </c>
      <c r="Q145" s="81" t="s">
        <v>651</v>
      </c>
      <c r="R145" s="81"/>
      <c r="S145" s="81"/>
      <c r="T145" s="81" t="s">
        <v>707</v>
      </c>
      <c r="U145" s="81"/>
      <c r="V145" s="84" t="str">
        <f>HYPERLINK("http://pbs.twimg.com/profile_images/953436802110623744/NK6Q5dVg_normal.jpg")</f>
        <v>http://pbs.twimg.com/profile_images/953436802110623744/NK6Q5dVg_normal.jpg</v>
      </c>
      <c r="W145" s="83">
        <v>44004.90385416667</v>
      </c>
      <c r="X145" s="87">
        <v>44004</v>
      </c>
      <c r="Y145" s="89" t="s">
        <v>871</v>
      </c>
      <c r="Z145" s="84" t="str">
        <f>HYPERLINK("https://twitter.com/jornalismodados/status/1275182160119566342")</f>
        <v>https://twitter.com/jornalismodados/status/1275182160119566342</v>
      </c>
      <c r="AA145" s="81"/>
      <c r="AB145" s="81"/>
      <c r="AC145" s="89" t="s">
        <v>1080</v>
      </c>
      <c r="AD145" s="81"/>
      <c r="AE145" s="81" t="b">
        <v>0</v>
      </c>
      <c r="AF145" s="81">
        <v>0</v>
      </c>
      <c r="AG145" s="89" t="s">
        <v>1149</v>
      </c>
      <c r="AH145" s="81" t="b">
        <v>0</v>
      </c>
      <c r="AI145" s="81" t="s">
        <v>1155</v>
      </c>
      <c r="AJ145" s="81"/>
      <c r="AK145" s="89" t="s">
        <v>1149</v>
      </c>
      <c r="AL145" s="81" t="b">
        <v>0</v>
      </c>
      <c r="AM145" s="81">
        <v>0</v>
      </c>
      <c r="AN145" s="89" t="s">
        <v>1149</v>
      </c>
      <c r="AO145" s="81" t="s">
        <v>1180</v>
      </c>
      <c r="AP145" s="81" t="b">
        <v>0</v>
      </c>
      <c r="AQ145" s="89" t="s">
        <v>1080</v>
      </c>
      <c r="AR145" s="81" t="s">
        <v>325</v>
      </c>
      <c r="AS145" s="81">
        <v>0</v>
      </c>
      <c r="AT145" s="81">
        <v>0</v>
      </c>
      <c r="AU145" s="81"/>
      <c r="AV145" s="81"/>
      <c r="AW145" s="81"/>
      <c r="AX145" s="81"/>
      <c r="AY145" s="81"/>
      <c r="AZ145" s="81"/>
      <c r="BA145" s="81"/>
      <c r="BB145" s="81"/>
      <c r="BC145">
        <v>1</v>
      </c>
      <c r="BD145" s="80" t="str">
        <f>REPLACE(INDEX(GroupVertices[Group],MATCH(Edges25[[#This Row],[Vertex 1]],GroupVertices[Vertex],0)),1,1,"")</f>
        <v>1</v>
      </c>
      <c r="BE145" s="80" t="str">
        <f>REPLACE(INDEX(GroupVertices[Group],MATCH(Edges25[[#This Row],[Vertex 2]],GroupVertices[Vertex],0)),1,1,"")</f>
        <v>1</v>
      </c>
      <c r="BF145" s="48"/>
      <c r="BG145" s="49"/>
      <c r="BH145" s="48"/>
      <c r="BI145" s="49"/>
      <c r="BJ145" s="48"/>
      <c r="BK145" s="49"/>
      <c r="BL145" s="48"/>
      <c r="BM145" s="49"/>
      <c r="BN145" s="48"/>
    </row>
    <row r="146" spans="1:66" ht="15">
      <c r="A146" s="66" t="s">
        <v>474</v>
      </c>
      <c r="B146" s="66" t="s">
        <v>567</v>
      </c>
      <c r="C146" s="67"/>
      <c r="D146" s="68"/>
      <c r="E146" s="69"/>
      <c r="F146" s="70"/>
      <c r="G146" s="67"/>
      <c r="H146" s="71"/>
      <c r="I146" s="72"/>
      <c r="J146" s="72"/>
      <c r="K146" s="34" t="s">
        <v>65</v>
      </c>
      <c r="L146" s="79">
        <v>276</v>
      </c>
      <c r="M146" s="79"/>
      <c r="N146" s="74"/>
      <c r="O146" s="81" t="s">
        <v>588</v>
      </c>
      <c r="P146" s="83">
        <v>44004.904131944444</v>
      </c>
      <c r="Q146" s="81" t="s">
        <v>652</v>
      </c>
      <c r="R146" s="81"/>
      <c r="S146" s="81"/>
      <c r="T146" s="81" t="s">
        <v>707</v>
      </c>
      <c r="U146" s="81"/>
      <c r="V146" s="84" t="str">
        <f>HYPERLINK("http://pbs.twimg.com/profile_images/1238901026108968963/cIsz5rxp_normal.jpg")</f>
        <v>http://pbs.twimg.com/profile_images/1238901026108968963/cIsz5rxp_normal.jpg</v>
      </c>
      <c r="W146" s="83">
        <v>44004.904131944444</v>
      </c>
      <c r="X146" s="87">
        <v>44004</v>
      </c>
      <c r="Y146" s="89" t="s">
        <v>872</v>
      </c>
      <c r="Z146" s="84" t="str">
        <f>HYPERLINK("https://twitter.com/morenocris/status/1275182262791921664")</f>
        <v>https://twitter.com/morenocris/status/1275182262791921664</v>
      </c>
      <c r="AA146" s="81"/>
      <c r="AB146" s="81"/>
      <c r="AC146" s="89" t="s">
        <v>1081</v>
      </c>
      <c r="AD146" s="81"/>
      <c r="AE146" s="81" t="b">
        <v>0</v>
      </c>
      <c r="AF146" s="81">
        <v>0</v>
      </c>
      <c r="AG146" s="89" t="s">
        <v>1149</v>
      </c>
      <c r="AH146" s="81" t="b">
        <v>0</v>
      </c>
      <c r="AI146" s="81" t="s">
        <v>1155</v>
      </c>
      <c r="AJ146" s="81"/>
      <c r="AK146" s="89" t="s">
        <v>1149</v>
      </c>
      <c r="AL146" s="81" t="b">
        <v>0</v>
      </c>
      <c r="AM146" s="81">
        <v>1</v>
      </c>
      <c r="AN146" s="89" t="s">
        <v>1083</v>
      </c>
      <c r="AO146" s="81" t="s">
        <v>1176</v>
      </c>
      <c r="AP146" s="81" t="b">
        <v>0</v>
      </c>
      <c r="AQ146" s="89" t="s">
        <v>1083</v>
      </c>
      <c r="AR146" s="81" t="s">
        <v>325</v>
      </c>
      <c r="AS146" s="81">
        <v>0</v>
      </c>
      <c r="AT146" s="81">
        <v>0</v>
      </c>
      <c r="AU146" s="81"/>
      <c r="AV146" s="81"/>
      <c r="AW146" s="81"/>
      <c r="AX146" s="81"/>
      <c r="AY146" s="81"/>
      <c r="AZ146" s="81"/>
      <c r="BA146" s="81"/>
      <c r="BB146" s="81"/>
      <c r="BC146">
        <v>1</v>
      </c>
      <c r="BD146" s="80" t="str">
        <f>REPLACE(INDEX(GroupVertices[Group],MATCH(Edges25[[#This Row],[Vertex 1]],GroupVertices[Vertex],0)),1,1,"")</f>
        <v>1</v>
      </c>
      <c r="BE146" s="80" t="str">
        <f>REPLACE(INDEX(GroupVertices[Group],MATCH(Edges25[[#This Row],[Vertex 2]],GroupVertices[Vertex],0)),1,1,"")</f>
        <v>1</v>
      </c>
      <c r="BF146" s="48"/>
      <c r="BG146" s="49"/>
      <c r="BH146" s="48"/>
      <c r="BI146" s="49"/>
      <c r="BJ146" s="48"/>
      <c r="BK146" s="49"/>
      <c r="BL146" s="48"/>
      <c r="BM146" s="49"/>
      <c r="BN146" s="48"/>
    </row>
    <row r="147" spans="1:66" ht="15">
      <c r="A147" s="66" t="s">
        <v>474</v>
      </c>
      <c r="B147" s="66" t="s">
        <v>475</v>
      </c>
      <c r="C147" s="67"/>
      <c r="D147" s="68"/>
      <c r="E147" s="69"/>
      <c r="F147" s="70"/>
      <c r="G147" s="67"/>
      <c r="H147" s="71"/>
      <c r="I147" s="72"/>
      <c r="J147" s="72"/>
      <c r="K147" s="34" t="s">
        <v>65</v>
      </c>
      <c r="L147" s="79">
        <v>281</v>
      </c>
      <c r="M147" s="79"/>
      <c r="N147" s="74"/>
      <c r="O147" s="81" t="s">
        <v>586</v>
      </c>
      <c r="P147" s="83">
        <v>44004.936111111114</v>
      </c>
      <c r="Q147" s="81" t="s">
        <v>614</v>
      </c>
      <c r="R147" s="81"/>
      <c r="S147" s="81"/>
      <c r="T147" s="81" t="s">
        <v>712</v>
      </c>
      <c r="U147" s="81"/>
      <c r="V147" s="84" t="str">
        <f>HYPERLINK("http://pbs.twimg.com/profile_images/1238901026108968963/cIsz5rxp_normal.jpg")</f>
        <v>http://pbs.twimg.com/profile_images/1238901026108968963/cIsz5rxp_normal.jpg</v>
      </c>
      <c r="W147" s="83">
        <v>44004.936111111114</v>
      </c>
      <c r="X147" s="87">
        <v>44004</v>
      </c>
      <c r="Y147" s="89" t="s">
        <v>873</v>
      </c>
      <c r="Z147" s="84" t="str">
        <f>HYPERLINK("https://twitter.com/morenocris/status/1275193851897135106")</f>
        <v>https://twitter.com/morenocris/status/1275193851897135106</v>
      </c>
      <c r="AA147" s="81"/>
      <c r="AB147" s="81"/>
      <c r="AC147" s="89" t="s">
        <v>1082</v>
      </c>
      <c r="AD147" s="81"/>
      <c r="AE147" s="81" t="b">
        <v>0</v>
      </c>
      <c r="AF147" s="81">
        <v>0</v>
      </c>
      <c r="AG147" s="89" t="s">
        <v>1149</v>
      </c>
      <c r="AH147" s="81" t="b">
        <v>1</v>
      </c>
      <c r="AI147" s="81" t="s">
        <v>1155</v>
      </c>
      <c r="AJ147" s="81"/>
      <c r="AK147" s="89" t="s">
        <v>1161</v>
      </c>
      <c r="AL147" s="81" t="b">
        <v>0</v>
      </c>
      <c r="AM147" s="81">
        <v>2</v>
      </c>
      <c r="AN147" s="89" t="s">
        <v>1094</v>
      </c>
      <c r="AO147" s="81" t="s">
        <v>1176</v>
      </c>
      <c r="AP147" s="81" t="b">
        <v>0</v>
      </c>
      <c r="AQ147" s="89" t="s">
        <v>1094</v>
      </c>
      <c r="AR147" s="81" t="s">
        <v>325</v>
      </c>
      <c r="AS147" s="81">
        <v>0</v>
      </c>
      <c r="AT147" s="81">
        <v>0</v>
      </c>
      <c r="AU147" s="81"/>
      <c r="AV147" s="81"/>
      <c r="AW147" s="81"/>
      <c r="AX147" s="81"/>
      <c r="AY147" s="81"/>
      <c r="AZ147" s="81"/>
      <c r="BA147" s="81"/>
      <c r="BB147" s="81"/>
      <c r="BC147">
        <v>2</v>
      </c>
      <c r="BD147" s="80" t="str">
        <f>REPLACE(INDEX(GroupVertices[Group],MATCH(Edges25[[#This Row],[Vertex 1]],GroupVertices[Vertex],0)),1,1,"")</f>
        <v>1</v>
      </c>
      <c r="BE147" s="80" t="str">
        <f>REPLACE(INDEX(GroupVertices[Group],MATCH(Edges25[[#This Row],[Vertex 2]],GroupVertices[Vertex],0)),1,1,"")</f>
        <v>1</v>
      </c>
      <c r="BF147" s="48">
        <v>0</v>
      </c>
      <c r="BG147" s="49">
        <v>0</v>
      </c>
      <c r="BH147" s="48">
        <v>0</v>
      </c>
      <c r="BI147" s="49">
        <v>0</v>
      </c>
      <c r="BJ147" s="48">
        <v>0</v>
      </c>
      <c r="BK147" s="49">
        <v>0</v>
      </c>
      <c r="BL147" s="48">
        <v>5</v>
      </c>
      <c r="BM147" s="49">
        <v>100</v>
      </c>
      <c r="BN147" s="48">
        <v>5</v>
      </c>
    </row>
    <row r="148" spans="1:66" ht="15">
      <c r="A148" s="66" t="s">
        <v>473</v>
      </c>
      <c r="B148" s="66" t="s">
        <v>474</v>
      </c>
      <c r="C148" s="67"/>
      <c r="D148" s="68"/>
      <c r="E148" s="69"/>
      <c r="F148" s="70"/>
      <c r="G148" s="67"/>
      <c r="H148" s="71"/>
      <c r="I148" s="72"/>
      <c r="J148" s="72"/>
      <c r="K148" s="34" t="s">
        <v>66</v>
      </c>
      <c r="L148" s="79">
        <v>282</v>
      </c>
      <c r="M148" s="79"/>
      <c r="N148" s="74"/>
      <c r="O148" s="81" t="s">
        <v>587</v>
      </c>
      <c r="P148" s="83">
        <v>44004.90388888889</v>
      </c>
      <c r="Q148" s="81" t="s">
        <v>652</v>
      </c>
      <c r="R148" s="81"/>
      <c r="S148" s="81"/>
      <c r="T148" s="81" t="s">
        <v>707</v>
      </c>
      <c r="U148" s="81"/>
      <c r="V148" s="84" t="str">
        <f>HYPERLINK("http://pbs.twimg.com/profile_images/953436802110623744/NK6Q5dVg_normal.jpg")</f>
        <v>http://pbs.twimg.com/profile_images/953436802110623744/NK6Q5dVg_normal.jpg</v>
      </c>
      <c r="W148" s="83">
        <v>44004.90388888889</v>
      </c>
      <c r="X148" s="87">
        <v>44004</v>
      </c>
      <c r="Y148" s="89" t="s">
        <v>874</v>
      </c>
      <c r="Z148" s="84" t="str">
        <f>HYPERLINK("https://twitter.com/jornalismodados/status/1275182174011097088")</f>
        <v>https://twitter.com/jornalismodados/status/1275182174011097088</v>
      </c>
      <c r="AA148" s="81"/>
      <c r="AB148" s="81"/>
      <c r="AC148" s="89" t="s">
        <v>1083</v>
      </c>
      <c r="AD148" s="81"/>
      <c r="AE148" s="81" t="b">
        <v>0</v>
      </c>
      <c r="AF148" s="81">
        <v>0</v>
      </c>
      <c r="AG148" s="89" t="s">
        <v>1149</v>
      </c>
      <c r="AH148" s="81" t="b">
        <v>0</v>
      </c>
      <c r="AI148" s="81" t="s">
        <v>1155</v>
      </c>
      <c r="AJ148" s="81"/>
      <c r="AK148" s="89" t="s">
        <v>1149</v>
      </c>
      <c r="AL148" s="81" t="b">
        <v>0</v>
      </c>
      <c r="AM148" s="81">
        <v>1</v>
      </c>
      <c r="AN148" s="89" t="s">
        <v>1149</v>
      </c>
      <c r="AO148" s="81" t="s">
        <v>1180</v>
      </c>
      <c r="AP148" s="81" t="b">
        <v>0</v>
      </c>
      <c r="AQ148" s="89" t="s">
        <v>1083</v>
      </c>
      <c r="AR148" s="81" t="s">
        <v>325</v>
      </c>
      <c r="AS148" s="81">
        <v>0</v>
      </c>
      <c r="AT148" s="81">
        <v>0</v>
      </c>
      <c r="AU148" s="81"/>
      <c r="AV148" s="81"/>
      <c r="AW148" s="81"/>
      <c r="AX148" s="81"/>
      <c r="AY148" s="81"/>
      <c r="AZ148" s="81"/>
      <c r="BA148" s="81"/>
      <c r="BB148" s="81"/>
      <c r="BC148">
        <v>1</v>
      </c>
      <c r="BD148" s="80" t="str">
        <f>REPLACE(INDEX(GroupVertices[Group],MATCH(Edges25[[#This Row],[Vertex 1]],GroupVertices[Vertex],0)),1,1,"")</f>
        <v>1</v>
      </c>
      <c r="BE148" s="80" t="str">
        <f>REPLACE(INDEX(GroupVertices[Group],MATCH(Edges25[[#This Row],[Vertex 2]],GroupVertices[Vertex],0)),1,1,"")</f>
        <v>1</v>
      </c>
      <c r="BF148" s="48"/>
      <c r="BG148" s="49"/>
      <c r="BH148" s="48"/>
      <c r="BI148" s="49"/>
      <c r="BJ148" s="48"/>
      <c r="BK148" s="49"/>
      <c r="BL148" s="48"/>
      <c r="BM148" s="49"/>
      <c r="BN148" s="48"/>
    </row>
    <row r="149" spans="1:66" ht="15">
      <c r="A149" s="66" t="s">
        <v>473</v>
      </c>
      <c r="B149" s="66" t="s">
        <v>570</v>
      </c>
      <c r="C149" s="67"/>
      <c r="D149" s="68"/>
      <c r="E149" s="69"/>
      <c r="F149" s="70"/>
      <c r="G149" s="67"/>
      <c r="H149" s="71"/>
      <c r="I149" s="72"/>
      <c r="J149" s="72"/>
      <c r="K149" s="34" t="s">
        <v>65</v>
      </c>
      <c r="L149" s="79">
        <v>283</v>
      </c>
      <c r="M149" s="79"/>
      <c r="N149" s="74"/>
      <c r="O149" s="81" t="s">
        <v>587</v>
      </c>
      <c r="P149" s="83">
        <v>44004.90400462963</v>
      </c>
      <c r="Q149" s="81" t="s">
        <v>653</v>
      </c>
      <c r="R149" s="81"/>
      <c r="S149" s="81"/>
      <c r="T149" s="81" t="s">
        <v>707</v>
      </c>
      <c r="U149" s="81"/>
      <c r="V149" s="84" t="str">
        <f>HYPERLINK("http://pbs.twimg.com/profile_images/953436802110623744/NK6Q5dVg_normal.jpg")</f>
        <v>http://pbs.twimg.com/profile_images/953436802110623744/NK6Q5dVg_normal.jpg</v>
      </c>
      <c r="W149" s="83">
        <v>44004.90400462963</v>
      </c>
      <c r="X149" s="87">
        <v>44004</v>
      </c>
      <c r="Y149" s="89" t="s">
        <v>875</v>
      </c>
      <c r="Z149" s="84" t="str">
        <f>HYPERLINK("https://twitter.com/jornalismodados/status/1275182214003724290")</f>
        <v>https://twitter.com/jornalismodados/status/1275182214003724290</v>
      </c>
      <c r="AA149" s="81"/>
      <c r="AB149" s="81"/>
      <c r="AC149" s="89" t="s">
        <v>1084</v>
      </c>
      <c r="AD149" s="81"/>
      <c r="AE149" s="81" t="b">
        <v>0</v>
      </c>
      <c r="AF149" s="81">
        <v>0</v>
      </c>
      <c r="AG149" s="89" t="s">
        <v>1149</v>
      </c>
      <c r="AH149" s="81" t="b">
        <v>0</v>
      </c>
      <c r="AI149" s="81" t="s">
        <v>1155</v>
      </c>
      <c r="AJ149" s="81"/>
      <c r="AK149" s="89" t="s">
        <v>1149</v>
      </c>
      <c r="AL149" s="81" t="b">
        <v>0</v>
      </c>
      <c r="AM149" s="81">
        <v>0</v>
      </c>
      <c r="AN149" s="89" t="s">
        <v>1149</v>
      </c>
      <c r="AO149" s="81" t="s">
        <v>1180</v>
      </c>
      <c r="AP149" s="81" t="b">
        <v>0</v>
      </c>
      <c r="AQ149" s="89" t="s">
        <v>1084</v>
      </c>
      <c r="AR149" s="81" t="s">
        <v>325</v>
      </c>
      <c r="AS149" s="81">
        <v>0</v>
      </c>
      <c r="AT149" s="81">
        <v>0</v>
      </c>
      <c r="AU149" s="81"/>
      <c r="AV149" s="81"/>
      <c r="AW149" s="81"/>
      <c r="AX149" s="81"/>
      <c r="AY149" s="81"/>
      <c r="AZ149" s="81"/>
      <c r="BA149" s="81"/>
      <c r="BB149" s="81"/>
      <c r="BC149">
        <v>1</v>
      </c>
      <c r="BD149" s="80" t="str">
        <f>REPLACE(INDEX(GroupVertices[Group],MATCH(Edges25[[#This Row],[Vertex 1]],GroupVertices[Vertex],0)),1,1,"")</f>
        <v>1</v>
      </c>
      <c r="BE149" s="80" t="str">
        <f>REPLACE(INDEX(GroupVertices[Group],MATCH(Edges25[[#This Row],[Vertex 2]],GroupVertices[Vertex],0)),1,1,"")</f>
        <v>1</v>
      </c>
      <c r="BF149" s="48">
        <v>0</v>
      </c>
      <c r="BG149" s="49">
        <v>0</v>
      </c>
      <c r="BH149" s="48">
        <v>0</v>
      </c>
      <c r="BI149" s="49">
        <v>0</v>
      </c>
      <c r="BJ149" s="48">
        <v>0</v>
      </c>
      <c r="BK149" s="49">
        <v>0</v>
      </c>
      <c r="BL149" s="48">
        <v>30</v>
      </c>
      <c r="BM149" s="49">
        <v>100</v>
      </c>
      <c r="BN149" s="48">
        <v>30</v>
      </c>
    </row>
    <row r="150" spans="1:66" ht="15">
      <c r="A150" s="66" t="s">
        <v>473</v>
      </c>
      <c r="B150" s="66" t="s">
        <v>571</v>
      </c>
      <c r="C150" s="67"/>
      <c r="D150" s="68"/>
      <c r="E150" s="69"/>
      <c r="F150" s="70"/>
      <c r="G150" s="67"/>
      <c r="H150" s="71"/>
      <c r="I150" s="72"/>
      <c r="J150" s="72"/>
      <c r="K150" s="34" t="s">
        <v>65</v>
      </c>
      <c r="L150" s="79">
        <v>284</v>
      </c>
      <c r="M150" s="79"/>
      <c r="N150" s="74"/>
      <c r="O150" s="81" t="s">
        <v>587</v>
      </c>
      <c r="P150" s="83">
        <v>44004.94552083333</v>
      </c>
      <c r="Q150" s="81" t="s">
        <v>654</v>
      </c>
      <c r="R150" s="81"/>
      <c r="S150" s="81"/>
      <c r="T150" s="81" t="s">
        <v>707</v>
      </c>
      <c r="U150" s="81"/>
      <c r="V150" s="84" t="str">
        <f>HYPERLINK("http://pbs.twimg.com/profile_images/953436802110623744/NK6Q5dVg_normal.jpg")</f>
        <v>http://pbs.twimg.com/profile_images/953436802110623744/NK6Q5dVg_normal.jpg</v>
      </c>
      <c r="W150" s="83">
        <v>44004.94552083333</v>
      </c>
      <c r="X150" s="87">
        <v>44004</v>
      </c>
      <c r="Y150" s="89" t="s">
        <v>876</v>
      </c>
      <c r="Z150" s="84" t="str">
        <f>HYPERLINK("https://twitter.com/jornalismodados/status/1275197258993225728")</f>
        <v>https://twitter.com/jornalismodados/status/1275197258993225728</v>
      </c>
      <c r="AA150" s="81"/>
      <c r="AB150" s="81"/>
      <c r="AC150" s="89" t="s">
        <v>1085</v>
      </c>
      <c r="AD150" s="81"/>
      <c r="AE150" s="81" t="b">
        <v>0</v>
      </c>
      <c r="AF150" s="81">
        <v>0</v>
      </c>
      <c r="AG150" s="89" t="s">
        <v>1149</v>
      </c>
      <c r="AH150" s="81" t="b">
        <v>0</v>
      </c>
      <c r="AI150" s="81" t="s">
        <v>1155</v>
      </c>
      <c r="AJ150" s="81"/>
      <c r="AK150" s="89" t="s">
        <v>1149</v>
      </c>
      <c r="AL150" s="81" t="b">
        <v>0</v>
      </c>
      <c r="AM150" s="81">
        <v>0</v>
      </c>
      <c r="AN150" s="89" t="s">
        <v>1149</v>
      </c>
      <c r="AO150" s="81" t="s">
        <v>1180</v>
      </c>
      <c r="AP150" s="81" t="b">
        <v>0</v>
      </c>
      <c r="AQ150" s="89" t="s">
        <v>1085</v>
      </c>
      <c r="AR150" s="81" t="s">
        <v>325</v>
      </c>
      <c r="AS150" s="81">
        <v>0</v>
      </c>
      <c r="AT150" s="81">
        <v>0</v>
      </c>
      <c r="AU150" s="81"/>
      <c r="AV150" s="81"/>
      <c r="AW150" s="81"/>
      <c r="AX150" s="81"/>
      <c r="AY150" s="81"/>
      <c r="AZ150" s="81"/>
      <c r="BA150" s="81"/>
      <c r="BB150" s="81"/>
      <c r="BC150">
        <v>1</v>
      </c>
      <c r="BD150" s="80" t="str">
        <f>REPLACE(INDEX(GroupVertices[Group],MATCH(Edges25[[#This Row],[Vertex 1]],GroupVertices[Vertex],0)),1,1,"")</f>
        <v>1</v>
      </c>
      <c r="BE150" s="80" t="str">
        <f>REPLACE(INDEX(GroupVertices[Group],MATCH(Edges25[[#This Row],[Vertex 2]],GroupVertices[Vertex],0)),1,1,"")</f>
        <v>1</v>
      </c>
      <c r="BF150" s="48">
        <v>0</v>
      </c>
      <c r="BG150" s="49">
        <v>0</v>
      </c>
      <c r="BH150" s="48">
        <v>0</v>
      </c>
      <c r="BI150" s="49">
        <v>0</v>
      </c>
      <c r="BJ150" s="48">
        <v>0</v>
      </c>
      <c r="BK150" s="49">
        <v>0</v>
      </c>
      <c r="BL150" s="48">
        <v>26</v>
      </c>
      <c r="BM150" s="49">
        <v>100</v>
      </c>
      <c r="BN150" s="48">
        <v>26</v>
      </c>
    </row>
    <row r="151" spans="1:66" ht="15">
      <c r="A151" s="66" t="s">
        <v>473</v>
      </c>
      <c r="B151" s="66" t="s">
        <v>572</v>
      </c>
      <c r="C151" s="67"/>
      <c r="D151" s="68"/>
      <c r="E151" s="69"/>
      <c r="F151" s="70"/>
      <c r="G151" s="67"/>
      <c r="H151" s="71"/>
      <c r="I151" s="72"/>
      <c r="J151" s="72"/>
      <c r="K151" s="34" t="s">
        <v>65</v>
      </c>
      <c r="L151" s="79">
        <v>285</v>
      </c>
      <c r="M151" s="79"/>
      <c r="N151" s="74"/>
      <c r="O151" s="81" t="s">
        <v>587</v>
      </c>
      <c r="P151" s="83">
        <v>44004.94563657408</v>
      </c>
      <c r="Q151" s="81" t="s">
        <v>655</v>
      </c>
      <c r="R151" s="81"/>
      <c r="S151" s="81"/>
      <c r="T151" s="81" t="s">
        <v>707</v>
      </c>
      <c r="U151" s="81"/>
      <c r="V151" s="84" t="str">
        <f>HYPERLINK("http://pbs.twimg.com/profile_images/953436802110623744/NK6Q5dVg_normal.jpg")</f>
        <v>http://pbs.twimg.com/profile_images/953436802110623744/NK6Q5dVg_normal.jpg</v>
      </c>
      <c r="W151" s="83">
        <v>44004.94563657408</v>
      </c>
      <c r="X151" s="87">
        <v>44004</v>
      </c>
      <c r="Y151" s="89" t="s">
        <v>877</v>
      </c>
      <c r="Z151" s="84" t="str">
        <f>HYPERLINK("https://twitter.com/jornalismodados/status/1275197302324551681")</f>
        <v>https://twitter.com/jornalismodados/status/1275197302324551681</v>
      </c>
      <c r="AA151" s="81"/>
      <c r="AB151" s="81"/>
      <c r="AC151" s="89" t="s">
        <v>1086</v>
      </c>
      <c r="AD151" s="81"/>
      <c r="AE151" s="81" t="b">
        <v>0</v>
      </c>
      <c r="AF151" s="81">
        <v>0</v>
      </c>
      <c r="AG151" s="89" t="s">
        <v>1149</v>
      </c>
      <c r="AH151" s="81" t="b">
        <v>0</v>
      </c>
      <c r="AI151" s="81" t="s">
        <v>1155</v>
      </c>
      <c r="AJ151" s="81"/>
      <c r="AK151" s="89" t="s">
        <v>1149</v>
      </c>
      <c r="AL151" s="81" t="b">
        <v>0</v>
      </c>
      <c r="AM151" s="81">
        <v>0</v>
      </c>
      <c r="AN151" s="89" t="s">
        <v>1149</v>
      </c>
      <c r="AO151" s="81" t="s">
        <v>1180</v>
      </c>
      <c r="AP151" s="81" t="b">
        <v>0</v>
      </c>
      <c r="AQ151" s="89" t="s">
        <v>1086</v>
      </c>
      <c r="AR151" s="81" t="s">
        <v>325</v>
      </c>
      <c r="AS151" s="81">
        <v>0</v>
      </c>
      <c r="AT151" s="81">
        <v>0</v>
      </c>
      <c r="AU151" s="81"/>
      <c r="AV151" s="81"/>
      <c r="AW151" s="81"/>
      <c r="AX151" s="81"/>
      <c r="AY151" s="81"/>
      <c r="AZ151" s="81"/>
      <c r="BA151" s="81"/>
      <c r="BB151" s="81"/>
      <c r="BC151">
        <v>1</v>
      </c>
      <c r="BD151" s="80" t="str">
        <f>REPLACE(INDEX(GroupVertices[Group],MATCH(Edges25[[#This Row],[Vertex 1]],GroupVertices[Vertex],0)),1,1,"")</f>
        <v>1</v>
      </c>
      <c r="BE151" s="80" t="str">
        <f>REPLACE(INDEX(GroupVertices[Group],MATCH(Edges25[[#This Row],[Vertex 2]],GroupVertices[Vertex],0)),1,1,"")</f>
        <v>1</v>
      </c>
      <c r="BF151" s="48"/>
      <c r="BG151" s="49"/>
      <c r="BH151" s="48"/>
      <c r="BI151" s="49"/>
      <c r="BJ151" s="48"/>
      <c r="BK151" s="49"/>
      <c r="BL151" s="48"/>
      <c r="BM151" s="49"/>
      <c r="BN151" s="48"/>
    </row>
    <row r="152" spans="1:66" ht="15">
      <c r="A152" s="66" t="s">
        <v>473</v>
      </c>
      <c r="B152" s="66" t="s">
        <v>574</v>
      </c>
      <c r="C152" s="67"/>
      <c r="D152" s="68"/>
      <c r="E152" s="69"/>
      <c r="F152" s="70"/>
      <c r="G152" s="67"/>
      <c r="H152" s="71"/>
      <c r="I152" s="72"/>
      <c r="J152" s="72"/>
      <c r="K152" s="34" t="s">
        <v>65</v>
      </c>
      <c r="L152" s="79">
        <v>287</v>
      </c>
      <c r="M152" s="79"/>
      <c r="N152" s="74"/>
      <c r="O152" s="81" t="s">
        <v>587</v>
      </c>
      <c r="P152" s="83">
        <v>44004.9871875</v>
      </c>
      <c r="Q152" s="81" t="s">
        <v>656</v>
      </c>
      <c r="R152" s="84" t="str">
        <f>HYPERLINK("https://twitter.com/i/web/status/1275200758170992640")</f>
        <v>https://twitter.com/i/web/status/1275200758170992640</v>
      </c>
      <c r="S152" s="81" t="s">
        <v>676</v>
      </c>
      <c r="T152" s="81" t="s">
        <v>707</v>
      </c>
      <c r="U152" s="81"/>
      <c r="V152" s="84" t="str">
        <f>HYPERLINK("http://pbs.twimg.com/profile_images/953436802110623744/NK6Q5dVg_normal.jpg")</f>
        <v>http://pbs.twimg.com/profile_images/953436802110623744/NK6Q5dVg_normal.jpg</v>
      </c>
      <c r="W152" s="83">
        <v>44004.9871875</v>
      </c>
      <c r="X152" s="87">
        <v>44004</v>
      </c>
      <c r="Y152" s="89" t="s">
        <v>878</v>
      </c>
      <c r="Z152" s="84" t="str">
        <f>HYPERLINK("https://twitter.com/jornalismodados/status/1275212359267737600")</f>
        <v>https://twitter.com/jornalismodados/status/1275212359267737600</v>
      </c>
      <c r="AA152" s="81"/>
      <c r="AB152" s="81"/>
      <c r="AC152" s="89" t="s">
        <v>1087</v>
      </c>
      <c r="AD152" s="81"/>
      <c r="AE152" s="81" t="b">
        <v>0</v>
      </c>
      <c r="AF152" s="81">
        <v>0</v>
      </c>
      <c r="AG152" s="89" t="s">
        <v>1149</v>
      </c>
      <c r="AH152" s="81" t="b">
        <v>0</v>
      </c>
      <c r="AI152" s="81" t="s">
        <v>1155</v>
      </c>
      <c r="AJ152" s="81"/>
      <c r="AK152" s="89" t="s">
        <v>1149</v>
      </c>
      <c r="AL152" s="81" t="b">
        <v>0</v>
      </c>
      <c r="AM152" s="81">
        <v>0</v>
      </c>
      <c r="AN152" s="89" t="s">
        <v>1149</v>
      </c>
      <c r="AO152" s="81" t="s">
        <v>1180</v>
      </c>
      <c r="AP152" s="81" t="b">
        <v>0</v>
      </c>
      <c r="AQ152" s="89" t="s">
        <v>1087</v>
      </c>
      <c r="AR152" s="81" t="s">
        <v>325</v>
      </c>
      <c r="AS152" s="81">
        <v>0</v>
      </c>
      <c r="AT152" s="81">
        <v>0</v>
      </c>
      <c r="AU152" s="81"/>
      <c r="AV152" s="81"/>
      <c r="AW152" s="81"/>
      <c r="AX152" s="81"/>
      <c r="AY152" s="81"/>
      <c r="AZ152" s="81"/>
      <c r="BA152" s="81"/>
      <c r="BB152" s="81"/>
      <c r="BC152">
        <v>1</v>
      </c>
      <c r="BD152" s="80" t="str">
        <f>REPLACE(INDEX(GroupVertices[Group],MATCH(Edges25[[#This Row],[Vertex 1]],GroupVertices[Vertex],0)),1,1,"")</f>
        <v>1</v>
      </c>
      <c r="BE152" s="80" t="str">
        <f>REPLACE(INDEX(GroupVertices[Group],MATCH(Edges25[[#This Row],[Vertex 2]],GroupVertices[Vertex],0)),1,1,"")</f>
        <v>1</v>
      </c>
      <c r="BF152" s="48"/>
      <c r="BG152" s="49"/>
      <c r="BH152" s="48"/>
      <c r="BI152" s="49"/>
      <c r="BJ152" s="48"/>
      <c r="BK152" s="49"/>
      <c r="BL152" s="48"/>
      <c r="BM152" s="49"/>
      <c r="BN152" s="48"/>
    </row>
    <row r="153" spans="1:66" ht="15">
      <c r="A153" s="66" t="s">
        <v>473</v>
      </c>
      <c r="B153" s="66" t="s">
        <v>576</v>
      </c>
      <c r="C153" s="67"/>
      <c r="D153" s="68"/>
      <c r="E153" s="69"/>
      <c r="F153" s="70"/>
      <c r="G153" s="67"/>
      <c r="H153" s="71"/>
      <c r="I153" s="72"/>
      <c r="J153" s="72"/>
      <c r="K153" s="34" t="s">
        <v>65</v>
      </c>
      <c r="L153" s="79">
        <v>289</v>
      </c>
      <c r="M153" s="79"/>
      <c r="N153" s="74"/>
      <c r="O153" s="81" t="s">
        <v>587</v>
      </c>
      <c r="P153" s="83">
        <v>44005.02885416667</v>
      </c>
      <c r="Q153" s="81" t="s">
        <v>657</v>
      </c>
      <c r="R153" s="84" t="str">
        <f>HYPERLINK("https://twitter.com/i/web/status/1275220479629017088")</f>
        <v>https://twitter.com/i/web/status/1275220479629017088</v>
      </c>
      <c r="S153" s="81" t="s">
        <v>676</v>
      </c>
      <c r="T153" s="81" t="s">
        <v>707</v>
      </c>
      <c r="U153" s="81"/>
      <c r="V153" s="84" t="str">
        <f>HYPERLINK("http://pbs.twimg.com/profile_images/953436802110623744/NK6Q5dVg_normal.jpg")</f>
        <v>http://pbs.twimg.com/profile_images/953436802110623744/NK6Q5dVg_normal.jpg</v>
      </c>
      <c r="W153" s="83">
        <v>44005.02885416667</v>
      </c>
      <c r="X153" s="87">
        <v>44005</v>
      </c>
      <c r="Y153" s="89" t="s">
        <v>879</v>
      </c>
      <c r="Z153" s="84" t="str">
        <f>HYPERLINK("https://twitter.com/jornalismodados/status/1275227458732732416")</f>
        <v>https://twitter.com/jornalismodados/status/1275227458732732416</v>
      </c>
      <c r="AA153" s="81"/>
      <c r="AB153" s="81"/>
      <c r="AC153" s="89" t="s">
        <v>1088</v>
      </c>
      <c r="AD153" s="81"/>
      <c r="AE153" s="81" t="b">
        <v>0</v>
      </c>
      <c r="AF153" s="81">
        <v>0</v>
      </c>
      <c r="AG153" s="89" t="s">
        <v>1149</v>
      </c>
      <c r="AH153" s="81" t="b">
        <v>0</v>
      </c>
      <c r="AI153" s="81" t="s">
        <v>1155</v>
      </c>
      <c r="AJ153" s="81"/>
      <c r="AK153" s="89" t="s">
        <v>1149</v>
      </c>
      <c r="AL153" s="81" t="b">
        <v>0</v>
      </c>
      <c r="AM153" s="81">
        <v>0</v>
      </c>
      <c r="AN153" s="89" t="s">
        <v>1149</v>
      </c>
      <c r="AO153" s="81" t="s">
        <v>1180</v>
      </c>
      <c r="AP153" s="81" t="b">
        <v>0</v>
      </c>
      <c r="AQ153" s="89" t="s">
        <v>1088</v>
      </c>
      <c r="AR153" s="81" t="s">
        <v>325</v>
      </c>
      <c r="AS153" s="81">
        <v>0</v>
      </c>
      <c r="AT153" s="81">
        <v>0</v>
      </c>
      <c r="AU153" s="81"/>
      <c r="AV153" s="81"/>
      <c r="AW153" s="81"/>
      <c r="AX153" s="81"/>
      <c r="AY153" s="81"/>
      <c r="AZ153" s="81"/>
      <c r="BA153" s="81"/>
      <c r="BB153" s="81"/>
      <c r="BC153">
        <v>1</v>
      </c>
      <c r="BD153" s="80" t="str">
        <f>REPLACE(INDEX(GroupVertices[Group],MATCH(Edges25[[#This Row],[Vertex 1]],GroupVertices[Vertex],0)),1,1,"")</f>
        <v>1</v>
      </c>
      <c r="BE153" s="80" t="str">
        <f>REPLACE(INDEX(GroupVertices[Group],MATCH(Edges25[[#This Row],[Vertex 2]],GroupVertices[Vertex],0)),1,1,"")</f>
        <v>1</v>
      </c>
      <c r="BF153" s="48">
        <v>0</v>
      </c>
      <c r="BG153" s="49">
        <v>0</v>
      </c>
      <c r="BH153" s="48">
        <v>0</v>
      </c>
      <c r="BI153" s="49">
        <v>0</v>
      </c>
      <c r="BJ153" s="48">
        <v>0</v>
      </c>
      <c r="BK153" s="49">
        <v>0</v>
      </c>
      <c r="BL153" s="48">
        <v>22</v>
      </c>
      <c r="BM153" s="49">
        <v>100</v>
      </c>
      <c r="BN153" s="48">
        <v>22</v>
      </c>
    </row>
    <row r="154" spans="1:66" ht="15">
      <c r="A154" s="66" t="s">
        <v>473</v>
      </c>
      <c r="B154" s="66" t="s">
        <v>577</v>
      </c>
      <c r="C154" s="67"/>
      <c r="D154" s="68"/>
      <c r="E154" s="69"/>
      <c r="F154" s="70"/>
      <c r="G154" s="67"/>
      <c r="H154" s="71"/>
      <c r="I154" s="72"/>
      <c r="J154" s="72"/>
      <c r="K154" s="34" t="s">
        <v>65</v>
      </c>
      <c r="L154" s="79">
        <v>290</v>
      </c>
      <c r="M154" s="79"/>
      <c r="N154" s="74"/>
      <c r="O154" s="81" t="s">
        <v>587</v>
      </c>
      <c r="P154" s="83">
        <v>44005.07052083333</v>
      </c>
      <c r="Q154" s="81" t="s">
        <v>658</v>
      </c>
      <c r="R154" s="84" t="str">
        <f>HYPERLINK("https://twitter.com/i/web/status/1275240330112221186")</f>
        <v>https://twitter.com/i/web/status/1275240330112221186</v>
      </c>
      <c r="S154" s="81" t="s">
        <v>676</v>
      </c>
      <c r="T154" s="81" t="s">
        <v>707</v>
      </c>
      <c r="U154" s="81"/>
      <c r="V154" s="84" t="str">
        <f>HYPERLINK("http://pbs.twimg.com/profile_images/953436802110623744/NK6Q5dVg_normal.jpg")</f>
        <v>http://pbs.twimg.com/profile_images/953436802110623744/NK6Q5dVg_normal.jpg</v>
      </c>
      <c r="W154" s="83">
        <v>44005.07052083333</v>
      </c>
      <c r="X154" s="87">
        <v>44005</v>
      </c>
      <c r="Y154" s="89" t="s">
        <v>880</v>
      </c>
      <c r="Z154" s="84" t="str">
        <f>HYPERLINK("https://twitter.com/jornalismodados/status/1275242558290112513")</f>
        <v>https://twitter.com/jornalismodados/status/1275242558290112513</v>
      </c>
      <c r="AA154" s="81"/>
      <c r="AB154" s="81"/>
      <c r="AC154" s="89" t="s">
        <v>1089</v>
      </c>
      <c r="AD154" s="81"/>
      <c r="AE154" s="81" t="b">
        <v>0</v>
      </c>
      <c r="AF154" s="81">
        <v>0</v>
      </c>
      <c r="AG154" s="89" t="s">
        <v>1149</v>
      </c>
      <c r="AH154" s="81" t="b">
        <v>0</v>
      </c>
      <c r="AI154" s="81" t="s">
        <v>1155</v>
      </c>
      <c r="AJ154" s="81"/>
      <c r="AK154" s="89" t="s">
        <v>1149</v>
      </c>
      <c r="AL154" s="81" t="b">
        <v>0</v>
      </c>
      <c r="AM154" s="81">
        <v>0</v>
      </c>
      <c r="AN154" s="89" t="s">
        <v>1149</v>
      </c>
      <c r="AO154" s="81" t="s">
        <v>1180</v>
      </c>
      <c r="AP154" s="81" t="b">
        <v>0</v>
      </c>
      <c r="AQ154" s="89" t="s">
        <v>1089</v>
      </c>
      <c r="AR154" s="81" t="s">
        <v>325</v>
      </c>
      <c r="AS154" s="81">
        <v>0</v>
      </c>
      <c r="AT154" s="81">
        <v>0</v>
      </c>
      <c r="AU154" s="81"/>
      <c r="AV154" s="81"/>
      <c r="AW154" s="81"/>
      <c r="AX154" s="81"/>
      <c r="AY154" s="81"/>
      <c r="AZ154" s="81"/>
      <c r="BA154" s="81"/>
      <c r="BB154" s="81"/>
      <c r="BC154">
        <v>1</v>
      </c>
      <c r="BD154" s="80" t="str">
        <f>REPLACE(INDEX(GroupVertices[Group],MATCH(Edges25[[#This Row],[Vertex 1]],GroupVertices[Vertex],0)),1,1,"")</f>
        <v>1</v>
      </c>
      <c r="BE154" s="80" t="str">
        <f>REPLACE(INDEX(GroupVertices[Group],MATCH(Edges25[[#This Row],[Vertex 2]],GroupVertices[Vertex],0)),1,1,"")</f>
        <v>1</v>
      </c>
      <c r="BF154" s="48">
        <v>0</v>
      </c>
      <c r="BG154" s="49">
        <v>0</v>
      </c>
      <c r="BH154" s="48">
        <v>0</v>
      </c>
      <c r="BI154" s="49">
        <v>0</v>
      </c>
      <c r="BJ154" s="48">
        <v>0</v>
      </c>
      <c r="BK154" s="49">
        <v>0</v>
      </c>
      <c r="BL154" s="48">
        <v>28</v>
      </c>
      <c r="BM154" s="49">
        <v>100</v>
      </c>
      <c r="BN154" s="48">
        <v>28</v>
      </c>
    </row>
    <row r="155" spans="1:66" ht="15">
      <c r="A155" s="66" t="s">
        <v>473</v>
      </c>
      <c r="B155" s="66" t="s">
        <v>578</v>
      </c>
      <c r="C155" s="67"/>
      <c r="D155" s="68"/>
      <c r="E155" s="69"/>
      <c r="F155" s="70"/>
      <c r="G155" s="67"/>
      <c r="H155" s="71"/>
      <c r="I155" s="72"/>
      <c r="J155" s="72"/>
      <c r="K155" s="34" t="s">
        <v>65</v>
      </c>
      <c r="L155" s="79">
        <v>291</v>
      </c>
      <c r="M155" s="79"/>
      <c r="N155" s="74"/>
      <c r="O155" s="81" t="s">
        <v>587</v>
      </c>
      <c r="P155" s="83">
        <v>44005.07063657408</v>
      </c>
      <c r="Q155" s="81" t="s">
        <v>659</v>
      </c>
      <c r="R155" s="81"/>
      <c r="S155" s="81"/>
      <c r="T155" s="81" t="s">
        <v>707</v>
      </c>
      <c r="U155" s="81"/>
      <c r="V155" s="84" t="str">
        <f>HYPERLINK("http://pbs.twimg.com/profile_images/953436802110623744/NK6Q5dVg_normal.jpg")</f>
        <v>http://pbs.twimg.com/profile_images/953436802110623744/NK6Q5dVg_normal.jpg</v>
      </c>
      <c r="W155" s="83">
        <v>44005.07063657408</v>
      </c>
      <c r="X155" s="87">
        <v>44005</v>
      </c>
      <c r="Y155" s="89" t="s">
        <v>881</v>
      </c>
      <c r="Z155" s="84" t="str">
        <f>HYPERLINK("https://twitter.com/jornalismodados/status/1275242601734684674")</f>
        <v>https://twitter.com/jornalismodados/status/1275242601734684674</v>
      </c>
      <c r="AA155" s="81"/>
      <c r="AB155" s="81"/>
      <c r="AC155" s="89" t="s">
        <v>1090</v>
      </c>
      <c r="AD155" s="81"/>
      <c r="AE155" s="81" t="b">
        <v>0</v>
      </c>
      <c r="AF155" s="81">
        <v>0</v>
      </c>
      <c r="AG155" s="89" t="s">
        <v>1149</v>
      </c>
      <c r="AH155" s="81" t="b">
        <v>0</v>
      </c>
      <c r="AI155" s="81" t="s">
        <v>1155</v>
      </c>
      <c r="AJ155" s="81"/>
      <c r="AK155" s="89" t="s">
        <v>1149</v>
      </c>
      <c r="AL155" s="81" t="b">
        <v>0</v>
      </c>
      <c r="AM155" s="81">
        <v>0</v>
      </c>
      <c r="AN155" s="89" t="s">
        <v>1149</v>
      </c>
      <c r="AO155" s="81" t="s">
        <v>1180</v>
      </c>
      <c r="AP155" s="81" t="b">
        <v>0</v>
      </c>
      <c r="AQ155" s="89" t="s">
        <v>1090</v>
      </c>
      <c r="AR155" s="81" t="s">
        <v>325</v>
      </c>
      <c r="AS155" s="81">
        <v>0</v>
      </c>
      <c r="AT155" s="81">
        <v>0</v>
      </c>
      <c r="AU155" s="81"/>
      <c r="AV155" s="81"/>
      <c r="AW155" s="81"/>
      <c r="AX155" s="81"/>
      <c r="AY155" s="81"/>
      <c r="AZ155" s="81"/>
      <c r="BA155" s="81"/>
      <c r="BB155" s="81"/>
      <c r="BC155">
        <v>1</v>
      </c>
      <c r="BD155" s="80" t="str">
        <f>REPLACE(INDEX(GroupVertices[Group],MATCH(Edges25[[#This Row],[Vertex 1]],GroupVertices[Vertex],0)),1,1,"")</f>
        <v>1</v>
      </c>
      <c r="BE155" s="80" t="str">
        <f>REPLACE(INDEX(GroupVertices[Group],MATCH(Edges25[[#This Row],[Vertex 2]],GroupVertices[Vertex],0)),1,1,"")</f>
        <v>1</v>
      </c>
      <c r="BF155" s="48">
        <v>0</v>
      </c>
      <c r="BG155" s="49">
        <v>0</v>
      </c>
      <c r="BH155" s="48">
        <v>0</v>
      </c>
      <c r="BI155" s="49">
        <v>0</v>
      </c>
      <c r="BJ155" s="48">
        <v>0</v>
      </c>
      <c r="BK155" s="49">
        <v>0</v>
      </c>
      <c r="BL155" s="48">
        <v>26</v>
      </c>
      <c r="BM155" s="49">
        <v>100</v>
      </c>
      <c r="BN155" s="48">
        <v>26</v>
      </c>
    </row>
    <row r="156" spans="1:66" ht="15">
      <c r="A156" s="66" t="s">
        <v>473</v>
      </c>
      <c r="B156" s="66" t="s">
        <v>567</v>
      </c>
      <c r="C156" s="67"/>
      <c r="D156" s="68"/>
      <c r="E156" s="69"/>
      <c r="F156" s="70"/>
      <c r="G156" s="67"/>
      <c r="H156" s="71"/>
      <c r="I156" s="72"/>
      <c r="J156" s="72"/>
      <c r="K156" s="34" t="s">
        <v>65</v>
      </c>
      <c r="L156" s="79">
        <v>294</v>
      </c>
      <c r="M156" s="79"/>
      <c r="N156" s="74"/>
      <c r="O156" s="81" t="s">
        <v>587</v>
      </c>
      <c r="P156" s="83">
        <v>44004.86231481482</v>
      </c>
      <c r="Q156" s="81" t="s">
        <v>660</v>
      </c>
      <c r="R156" s="84" t="str">
        <f>HYPERLINK("https://twitter.com/i/web/status/1275156603893878784")</f>
        <v>https://twitter.com/i/web/status/1275156603893878784</v>
      </c>
      <c r="S156" s="81" t="s">
        <v>676</v>
      </c>
      <c r="T156" s="81" t="s">
        <v>707</v>
      </c>
      <c r="U156" s="81"/>
      <c r="V156" s="84" t="str">
        <f>HYPERLINK("http://pbs.twimg.com/profile_images/953436802110623744/NK6Q5dVg_normal.jpg")</f>
        <v>http://pbs.twimg.com/profile_images/953436802110623744/NK6Q5dVg_normal.jpg</v>
      </c>
      <c r="W156" s="83">
        <v>44004.86231481482</v>
      </c>
      <c r="X156" s="87">
        <v>44004</v>
      </c>
      <c r="Y156" s="89" t="s">
        <v>882</v>
      </c>
      <c r="Z156" s="84" t="str">
        <f>HYPERLINK("https://twitter.com/jornalismodados/status/1275167106691203073")</f>
        <v>https://twitter.com/jornalismodados/status/1275167106691203073</v>
      </c>
      <c r="AA156" s="81"/>
      <c r="AB156" s="81"/>
      <c r="AC156" s="89" t="s">
        <v>1091</v>
      </c>
      <c r="AD156" s="81"/>
      <c r="AE156" s="81" t="b">
        <v>0</v>
      </c>
      <c r="AF156" s="81">
        <v>0</v>
      </c>
      <c r="AG156" s="89" t="s">
        <v>1149</v>
      </c>
      <c r="AH156" s="81" t="b">
        <v>0</v>
      </c>
      <c r="AI156" s="81" t="s">
        <v>1155</v>
      </c>
      <c r="AJ156" s="81"/>
      <c r="AK156" s="89" t="s">
        <v>1149</v>
      </c>
      <c r="AL156" s="81" t="b">
        <v>0</v>
      </c>
      <c r="AM156" s="81">
        <v>0</v>
      </c>
      <c r="AN156" s="89" t="s">
        <v>1149</v>
      </c>
      <c r="AO156" s="81" t="s">
        <v>1180</v>
      </c>
      <c r="AP156" s="81" t="b">
        <v>0</v>
      </c>
      <c r="AQ156" s="89" t="s">
        <v>1091</v>
      </c>
      <c r="AR156" s="81" t="s">
        <v>325</v>
      </c>
      <c r="AS156" s="81">
        <v>0</v>
      </c>
      <c r="AT156" s="81">
        <v>0</v>
      </c>
      <c r="AU156" s="81"/>
      <c r="AV156" s="81"/>
      <c r="AW156" s="81"/>
      <c r="AX156" s="81"/>
      <c r="AY156" s="81"/>
      <c r="AZ156" s="81"/>
      <c r="BA156" s="81"/>
      <c r="BB156" s="81"/>
      <c r="BC156">
        <v>10</v>
      </c>
      <c r="BD156" s="80" t="str">
        <f>REPLACE(INDEX(GroupVertices[Group],MATCH(Edges25[[#This Row],[Vertex 1]],GroupVertices[Vertex],0)),1,1,"")</f>
        <v>1</v>
      </c>
      <c r="BE156" s="80" t="str">
        <f>REPLACE(INDEX(GroupVertices[Group],MATCH(Edges25[[#This Row],[Vertex 2]],GroupVertices[Vertex],0)),1,1,"")</f>
        <v>1</v>
      </c>
      <c r="BF156" s="48"/>
      <c r="BG156" s="49"/>
      <c r="BH156" s="48"/>
      <c r="BI156" s="49"/>
      <c r="BJ156" s="48"/>
      <c r="BK156" s="49"/>
      <c r="BL156" s="48"/>
      <c r="BM156" s="49"/>
      <c r="BN156" s="48"/>
    </row>
    <row r="157" spans="1:66" ht="15">
      <c r="A157" s="66" t="s">
        <v>473</v>
      </c>
      <c r="B157" s="66" t="s">
        <v>567</v>
      </c>
      <c r="C157" s="67"/>
      <c r="D157" s="68"/>
      <c r="E157" s="69"/>
      <c r="F157" s="70"/>
      <c r="G157" s="67"/>
      <c r="H157" s="71"/>
      <c r="I157" s="72"/>
      <c r="J157" s="72"/>
      <c r="K157" s="34" t="s">
        <v>65</v>
      </c>
      <c r="L157" s="79">
        <v>298</v>
      </c>
      <c r="M157" s="79"/>
      <c r="N157" s="74"/>
      <c r="O157" s="81" t="s">
        <v>587</v>
      </c>
      <c r="P157" s="83">
        <v>44004.9040625</v>
      </c>
      <c r="Q157" s="81" t="s">
        <v>661</v>
      </c>
      <c r="R157" s="84" t="str">
        <f>HYPERLINK("https://twitter.com/i/web/status/1275171088985661441")</f>
        <v>https://twitter.com/i/web/status/1275171088985661441</v>
      </c>
      <c r="S157" s="81" t="s">
        <v>676</v>
      </c>
      <c r="T157" s="81" t="s">
        <v>707</v>
      </c>
      <c r="U157" s="81"/>
      <c r="V157" s="84" t="str">
        <f>HYPERLINK("http://pbs.twimg.com/profile_images/953436802110623744/NK6Q5dVg_normal.jpg")</f>
        <v>http://pbs.twimg.com/profile_images/953436802110623744/NK6Q5dVg_normal.jpg</v>
      </c>
      <c r="W157" s="83">
        <v>44004.9040625</v>
      </c>
      <c r="X157" s="87">
        <v>44004</v>
      </c>
      <c r="Y157" s="89" t="s">
        <v>883</v>
      </c>
      <c r="Z157" s="84" t="str">
        <f>HYPERLINK("https://twitter.com/jornalismodados/status/1275182236204175363")</f>
        <v>https://twitter.com/jornalismodados/status/1275182236204175363</v>
      </c>
      <c r="AA157" s="81"/>
      <c r="AB157" s="81"/>
      <c r="AC157" s="89" t="s">
        <v>1092</v>
      </c>
      <c r="AD157" s="81"/>
      <c r="AE157" s="81" t="b">
        <v>0</v>
      </c>
      <c r="AF157" s="81">
        <v>0</v>
      </c>
      <c r="AG157" s="89" t="s">
        <v>1149</v>
      </c>
      <c r="AH157" s="81" t="b">
        <v>0</v>
      </c>
      <c r="AI157" s="81" t="s">
        <v>1155</v>
      </c>
      <c r="AJ157" s="81"/>
      <c r="AK157" s="89" t="s">
        <v>1149</v>
      </c>
      <c r="AL157" s="81" t="b">
        <v>0</v>
      </c>
      <c r="AM157" s="81">
        <v>0</v>
      </c>
      <c r="AN157" s="89" t="s">
        <v>1149</v>
      </c>
      <c r="AO157" s="81" t="s">
        <v>1180</v>
      </c>
      <c r="AP157" s="81" t="b">
        <v>0</v>
      </c>
      <c r="AQ157" s="89" t="s">
        <v>1092</v>
      </c>
      <c r="AR157" s="81" t="s">
        <v>325</v>
      </c>
      <c r="AS157" s="81">
        <v>0</v>
      </c>
      <c r="AT157" s="81">
        <v>0</v>
      </c>
      <c r="AU157" s="81"/>
      <c r="AV157" s="81"/>
      <c r="AW157" s="81"/>
      <c r="AX157" s="81"/>
      <c r="AY157" s="81"/>
      <c r="AZ157" s="81"/>
      <c r="BA157" s="81"/>
      <c r="BB157" s="81"/>
      <c r="BC157">
        <v>10</v>
      </c>
      <c r="BD157" s="80" t="str">
        <f>REPLACE(INDEX(GroupVertices[Group],MATCH(Edges25[[#This Row],[Vertex 1]],GroupVertices[Vertex],0)),1,1,"")</f>
        <v>1</v>
      </c>
      <c r="BE157" s="80" t="str">
        <f>REPLACE(INDEX(GroupVertices[Group],MATCH(Edges25[[#This Row],[Vertex 2]],GroupVertices[Vertex],0)),1,1,"")</f>
        <v>1</v>
      </c>
      <c r="BF157" s="48">
        <v>0</v>
      </c>
      <c r="BG157" s="49">
        <v>0</v>
      </c>
      <c r="BH157" s="48">
        <v>0</v>
      </c>
      <c r="BI157" s="49">
        <v>0</v>
      </c>
      <c r="BJ157" s="48">
        <v>0</v>
      </c>
      <c r="BK157" s="49">
        <v>0</v>
      </c>
      <c r="BL157" s="48">
        <v>26</v>
      </c>
      <c r="BM157" s="49">
        <v>100</v>
      </c>
      <c r="BN157" s="48">
        <v>26</v>
      </c>
    </row>
    <row r="158" spans="1:66" ht="15">
      <c r="A158" s="66" t="s">
        <v>473</v>
      </c>
      <c r="B158" s="66" t="s">
        <v>567</v>
      </c>
      <c r="C158" s="67"/>
      <c r="D158" s="68"/>
      <c r="E158" s="69"/>
      <c r="F158" s="70"/>
      <c r="G158" s="67"/>
      <c r="H158" s="71"/>
      <c r="I158" s="72"/>
      <c r="J158" s="72"/>
      <c r="K158" s="34" t="s">
        <v>65</v>
      </c>
      <c r="L158" s="79">
        <v>301</v>
      </c>
      <c r="M158" s="79"/>
      <c r="N158" s="74"/>
      <c r="O158" s="81" t="s">
        <v>587</v>
      </c>
      <c r="P158" s="83">
        <v>44005.1121875</v>
      </c>
      <c r="Q158" s="81" t="s">
        <v>662</v>
      </c>
      <c r="R158" s="81"/>
      <c r="S158" s="81"/>
      <c r="T158" s="81" t="s">
        <v>707</v>
      </c>
      <c r="U158" s="81"/>
      <c r="V158" s="84" t="str">
        <f>HYPERLINK("http://pbs.twimg.com/profile_images/953436802110623744/NK6Q5dVg_normal.jpg")</f>
        <v>http://pbs.twimg.com/profile_images/953436802110623744/NK6Q5dVg_normal.jpg</v>
      </c>
      <c r="W158" s="83">
        <v>44005.1121875</v>
      </c>
      <c r="X158" s="87">
        <v>44005</v>
      </c>
      <c r="Y158" s="89" t="s">
        <v>841</v>
      </c>
      <c r="Z158" s="84" t="str">
        <f>HYPERLINK("https://twitter.com/jornalismodados/status/1275257656954011650")</f>
        <v>https://twitter.com/jornalismodados/status/1275257656954011650</v>
      </c>
      <c r="AA158" s="81"/>
      <c r="AB158" s="81"/>
      <c r="AC158" s="89" t="s">
        <v>1093</v>
      </c>
      <c r="AD158" s="81"/>
      <c r="AE158" s="81" t="b">
        <v>0</v>
      </c>
      <c r="AF158" s="81">
        <v>0</v>
      </c>
      <c r="AG158" s="89" t="s">
        <v>1149</v>
      </c>
      <c r="AH158" s="81" t="b">
        <v>0</v>
      </c>
      <c r="AI158" s="81" t="s">
        <v>1155</v>
      </c>
      <c r="AJ158" s="81"/>
      <c r="AK158" s="89" t="s">
        <v>1149</v>
      </c>
      <c r="AL158" s="81" t="b">
        <v>0</v>
      </c>
      <c r="AM158" s="81">
        <v>0</v>
      </c>
      <c r="AN158" s="89" t="s">
        <v>1149</v>
      </c>
      <c r="AO158" s="81" t="s">
        <v>1180</v>
      </c>
      <c r="AP158" s="81" t="b">
        <v>0</v>
      </c>
      <c r="AQ158" s="89" t="s">
        <v>1093</v>
      </c>
      <c r="AR158" s="81" t="s">
        <v>325</v>
      </c>
      <c r="AS158" s="81">
        <v>0</v>
      </c>
      <c r="AT158" s="81">
        <v>0</v>
      </c>
      <c r="AU158" s="81"/>
      <c r="AV158" s="81"/>
      <c r="AW158" s="81"/>
      <c r="AX158" s="81"/>
      <c r="AY158" s="81"/>
      <c r="AZ158" s="81"/>
      <c r="BA158" s="81"/>
      <c r="BB158" s="81"/>
      <c r="BC158">
        <v>10</v>
      </c>
      <c r="BD158" s="80" t="str">
        <f>REPLACE(INDEX(GroupVertices[Group],MATCH(Edges25[[#This Row],[Vertex 1]],GroupVertices[Vertex],0)),1,1,"")</f>
        <v>1</v>
      </c>
      <c r="BE158" s="80" t="str">
        <f>REPLACE(INDEX(GroupVertices[Group],MATCH(Edges25[[#This Row],[Vertex 2]],GroupVertices[Vertex],0)),1,1,"")</f>
        <v>1</v>
      </c>
      <c r="BF158" s="48"/>
      <c r="BG158" s="49"/>
      <c r="BH158" s="48"/>
      <c r="BI158" s="49"/>
      <c r="BJ158" s="48"/>
      <c r="BK158" s="49"/>
      <c r="BL158" s="48"/>
      <c r="BM158" s="49"/>
      <c r="BN158" s="48"/>
    </row>
    <row r="159" spans="1:66" ht="15">
      <c r="A159" s="66" t="s">
        <v>475</v>
      </c>
      <c r="B159" s="66" t="s">
        <v>475</v>
      </c>
      <c r="C159" s="67"/>
      <c r="D159" s="68"/>
      <c r="E159" s="69"/>
      <c r="F159" s="70"/>
      <c r="G159" s="67"/>
      <c r="H159" s="71"/>
      <c r="I159" s="72"/>
      <c r="J159" s="72"/>
      <c r="K159" s="34" t="s">
        <v>65</v>
      </c>
      <c r="L159" s="79">
        <v>302</v>
      </c>
      <c r="M159" s="79"/>
      <c r="N159" s="74"/>
      <c r="O159" s="81" t="s">
        <v>325</v>
      </c>
      <c r="P159" s="83">
        <v>44004.853159722225</v>
      </c>
      <c r="Q159" s="81" t="s">
        <v>614</v>
      </c>
      <c r="R159" s="84" t="str">
        <f>HYPERLINK("https://twitter.com/_fiquemsabendo/status/1275156603893878784")</f>
        <v>https://twitter.com/_fiquemsabendo/status/1275156603893878784</v>
      </c>
      <c r="S159" s="81" t="s">
        <v>676</v>
      </c>
      <c r="T159" s="81" t="s">
        <v>712</v>
      </c>
      <c r="U159" s="81"/>
      <c r="V159" s="84" t="str">
        <f>HYPERLINK("http://pbs.twimg.com/profile_images/1097946134570512389/5lPBEHxc_normal.jpg")</f>
        <v>http://pbs.twimg.com/profile_images/1097946134570512389/5lPBEHxc_normal.jpg</v>
      </c>
      <c r="W159" s="83">
        <v>44004.853159722225</v>
      </c>
      <c r="X159" s="87">
        <v>44004</v>
      </c>
      <c r="Y159" s="89" t="s">
        <v>884</v>
      </c>
      <c r="Z159" s="84" t="str">
        <f>HYPERLINK("https://twitter.com/marilia_gehrke/status/1275163788178796544")</f>
        <v>https://twitter.com/marilia_gehrke/status/1275163788178796544</v>
      </c>
      <c r="AA159" s="81"/>
      <c r="AB159" s="81"/>
      <c r="AC159" s="89" t="s">
        <v>1094</v>
      </c>
      <c r="AD159" s="81"/>
      <c r="AE159" s="81" t="b">
        <v>0</v>
      </c>
      <c r="AF159" s="81">
        <v>17</v>
      </c>
      <c r="AG159" s="89" t="s">
        <v>1149</v>
      </c>
      <c r="AH159" s="81" t="b">
        <v>1</v>
      </c>
      <c r="AI159" s="81" t="s">
        <v>1155</v>
      </c>
      <c r="AJ159" s="81"/>
      <c r="AK159" s="89" t="s">
        <v>1161</v>
      </c>
      <c r="AL159" s="81" t="b">
        <v>0</v>
      </c>
      <c r="AM159" s="81">
        <v>2</v>
      </c>
      <c r="AN159" s="89" t="s">
        <v>1149</v>
      </c>
      <c r="AO159" s="81" t="s">
        <v>1165</v>
      </c>
      <c r="AP159" s="81" t="b">
        <v>0</v>
      </c>
      <c r="AQ159" s="89" t="s">
        <v>1094</v>
      </c>
      <c r="AR159" s="81" t="s">
        <v>325</v>
      </c>
      <c r="AS159" s="81">
        <v>0</v>
      </c>
      <c r="AT159" s="81">
        <v>0</v>
      </c>
      <c r="AU159" s="81"/>
      <c r="AV159" s="81"/>
      <c r="AW159" s="81"/>
      <c r="AX159" s="81"/>
      <c r="AY159" s="81"/>
      <c r="AZ159" s="81"/>
      <c r="BA159" s="81"/>
      <c r="BB159" s="81"/>
      <c r="BC159">
        <v>1</v>
      </c>
      <c r="BD159" s="80" t="str">
        <f>REPLACE(INDEX(GroupVertices[Group],MATCH(Edges25[[#This Row],[Vertex 1]],GroupVertices[Vertex],0)),1,1,"")</f>
        <v>1</v>
      </c>
      <c r="BE159" s="80" t="str">
        <f>REPLACE(INDEX(GroupVertices[Group],MATCH(Edges25[[#This Row],[Vertex 2]],GroupVertices[Vertex],0)),1,1,"")</f>
        <v>1</v>
      </c>
      <c r="BF159" s="48">
        <v>0</v>
      </c>
      <c r="BG159" s="49">
        <v>0</v>
      </c>
      <c r="BH159" s="48">
        <v>0</v>
      </c>
      <c r="BI159" s="49">
        <v>0</v>
      </c>
      <c r="BJ159" s="48">
        <v>0</v>
      </c>
      <c r="BK159" s="49">
        <v>0</v>
      </c>
      <c r="BL159" s="48">
        <v>5</v>
      </c>
      <c r="BM159" s="49">
        <v>100</v>
      </c>
      <c r="BN159" s="48">
        <v>5</v>
      </c>
    </row>
    <row r="160" spans="1:66" ht="15">
      <c r="A160" s="66" t="s">
        <v>473</v>
      </c>
      <c r="B160" s="66" t="s">
        <v>569</v>
      </c>
      <c r="C160" s="67"/>
      <c r="D160" s="68"/>
      <c r="E160" s="69"/>
      <c r="F160" s="70"/>
      <c r="G160" s="67"/>
      <c r="H160" s="71"/>
      <c r="I160" s="72"/>
      <c r="J160" s="72"/>
      <c r="K160" s="34" t="s">
        <v>65</v>
      </c>
      <c r="L160" s="79">
        <v>324</v>
      </c>
      <c r="M160" s="79"/>
      <c r="N160" s="74"/>
      <c r="O160" s="81" t="s">
        <v>587</v>
      </c>
      <c r="P160" s="83">
        <v>44005.15384259259</v>
      </c>
      <c r="Q160" s="81" t="s">
        <v>663</v>
      </c>
      <c r="R160" s="84" t="str">
        <f>HYPERLINK("https://twitter.com/i/web/status/1275260122881802240")</f>
        <v>https://twitter.com/i/web/status/1275260122881802240</v>
      </c>
      <c r="S160" s="81" t="s">
        <v>676</v>
      </c>
      <c r="T160" s="81" t="s">
        <v>720</v>
      </c>
      <c r="U160" s="81"/>
      <c r="V160" s="84" t="str">
        <f>HYPERLINK("http://pbs.twimg.com/profile_images/953436802110623744/NK6Q5dVg_normal.jpg")</f>
        <v>http://pbs.twimg.com/profile_images/953436802110623744/NK6Q5dVg_normal.jpg</v>
      </c>
      <c r="W160" s="83">
        <v>44005.15384259259</v>
      </c>
      <c r="X160" s="87">
        <v>44005</v>
      </c>
      <c r="Y160" s="89" t="s">
        <v>885</v>
      </c>
      <c r="Z160" s="84" t="str">
        <f>HYPERLINK("https://twitter.com/jornalismodados/status/1275272755219443713")</f>
        <v>https://twitter.com/jornalismodados/status/1275272755219443713</v>
      </c>
      <c r="AA160" s="81"/>
      <c r="AB160" s="81"/>
      <c r="AC160" s="89" t="s">
        <v>1095</v>
      </c>
      <c r="AD160" s="81"/>
      <c r="AE160" s="81" t="b">
        <v>0</v>
      </c>
      <c r="AF160" s="81">
        <v>0</v>
      </c>
      <c r="AG160" s="89" t="s">
        <v>1149</v>
      </c>
      <c r="AH160" s="81" t="b">
        <v>0</v>
      </c>
      <c r="AI160" s="81" t="s">
        <v>1155</v>
      </c>
      <c r="AJ160" s="81"/>
      <c r="AK160" s="89" t="s">
        <v>1149</v>
      </c>
      <c r="AL160" s="81" t="b">
        <v>0</v>
      </c>
      <c r="AM160" s="81">
        <v>0</v>
      </c>
      <c r="AN160" s="89" t="s">
        <v>1149</v>
      </c>
      <c r="AO160" s="81" t="s">
        <v>1180</v>
      </c>
      <c r="AP160" s="81" t="b">
        <v>0</v>
      </c>
      <c r="AQ160" s="89" t="s">
        <v>1095</v>
      </c>
      <c r="AR160" s="81" t="s">
        <v>325</v>
      </c>
      <c r="AS160" s="81">
        <v>0</v>
      </c>
      <c r="AT160" s="81">
        <v>0</v>
      </c>
      <c r="AU160" s="81"/>
      <c r="AV160" s="81"/>
      <c r="AW160" s="81"/>
      <c r="AX160" s="81"/>
      <c r="AY160" s="81"/>
      <c r="AZ160" s="81"/>
      <c r="BA160" s="81"/>
      <c r="BB160" s="81"/>
      <c r="BC160">
        <v>8</v>
      </c>
      <c r="BD160" s="80" t="str">
        <f>REPLACE(INDEX(GroupVertices[Group],MATCH(Edges25[[#This Row],[Vertex 1]],GroupVertices[Vertex],0)),1,1,"")</f>
        <v>1</v>
      </c>
      <c r="BE160" s="80" t="str">
        <f>REPLACE(INDEX(GroupVertices[Group],MATCH(Edges25[[#This Row],[Vertex 2]],GroupVertices[Vertex],0)),1,1,"")</f>
        <v>1</v>
      </c>
      <c r="BF160" s="48"/>
      <c r="BG160" s="49"/>
      <c r="BH160" s="48"/>
      <c r="BI160" s="49"/>
      <c r="BJ160" s="48"/>
      <c r="BK160" s="49"/>
      <c r="BL160" s="48"/>
      <c r="BM160" s="49"/>
      <c r="BN160" s="48"/>
    </row>
    <row r="161" spans="1:66" ht="15">
      <c r="A161" s="66" t="s">
        <v>476</v>
      </c>
      <c r="B161" s="66" t="s">
        <v>534</v>
      </c>
      <c r="C161" s="67"/>
      <c r="D161" s="68"/>
      <c r="E161" s="69"/>
      <c r="F161" s="70"/>
      <c r="G161" s="67"/>
      <c r="H161" s="71"/>
      <c r="I161" s="72"/>
      <c r="J161" s="72"/>
      <c r="K161" s="34" t="s">
        <v>65</v>
      </c>
      <c r="L161" s="79">
        <v>326</v>
      </c>
      <c r="M161" s="79"/>
      <c r="N161" s="74"/>
      <c r="O161" s="81" t="s">
        <v>588</v>
      </c>
      <c r="P161" s="83">
        <v>44005.15825231482</v>
      </c>
      <c r="Q161" s="81" t="s">
        <v>611</v>
      </c>
      <c r="R161" s="81"/>
      <c r="S161" s="81"/>
      <c r="T161" s="81" t="s">
        <v>711</v>
      </c>
      <c r="U161" s="81"/>
      <c r="V161" s="84" t="str">
        <f>HYPERLINK("http://pbs.twimg.com/profile_images/870835366672171009/tQ1b0Q8Q_normal.jpg")</f>
        <v>http://pbs.twimg.com/profile_images/870835366672171009/tQ1b0Q8Q_normal.jpg</v>
      </c>
      <c r="W161" s="83">
        <v>44005.15825231482</v>
      </c>
      <c r="X161" s="87">
        <v>44005</v>
      </c>
      <c r="Y161" s="89" t="s">
        <v>886</v>
      </c>
      <c r="Z161" s="84" t="str">
        <f>HYPERLINK("https://twitter.com/paulmenam/status/1275274350422351872")</f>
        <v>https://twitter.com/paulmenam/status/1275274350422351872</v>
      </c>
      <c r="AA161" s="81"/>
      <c r="AB161" s="81"/>
      <c r="AC161" s="89" t="s">
        <v>1096</v>
      </c>
      <c r="AD161" s="81"/>
      <c r="AE161" s="81" t="b">
        <v>0</v>
      </c>
      <c r="AF161" s="81">
        <v>0</v>
      </c>
      <c r="AG161" s="89" t="s">
        <v>1149</v>
      </c>
      <c r="AH161" s="81" t="b">
        <v>0</v>
      </c>
      <c r="AI161" s="81" t="s">
        <v>1150</v>
      </c>
      <c r="AJ161" s="81"/>
      <c r="AK161" s="89" t="s">
        <v>1149</v>
      </c>
      <c r="AL161" s="81" t="b">
        <v>0</v>
      </c>
      <c r="AM161" s="81">
        <v>23</v>
      </c>
      <c r="AN161" s="89" t="s">
        <v>1139</v>
      </c>
      <c r="AO161" s="81" t="s">
        <v>1172</v>
      </c>
      <c r="AP161" s="81" t="b">
        <v>0</v>
      </c>
      <c r="AQ161" s="89" t="s">
        <v>1139</v>
      </c>
      <c r="AR161" s="81" t="s">
        <v>325</v>
      </c>
      <c r="AS161" s="81">
        <v>0</v>
      </c>
      <c r="AT161" s="81">
        <v>0</v>
      </c>
      <c r="AU161" s="81"/>
      <c r="AV161" s="81"/>
      <c r="AW161" s="81"/>
      <c r="AX161" s="81"/>
      <c r="AY161" s="81"/>
      <c r="AZ161" s="81"/>
      <c r="BA161" s="81"/>
      <c r="BB161" s="81"/>
      <c r="BC161">
        <v>1</v>
      </c>
      <c r="BD161" s="80" t="str">
        <f>REPLACE(INDEX(GroupVertices[Group],MATCH(Edges25[[#This Row],[Vertex 1]],GroupVertices[Vertex],0)),1,1,"")</f>
        <v>4</v>
      </c>
      <c r="BE161" s="80" t="str">
        <f>REPLACE(INDEX(GroupVertices[Group],MATCH(Edges25[[#This Row],[Vertex 2]],GroupVertices[Vertex],0)),1,1,"")</f>
        <v>4</v>
      </c>
      <c r="BF161" s="48"/>
      <c r="BG161" s="49"/>
      <c r="BH161" s="48"/>
      <c r="BI161" s="49"/>
      <c r="BJ161" s="48"/>
      <c r="BK161" s="49"/>
      <c r="BL161" s="48"/>
      <c r="BM161" s="49"/>
      <c r="BN161" s="48"/>
    </row>
    <row r="162" spans="1:66" ht="15">
      <c r="A162" s="66" t="s">
        <v>477</v>
      </c>
      <c r="B162" s="66" t="s">
        <v>534</v>
      </c>
      <c r="C162" s="67"/>
      <c r="D162" s="68"/>
      <c r="E162" s="69"/>
      <c r="F162" s="70"/>
      <c r="G162" s="67"/>
      <c r="H162" s="71"/>
      <c r="I162" s="72"/>
      <c r="J162" s="72"/>
      <c r="K162" s="34" t="s">
        <v>65</v>
      </c>
      <c r="L162" s="79">
        <v>328</v>
      </c>
      <c r="M162" s="79"/>
      <c r="N162" s="74"/>
      <c r="O162" s="81" t="s">
        <v>588</v>
      </c>
      <c r="P162" s="83">
        <v>44005.1887037037</v>
      </c>
      <c r="Q162" s="81" t="s">
        <v>611</v>
      </c>
      <c r="R162" s="81"/>
      <c r="S162" s="81"/>
      <c r="T162" s="81" t="s">
        <v>711</v>
      </c>
      <c r="U162" s="81"/>
      <c r="V162" s="84" t="str">
        <f>HYPERLINK("http://pbs.twimg.com/profile_images/1253014874658967554/34xpMWEE_normal.jpg")</f>
        <v>http://pbs.twimg.com/profile_images/1253014874658967554/34xpMWEE_normal.jpg</v>
      </c>
      <c r="W162" s="83">
        <v>44005.1887037037</v>
      </c>
      <c r="X162" s="87">
        <v>44005</v>
      </c>
      <c r="Y162" s="89" t="s">
        <v>887</v>
      </c>
      <c r="Z162" s="84" t="str">
        <f>HYPERLINK("https://twitter.com/jishnuen/status/1275285384876843010")</f>
        <v>https://twitter.com/jishnuen/status/1275285384876843010</v>
      </c>
      <c r="AA162" s="81"/>
      <c r="AB162" s="81"/>
      <c r="AC162" s="89" t="s">
        <v>1097</v>
      </c>
      <c r="AD162" s="81"/>
      <c r="AE162" s="81" t="b">
        <v>0</v>
      </c>
      <c r="AF162" s="81">
        <v>0</v>
      </c>
      <c r="AG162" s="89" t="s">
        <v>1149</v>
      </c>
      <c r="AH162" s="81" t="b">
        <v>0</v>
      </c>
      <c r="AI162" s="81" t="s">
        <v>1150</v>
      </c>
      <c r="AJ162" s="81"/>
      <c r="AK162" s="89" t="s">
        <v>1149</v>
      </c>
      <c r="AL162" s="81" t="b">
        <v>0</v>
      </c>
      <c r="AM162" s="81">
        <v>23</v>
      </c>
      <c r="AN162" s="89" t="s">
        <v>1139</v>
      </c>
      <c r="AO162" s="81" t="s">
        <v>1165</v>
      </c>
      <c r="AP162" s="81" t="b">
        <v>0</v>
      </c>
      <c r="AQ162" s="89" t="s">
        <v>1139</v>
      </c>
      <c r="AR162" s="81" t="s">
        <v>325</v>
      </c>
      <c r="AS162" s="81">
        <v>0</v>
      </c>
      <c r="AT162" s="81">
        <v>0</v>
      </c>
      <c r="AU162" s="81"/>
      <c r="AV162" s="81"/>
      <c r="AW162" s="81"/>
      <c r="AX162" s="81"/>
      <c r="AY162" s="81"/>
      <c r="AZ162" s="81"/>
      <c r="BA162" s="81"/>
      <c r="BB162" s="81"/>
      <c r="BC162">
        <v>1</v>
      </c>
      <c r="BD162" s="80" t="str">
        <f>REPLACE(INDEX(GroupVertices[Group],MATCH(Edges25[[#This Row],[Vertex 1]],GroupVertices[Vertex],0)),1,1,"")</f>
        <v>4</v>
      </c>
      <c r="BE162" s="80" t="str">
        <f>REPLACE(INDEX(GroupVertices[Group],MATCH(Edges25[[#This Row],[Vertex 2]],GroupVertices[Vertex],0)),1,1,"")</f>
        <v>4</v>
      </c>
      <c r="BF162" s="48"/>
      <c r="BG162" s="49"/>
      <c r="BH162" s="48"/>
      <c r="BI162" s="49"/>
      <c r="BJ162" s="48"/>
      <c r="BK162" s="49"/>
      <c r="BL162" s="48"/>
      <c r="BM162" s="49"/>
      <c r="BN162" s="48"/>
    </row>
    <row r="163" spans="1:66" ht="15">
      <c r="A163" s="66" t="s">
        <v>478</v>
      </c>
      <c r="B163" s="66" t="s">
        <v>534</v>
      </c>
      <c r="C163" s="67"/>
      <c r="D163" s="68"/>
      <c r="E163" s="69"/>
      <c r="F163" s="70"/>
      <c r="G163" s="67"/>
      <c r="H163" s="71"/>
      <c r="I163" s="72"/>
      <c r="J163" s="72"/>
      <c r="K163" s="34" t="s">
        <v>65</v>
      </c>
      <c r="L163" s="79">
        <v>330</v>
      </c>
      <c r="M163" s="79"/>
      <c r="N163" s="74"/>
      <c r="O163" s="81" t="s">
        <v>588</v>
      </c>
      <c r="P163" s="83">
        <v>44005.188935185186</v>
      </c>
      <c r="Q163" s="81" t="s">
        <v>611</v>
      </c>
      <c r="R163" s="81"/>
      <c r="S163" s="81"/>
      <c r="T163" s="81" t="s">
        <v>711</v>
      </c>
      <c r="U163" s="81"/>
      <c r="V163" s="84" t="str">
        <f>HYPERLINK("http://pbs.twimg.com/profile_images/1118940255237885955/MqZIDexM_normal.jpg")</f>
        <v>http://pbs.twimg.com/profile_images/1118940255237885955/MqZIDexM_normal.jpg</v>
      </c>
      <c r="W163" s="83">
        <v>44005.188935185186</v>
      </c>
      <c r="X163" s="87">
        <v>44005</v>
      </c>
      <c r="Y163" s="89" t="s">
        <v>888</v>
      </c>
      <c r="Z163" s="84" t="str">
        <f>HYPERLINK("https://twitter.com/lilliefears/status/1275285470461771776")</f>
        <v>https://twitter.com/lilliefears/status/1275285470461771776</v>
      </c>
      <c r="AA163" s="81"/>
      <c r="AB163" s="81"/>
      <c r="AC163" s="89" t="s">
        <v>1098</v>
      </c>
      <c r="AD163" s="81"/>
      <c r="AE163" s="81" t="b">
        <v>0</v>
      </c>
      <c r="AF163" s="81">
        <v>0</v>
      </c>
      <c r="AG163" s="89" t="s">
        <v>1149</v>
      </c>
      <c r="AH163" s="81" t="b">
        <v>0</v>
      </c>
      <c r="AI163" s="81" t="s">
        <v>1150</v>
      </c>
      <c r="AJ163" s="81"/>
      <c r="AK163" s="89" t="s">
        <v>1149</v>
      </c>
      <c r="AL163" s="81" t="b">
        <v>0</v>
      </c>
      <c r="AM163" s="81">
        <v>23</v>
      </c>
      <c r="AN163" s="89" t="s">
        <v>1139</v>
      </c>
      <c r="AO163" s="81" t="s">
        <v>1172</v>
      </c>
      <c r="AP163" s="81" t="b">
        <v>0</v>
      </c>
      <c r="AQ163" s="89" t="s">
        <v>1139</v>
      </c>
      <c r="AR163" s="81" t="s">
        <v>325</v>
      </c>
      <c r="AS163" s="81">
        <v>0</v>
      </c>
      <c r="AT163" s="81">
        <v>0</v>
      </c>
      <c r="AU163" s="81"/>
      <c r="AV163" s="81"/>
      <c r="AW163" s="81"/>
      <c r="AX163" s="81"/>
      <c r="AY163" s="81"/>
      <c r="AZ163" s="81"/>
      <c r="BA163" s="81"/>
      <c r="BB163" s="81"/>
      <c r="BC163">
        <v>1</v>
      </c>
      <c r="BD163" s="80" t="str">
        <f>REPLACE(INDEX(GroupVertices[Group],MATCH(Edges25[[#This Row],[Vertex 1]],GroupVertices[Vertex],0)),1,1,"")</f>
        <v>4</v>
      </c>
      <c r="BE163" s="80" t="str">
        <f>REPLACE(INDEX(GroupVertices[Group],MATCH(Edges25[[#This Row],[Vertex 2]],GroupVertices[Vertex],0)),1,1,"")</f>
        <v>4</v>
      </c>
      <c r="BF163" s="48"/>
      <c r="BG163" s="49"/>
      <c r="BH163" s="48"/>
      <c r="BI163" s="49"/>
      <c r="BJ163" s="48"/>
      <c r="BK163" s="49"/>
      <c r="BL163" s="48"/>
      <c r="BM163" s="49"/>
      <c r="BN163" s="48"/>
    </row>
    <row r="164" spans="1:66" ht="15">
      <c r="A164" s="66" t="s">
        <v>479</v>
      </c>
      <c r="B164" s="66" t="s">
        <v>534</v>
      </c>
      <c r="C164" s="67"/>
      <c r="D164" s="68"/>
      <c r="E164" s="69"/>
      <c r="F164" s="70"/>
      <c r="G164" s="67"/>
      <c r="H164" s="71"/>
      <c r="I164" s="72"/>
      <c r="J164" s="72"/>
      <c r="K164" s="34" t="s">
        <v>65</v>
      </c>
      <c r="L164" s="79">
        <v>332</v>
      </c>
      <c r="M164" s="79"/>
      <c r="N164" s="74"/>
      <c r="O164" s="81" t="s">
        <v>588</v>
      </c>
      <c r="P164" s="83">
        <v>44005.22483796296</v>
      </c>
      <c r="Q164" s="81" t="s">
        <v>611</v>
      </c>
      <c r="R164" s="81"/>
      <c r="S164" s="81"/>
      <c r="T164" s="81" t="s">
        <v>711</v>
      </c>
      <c r="U164" s="81"/>
      <c r="V164" s="84" t="str">
        <f>HYPERLINK("http://pbs.twimg.com/profile_images/1032592659595055104/ohokXuz4_normal.jpg")</f>
        <v>http://pbs.twimg.com/profile_images/1032592659595055104/ohokXuz4_normal.jpg</v>
      </c>
      <c r="W164" s="83">
        <v>44005.22483796296</v>
      </c>
      <c r="X164" s="87">
        <v>44005</v>
      </c>
      <c r="Y164" s="89" t="s">
        <v>889</v>
      </c>
      <c r="Z164" s="84" t="str">
        <f>HYPERLINK("https://twitter.com/fabtresor/status/1275298481851293696")</f>
        <v>https://twitter.com/fabtresor/status/1275298481851293696</v>
      </c>
      <c r="AA164" s="81"/>
      <c r="AB164" s="81"/>
      <c r="AC164" s="89" t="s">
        <v>1099</v>
      </c>
      <c r="AD164" s="81"/>
      <c r="AE164" s="81" t="b">
        <v>0</v>
      </c>
      <c r="AF164" s="81">
        <v>0</v>
      </c>
      <c r="AG164" s="89" t="s">
        <v>1149</v>
      </c>
      <c r="AH164" s="81" t="b">
        <v>0</v>
      </c>
      <c r="AI164" s="81" t="s">
        <v>1150</v>
      </c>
      <c r="AJ164" s="81"/>
      <c r="AK164" s="89" t="s">
        <v>1149</v>
      </c>
      <c r="AL164" s="81" t="b">
        <v>0</v>
      </c>
      <c r="AM164" s="81">
        <v>23</v>
      </c>
      <c r="AN164" s="89" t="s">
        <v>1139</v>
      </c>
      <c r="AO164" s="81" t="s">
        <v>1172</v>
      </c>
      <c r="AP164" s="81" t="b">
        <v>0</v>
      </c>
      <c r="AQ164" s="89" t="s">
        <v>1139</v>
      </c>
      <c r="AR164" s="81" t="s">
        <v>325</v>
      </c>
      <c r="AS164" s="81">
        <v>0</v>
      </c>
      <c r="AT164" s="81">
        <v>0</v>
      </c>
      <c r="AU164" s="81"/>
      <c r="AV164" s="81"/>
      <c r="AW164" s="81"/>
      <c r="AX164" s="81"/>
      <c r="AY164" s="81"/>
      <c r="AZ164" s="81"/>
      <c r="BA164" s="81"/>
      <c r="BB164" s="81"/>
      <c r="BC164">
        <v>1</v>
      </c>
      <c r="BD164" s="80" t="str">
        <f>REPLACE(INDEX(GroupVertices[Group],MATCH(Edges25[[#This Row],[Vertex 1]],GroupVertices[Vertex],0)),1,1,"")</f>
        <v>4</v>
      </c>
      <c r="BE164" s="80" t="str">
        <f>REPLACE(INDEX(GroupVertices[Group],MATCH(Edges25[[#This Row],[Vertex 2]],GroupVertices[Vertex],0)),1,1,"")</f>
        <v>4</v>
      </c>
      <c r="BF164" s="48"/>
      <c r="BG164" s="49"/>
      <c r="BH164" s="48"/>
      <c r="BI164" s="49"/>
      <c r="BJ164" s="48"/>
      <c r="BK164" s="49"/>
      <c r="BL164" s="48"/>
      <c r="BM164" s="49"/>
      <c r="BN164" s="48"/>
    </row>
    <row r="165" spans="1:66" ht="15">
      <c r="A165" s="66" t="s">
        <v>480</v>
      </c>
      <c r="B165" s="66" t="s">
        <v>526</v>
      </c>
      <c r="C165" s="67"/>
      <c r="D165" s="68"/>
      <c r="E165" s="69"/>
      <c r="F165" s="70"/>
      <c r="G165" s="67"/>
      <c r="H165" s="71"/>
      <c r="I165" s="72"/>
      <c r="J165" s="72"/>
      <c r="K165" s="34" t="s">
        <v>65</v>
      </c>
      <c r="L165" s="79">
        <v>334</v>
      </c>
      <c r="M165" s="79"/>
      <c r="N165" s="74"/>
      <c r="O165" s="81" t="s">
        <v>587</v>
      </c>
      <c r="P165" s="83">
        <v>44005.24722222222</v>
      </c>
      <c r="Q165" s="81" t="s">
        <v>664</v>
      </c>
      <c r="R165" s="84" t="str">
        <f>HYPERLINK("https://interactive.aljazeera.com/aje/2020/saving-the-nile/index.html")</f>
        <v>https://interactive.aljazeera.com/aje/2020/saving-the-nile/index.html</v>
      </c>
      <c r="S165" s="81" t="s">
        <v>678</v>
      </c>
      <c r="T165" s="81" t="s">
        <v>703</v>
      </c>
      <c r="U165" s="81"/>
      <c r="V165" s="84" t="str">
        <f>HYPERLINK("http://pbs.twimg.com/profile_images/378800000673897055/01c579ff50df639e0c423f03534ec74d_normal.jpeg")</f>
        <v>http://pbs.twimg.com/profile_images/378800000673897055/01c579ff50df639e0c423f03534ec74d_normal.jpeg</v>
      </c>
      <c r="W165" s="83">
        <v>44005.24722222222</v>
      </c>
      <c r="X165" s="87">
        <v>44005</v>
      </c>
      <c r="Y165" s="89" t="s">
        <v>890</v>
      </c>
      <c r="Z165" s="84" t="str">
        <f>HYPERLINK("https://twitter.com/downlandsgeog/status/1275306591160541184")</f>
        <v>https://twitter.com/downlandsgeog/status/1275306591160541184</v>
      </c>
      <c r="AA165" s="81"/>
      <c r="AB165" s="81"/>
      <c r="AC165" s="89" t="s">
        <v>1100</v>
      </c>
      <c r="AD165" s="81"/>
      <c r="AE165" s="81" t="b">
        <v>0</v>
      </c>
      <c r="AF165" s="81">
        <v>0</v>
      </c>
      <c r="AG165" s="89" t="s">
        <v>1149</v>
      </c>
      <c r="AH165" s="81" t="b">
        <v>0</v>
      </c>
      <c r="AI165" s="81" t="s">
        <v>1150</v>
      </c>
      <c r="AJ165" s="81"/>
      <c r="AK165" s="89" t="s">
        <v>1149</v>
      </c>
      <c r="AL165" s="81" t="b">
        <v>0</v>
      </c>
      <c r="AM165" s="81">
        <v>0</v>
      </c>
      <c r="AN165" s="89" t="s">
        <v>1149</v>
      </c>
      <c r="AO165" s="81" t="s">
        <v>1172</v>
      </c>
      <c r="AP165" s="81" t="b">
        <v>0</v>
      </c>
      <c r="AQ165" s="89" t="s">
        <v>1100</v>
      </c>
      <c r="AR165" s="81" t="s">
        <v>325</v>
      </c>
      <c r="AS165" s="81">
        <v>0</v>
      </c>
      <c r="AT165" s="81">
        <v>0</v>
      </c>
      <c r="AU165" s="81"/>
      <c r="AV165" s="81"/>
      <c r="AW165" s="81"/>
      <c r="AX165" s="81"/>
      <c r="AY165" s="81"/>
      <c r="AZ165" s="81"/>
      <c r="BA165" s="81"/>
      <c r="BB165" s="81"/>
      <c r="BC165">
        <v>1</v>
      </c>
      <c r="BD165" s="80" t="str">
        <f>REPLACE(INDEX(GroupVertices[Group],MATCH(Edges25[[#This Row],[Vertex 1]],GroupVertices[Vertex],0)),1,1,"")</f>
        <v>3</v>
      </c>
      <c r="BE165" s="80" t="str">
        <f>REPLACE(INDEX(GroupVertices[Group],MATCH(Edges25[[#This Row],[Vertex 2]],GroupVertices[Vertex],0)),1,1,"")</f>
        <v>3</v>
      </c>
      <c r="BF165" s="48"/>
      <c r="BG165" s="49"/>
      <c r="BH165" s="48"/>
      <c r="BI165" s="49"/>
      <c r="BJ165" s="48"/>
      <c r="BK165" s="49"/>
      <c r="BL165" s="48"/>
      <c r="BM165" s="49"/>
      <c r="BN165" s="48"/>
    </row>
    <row r="166" spans="1:66" ht="15">
      <c r="A166" s="66" t="s">
        <v>481</v>
      </c>
      <c r="B166" s="66" t="s">
        <v>526</v>
      </c>
      <c r="C166" s="67"/>
      <c r="D166" s="68"/>
      <c r="E166" s="69"/>
      <c r="F166" s="70"/>
      <c r="G166" s="67"/>
      <c r="H166" s="71"/>
      <c r="I166" s="72"/>
      <c r="J166" s="72"/>
      <c r="K166" s="34" t="s">
        <v>65</v>
      </c>
      <c r="L166" s="79">
        <v>336</v>
      </c>
      <c r="M166" s="79"/>
      <c r="N166" s="74"/>
      <c r="O166" s="81" t="s">
        <v>588</v>
      </c>
      <c r="P166" s="83">
        <v>44005.249085648145</v>
      </c>
      <c r="Q166" s="81" t="s">
        <v>612</v>
      </c>
      <c r="R166" s="81"/>
      <c r="S166" s="81"/>
      <c r="T166" s="81" t="s">
        <v>703</v>
      </c>
      <c r="U166" s="81"/>
      <c r="V166" s="84" t="str">
        <f>HYPERLINK("http://pbs.twimg.com/profile_images/1251234603244883968/aNyiY-o4_normal.jpg")</f>
        <v>http://pbs.twimg.com/profile_images/1251234603244883968/aNyiY-o4_normal.jpg</v>
      </c>
      <c r="W166" s="83">
        <v>44005.249085648145</v>
      </c>
      <c r="X166" s="87">
        <v>44005</v>
      </c>
      <c r="Y166" s="89" t="s">
        <v>891</v>
      </c>
      <c r="Z166" s="84" t="str">
        <f>HYPERLINK("https://twitter.com/colinnwalker/status/1275307269476036615")</f>
        <v>https://twitter.com/colinnwalker/status/1275307269476036615</v>
      </c>
      <c r="AA166" s="81"/>
      <c r="AB166" s="81"/>
      <c r="AC166" s="89" t="s">
        <v>1101</v>
      </c>
      <c r="AD166" s="81"/>
      <c r="AE166" s="81" t="b">
        <v>0</v>
      </c>
      <c r="AF166" s="81">
        <v>0</v>
      </c>
      <c r="AG166" s="89" t="s">
        <v>1149</v>
      </c>
      <c r="AH166" s="81" t="b">
        <v>0</v>
      </c>
      <c r="AI166" s="81" t="s">
        <v>1150</v>
      </c>
      <c r="AJ166" s="81"/>
      <c r="AK166" s="89" t="s">
        <v>1149</v>
      </c>
      <c r="AL166" s="81" t="b">
        <v>0</v>
      </c>
      <c r="AM166" s="81">
        <v>16</v>
      </c>
      <c r="AN166" s="89" t="s">
        <v>1137</v>
      </c>
      <c r="AO166" s="81" t="s">
        <v>1165</v>
      </c>
      <c r="AP166" s="81" t="b">
        <v>0</v>
      </c>
      <c r="AQ166" s="89" t="s">
        <v>1137</v>
      </c>
      <c r="AR166" s="81" t="s">
        <v>325</v>
      </c>
      <c r="AS166" s="81">
        <v>0</v>
      </c>
      <c r="AT166" s="81">
        <v>0</v>
      </c>
      <c r="AU166" s="81"/>
      <c r="AV166" s="81"/>
      <c r="AW166" s="81"/>
      <c r="AX166" s="81"/>
      <c r="AY166" s="81"/>
      <c r="AZ166" s="81"/>
      <c r="BA166" s="81"/>
      <c r="BB166" s="81"/>
      <c r="BC166">
        <v>1</v>
      </c>
      <c r="BD166" s="80" t="str">
        <f>REPLACE(INDEX(GroupVertices[Group],MATCH(Edges25[[#This Row],[Vertex 1]],GroupVertices[Vertex],0)),1,1,"")</f>
        <v>3</v>
      </c>
      <c r="BE166" s="80" t="str">
        <f>REPLACE(INDEX(GroupVertices[Group],MATCH(Edges25[[#This Row],[Vertex 2]],GroupVertices[Vertex],0)),1,1,"")</f>
        <v>3</v>
      </c>
      <c r="BF166" s="48"/>
      <c r="BG166" s="49"/>
      <c r="BH166" s="48"/>
      <c r="BI166" s="49"/>
      <c r="BJ166" s="48"/>
      <c r="BK166" s="49"/>
      <c r="BL166" s="48"/>
      <c r="BM166" s="49"/>
      <c r="BN166" s="48"/>
    </row>
    <row r="167" spans="1:66" ht="15">
      <c r="A167" s="66" t="s">
        <v>482</v>
      </c>
      <c r="B167" s="66" t="s">
        <v>521</v>
      </c>
      <c r="C167" s="67"/>
      <c r="D167" s="68"/>
      <c r="E167" s="69"/>
      <c r="F167" s="70"/>
      <c r="G167" s="67"/>
      <c r="H167" s="71"/>
      <c r="I167" s="72"/>
      <c r="J167" s="72"/>
      <c r="K167" s="34" t="s">
        <v>65</v>
      </c>
      <c r="L167" s="79">
        <v>339</v>
      </c>
      <c r="M167" s="79"/>
      <c r="N167" s="74"/>
      <c r="O167" s="81" t="s">
        <v>587</v>
      </c>
      <c r="P167" s="83">
        <v>44000.263865740744</v>
      </c>
      <c r="Q167" s="81" t="s">
        <v>593</v>
      </c>
      <c r="R167" s="84" t="str">
        <f>HYPERLINK("https://pointer.kro-ncrv.nl/artikelen/het-verhaal-achter-een-identiteitsroof#lang=en")</f>
        <v>https://pointer.kro-ncrv.nl/artikelen/het-verhaal-achter-een-identiteitsroof#lang=en</v>
      </c>
      <c r="S167" s="81" t="s">
        <v>684</v>
      </c>
      <c r="T167" s="81" t="s">
        <v>721</v>
      </c>
      <c r="U167" s="84" t="str">
        <f>HYPERLINK("https://pbs.twimg.com/media/EaxhYoyWoAExUOI.jpg")</f>
        <v>https://pbs.twimg.com/media/EaxhYoyWoAExUOI.jpg</v>
      </c>
      <c r="V167" s="84" t="str">
        <f>HYPERLINK("https://pbs.twimg.com/media/EaxhYoyWoAExUOI.jpg")</f>
        <v>https://pbs.twimg.com/media/EaxhYoyWoAExUOI.jpg</v>
      </c>
      <c r="W167" s="83">
        <v>44000.263865740744</v>
      </c>
      <c r="X167" s="87">
        <v>44000</v>
      </c>
      <c r="Y167" s="89" t="s">
        <v>892</v>
      </c>
      <c r="Z167" s="84" t="str">
        <f>HYPERLINK("https://twitter.com/datajournalism/status/1273500685208883200")</f>
        <v>https://twitter.com/datajournalism/status/1273500685208883200</v>
      </c>
      <c r="AA167" s="81"/>
      <c r="AB167" s="81"/>
      <c r="AC167" s="89" t="s">
        <v>1102</v>
      </c>
      <c r="AD167" s="81"/>
      <c r="AE167" s="81" t="b">
        <v>0</v>
      </c>
      <c r="AF167" s="81">
        <v>19</v>
      </c>
      <c r="AG167" s="89" t="s">
        <v>1149</v>
      </c>
      <c r="AH167" s="81" t="b">
        <v>0</v>
      </c>
      <c r="AI167" s="81" t="s">
        <v>1150</v>
      </c>
      <c r="AJ167" s="81"/>
      <c r="AK167" s="89" t="s">
        <v>1149</v>
      </c>
      <c r="AL167" s="81" t="b">
        <v>0</v>
      </c>
      <c r="AM167" s="81">
        <v>8</v>
      </c>
      <c r="AN167" s="89" t="s">
        <v>1149</v>
      </c>
      <c r="AO167" s="81" t="s">
        <v>1172</v>
      </c>
      <c r="AP167" s="81" t="b">
        <v>0</v>
      </c>
      <c r="AQ167" s="89" t="s">
        <v>1102</v>
      </c>
      <c r="AR167" s="81" t="s">
        <v>586</v>
      </c>
      <c r="AS167" s="81">
        <v>0</v>
      </c>
      <c r="AT167" s="81">
        <v>0</v>
      </c>
      <c r="AU167" s="81"/>
      <c r="AV167" s="81"/>
      <c r="AW167" s="81"/>
      <c r="AX167" s="81"/>
      <c r="AY167" s="81"/>
      <c r="AZ167" s="81"/>
      <c r="BA167" s="81"/>
      <c r="BB167" s="81"/>
      <c r="BC167">
        <v>1</v>
      </c>
      <c r="BD167" s="80" t="str">
        <f>REPLACE(INDEX(GroupVertices[Group],MATCH(Edges25[[#This Row],[Vertex 1]],GroupVertices[Vertex],0)),1,1,"")</f>
        <v>5</v>
      </c>
      <c r="BE167" s="80" t="str">
        <f>REPLACE(INDEX(GroupVertices[Group],MATCH(Edges25[[#This Row],[Vertex 2]],GroupVertices[Vertex],0)),1,1,"")</f>
        <v>5</v>
      </c>
      <c r="BF167" s="48"/>
      <c r="BG167" s="49"/>
      <c r="BH167" s="48"/>
      <c r="BI167" s="49"/>
      <c r="BJ167" s="48"/>
      <c r="BK167" s="49"/>
      <c r="BL167" s="48"/>
      <c r="BM167" s="49"/>
      <c r="BN167" s="48"/>
    </row>
    <row r="168" spans="1:66" ht="15">
      <c r="A168" s="66" t="s">
        <v>483</v>
      </c>
      <c r="B168" s="66" t="s">
        <v>484</v>
      </c>
      <c r="C168" s="67"/>
      <c r="D168" s="68"/>
      <c r="E168" s="69"/>
      <c r="F168" s="70"/>
      <c r="G168" s="67"/>
      <c r="H168" s="71"/>
      <c r="I168" s="72"/>
      <c r="J168" s="72"/>
      <c r="K168" s="34" t="s">
        <v>66</v>
      </c>
      <c r="L168" s="79">
        <v>341</v>
      </c>
      <c r="M168" s="79"/>
      <c r="N168" s="74"/>
      <c r="O168" s="81" t="s">
        <v>588</v>
      </c>
      <c r="P168" s="83">
        <v>44004.4669212963</v>
      </c>
      <c r="Q168" s="81" t="s">
        <v>665</v>
      </c>
      <c r="R168" s="81"/>
      <c r="S168" s="81"/>
      <c r="T168" s="81" t="s">
        <v>707</v>
      </c>
      <c r="U168" s="81"/>
      <c r="V168" s="84" t="str">
        <f>HYPERLINK("http://pbs.twimg.com/profile_images/807327786100752384/Rz3_8mdP_normal.jpg")</f>
        <v>http://pbs.twimg.com/profile_images/807327786100752384/Rz3_8mdP_normal.jpg</v>
      </c>
      <c r="W168" s="83">
        <v>44004.4669212963</v>
      </c>
      <c r="X168" s="87">
        <v>44004</v>
      </c>
      <c r="Y168" s="89" t="s">
        <v>893</v>
      </c>
      <c r="Z168" s="84" t="str">
        <f>HYPERLINK("https://twitter.com/able2extract/status/1275023822215958528")</f>
        <v>https://twitter.com/able2extract/status/1275023822215958528</v>
      </c>
      <c r="AA168" s="81"/>
      <c r="AB168" s="81"/>
      <c r="AC168" s="89" t="s">
        <v>1103</v>
      </c>
      <c r="AD168" s="81"/>
      <c r="AE168" s="81" t="b">
        <v>0</v>
      </c>
      <c r="AF168" s="81">
        <v>0</v>
      </c>
      <c r="AG168" s="89" t="s">
        <v>1149</v>
      </c>
      <c r="AH168" s="81" t="b">
        <v>0</v>
      </c>
      <c r="AI168" s="81" t="s">
        <v>1150</v>
      </c>
      <c r="AJ168" s="81"/>
      <c r="AK168" s="89" t="s">
        <v>1149</v>
      </c>
      <c r="AL168" s="81" t="b">
        <v>0</v>
      </c>
      <c r="AM168" s="81">
        <v>2</v>
      </c>
      <c r="AN168" s="89" t="s">
        <v>1105</v>
      </c>
      <c r="AO168" s="81" t="s">
        <v>1175</v>
      </c>
      <c r="AP168" s="81" t="b">
        <v>0</v>
      </c>
      <c r="AQ168" s="89" t="s">
        <v>1105</v>
      </c>
      <c r="AR168" s="81" t="s">
        <v>325</v>
      </c>
      <c r="AS168" s="81">
        <v>0</v>
      </c>
      <c r="AT168" s="81">
        <v>0</v>
      </c>
      <c r="AU168" s="81"/>
      <c r="AV168" s="81"/>
      <c r="AW168" s="81"/>
      <c r="AX168" s="81"/>
      <c r="AY168" s="81"/>
      <c r="AZ168" s="81"/>
      <c r="BA168" s="81"/>
      <c r="BB168" s="81"/>
      <c r="BC168">
        <v>1</v>
      </c>
      <c r="BD168" s="80" t="str">
        <f>REPLACE(INDEX(GroupVertices[Group],MATCH(Edges25[[#This Row],[Vertex 1]],GroupVertices[Vertex],0)),1,1,"")</f>
        <v>5</v>
      </c>
      <c r="BE168" s="80" t="str">
        <f>REPLACE(INDEX(GroupVertices[Group],MATCH(Edges25[[#This Row],[Vertex 2]],GroupVertices[Vertex],0)),1,1,"")</f>
        <v>5</v>
      </c>
      <c r="BF168" s="48"/>
      <c r="BG168" s="49"/>
      <c r="BH168" s="48"/>
      <c r="BI168" s="49"/>
      <c r="BJ168" s="48"/>
      <c r="BK168" s="49"/>
      <c r="BL168" s="48"/>
      <c r="BM168" s="49"/>
      <c r="BN168" s="48"/>
    </row>
    <row r="169" spans="1:66" ht="15">
      <c r="A169" s="66" t="s">
        <v>484</v>
      </c>
      <c r="B169" s="66" t="s">
        <v>483</v>
      </c>
      <c r="C169" s="67"/>
      <c r="D169" s="68"/>
      <c r="E169" s="69"/>
      <c r="F169" s="70"/>
      <c r="G169" s="67"/>
      <c r="H169" s="71"/>
      <c r="I169" s="72"/>
      <c r="J169" s="72"/>
      <c r="K169" s="34" t="s">
        <v>66</v>
      </c>
      <c r="L169" s="79">
        <v>345</v>
      </c>
      <c r="M169" s="79"/>
      <c r="N169" s="74"/>
      <c r="O169" s="81" t="s">
        <v>588</v>
      </c>
      <c r="P169" s="83">
        <v>44004.50859953704</v>
      </c>
      <c r="Q169" s="81" t="s">
        <v>665</v>
      </c>
      <c r="R169" s="81"/>
      <c r="S169" s="81"/>
      <c r="T169" s="81" t="s">
        <v>707</v>
      </c>
      <c r="U169" s="81"/>
      <c r="V169" s="84" t="str">
        <f>HYPERLINK("http://pbs.twimg.com/profile_images/1042288947966095360/nzEcnwwC_normal.jpg")</f>
        <v>http://pbs.twimg.com/profile_images/1042288947966095360/nzEcnwwC_normal.jpg</v>
      </c>
      <c r="W169" s="83">
        <v>44004.50859953704</v>
      </c>
      <c r="X169" s="87">
        <v>44004</v>
      </c>
      <c r="Y169" s="89" t="s">
        <v>894</v>
      </c>
      <c r="Z169" s="84" t="str">
        <f>HYPERLINK("https://twitter.com/easel_ly/status/1275038926932238341")</f>
        <v>https://twitter.com/easel_ly/status/1275038926932238341</v>
      </c>
      <c r="AA169" s="81"/>
      <c r="AB169" s="81"/>
      <c r="AC169" s="89" t="s">
        <v>1104</v>
      </c>
      <c r="AD169" s="81"/>
      <c r="AE169" s="81" t="b">
        <v>0</v>
      </c>
      <c r="AF169" s="81">
        <v>0</v>
      </c>
      <c r="AG169" s="89" t="s">
        <v>1149</v>
      </c>
      <c r="AH169" s="81" t="b">
        <v>0</v>
      </c>
      <c r="AI169" s="81" t="s">
        <v>1150</v>
      </c>
      <c r="AJ169" s="81"/>
      <c r="AK169" s="89" t="s">
        <v>1149</v>
      </c>
      <c r="AL169" s="81" t="b">
        <v>0</v>
      </c>
      <c r="AM169" s="81">
        <v>2</v>
      </c>
      <c r="AN169" s="89" t="s">
        <v>1105</v>
      </c>
      <c r="AO169" s="81" t="s">
        <v>1172</v>
      </c>
      <c r="AP169" s="81" t="b">
        <v>0</v>
      </c>
      <c r="AQ169" s="89" t="s">
        <v>1105</v>
      </c>
      <c r="AR169" s="81" t="s">
        <v>325</v>
      </c>
      <c r="AS169" s="81">
        <v>0</v>
      </c>
      <c r="AT169" s="81">
        <v>0</v>
      </c>
      <c r="AU169" s="81"/>
      <c r="AV169" s="81"/>
      <c r="AW169" s="81"/>
      <c r="AX169" s="81"/>
      <c r="AY169" s="81"/>
      <c r="AZ169" s="81"/>
      <c r="BA169" s="81"/>
      <c r="BB169" s="81"/>
      <c r="BC169">
        <v>1</v>
      </c>
      <c r="BD169" s="80" t="str">
        <f>REPLACE(INDEX(GroupVertices[Group],MATCH(Edges25[[#This Row],[Vertex 1]],GroupVertices[Vertex],0)),1,1,"")</f>
        <v>5</v>
      </c>
      <c r="BE169" s="80" t="str">
        <f>REPLACE(INDEX(GroupVertices[Group],MATCH(Edges25[[#This Row],[Vertex 2]],GroupVertices[Vertex],0)),1,1,"")</f>
        <v>5</v>
      </c>
      <c r="BF169" s="48"/>
      <c r="BG169" s="49"/>
      <c r="BH169" s="48"/>
      <c r="BI169" s="49"/>
      <c r="BJ169" s="48"/>
      <c r="BK169" s="49"/>
      <c r="BL169" s="48"/>
      <c r="BM169" s="49"/>
      <c r="BN169" s="48"/>
    </row>
    <row r="170" spans="1:66" ht="15">
      <c r="A170" s="66" t="s">
        <v>482</v>
      </c>
      <c r="B170" s="66" t="s">
        <v>483</v>
      </c>
      <c r="C170" s="67"/>
      <c r="D170" s="68"/>
      <c r="E170" s="69"/>
      <c r="F170" s="70"/>
      <c r="G170" s="67"/>
      <c r="H170" s="71"/>
      <c r="I170" s="72"/>
      <c r="J170" s="72"/>
      <c r="K170" s="34" t="s">
        <v>66</v>
      </c>
      <c r="L170" s="79">
        <v>346</v>
      </c>
      <c r="M170" s="79"/>
      <c r="N170" s="74"/>
      <c r="O170" s="81" t="s">
        <v>587</v>
      </c>
      <c r="P170" s="83">
        <v>44002.48324074074</v>
      </c>
      <c r="Q170" s="81" t="s">
        <v>665</v>
      </c>
      <c r="R170" s="84" t="str">
        <f>HYPERLINK("https://datajournalism.com/register")</f>
        <v>https://datajournalism.com/register</v>
      </c>
      <c r="S170" s="81" t="s">
        <v>685</v>
      </c>
      <c r="T170" s="81" t="s">
        <v>722</v>
      </c>
      <c r="U170" s="84" t="str">
        <f>HYPERLINK("https://pbs.twimg.com/media/Ea89nCHWsAQzH_v.jpg")</f>
        <v>https://pbs.twimg.com/media/Ea89nCHWsAQzH_v.jpg</v>
      </c>
      <c r="V170" s="84" t="str">
        <f>HYPERLINK("https://pbs.twimg.com/media/Ea89nCHWsAQzH_v.jpg")</f>
        <v>https://pbs.twimg.com/media/Ea89nCHWsAQzH_v.jpg</v>
      </c>
      <c r="W170" s="83">
        <v>44002.48324074074</v>
      </c>
      <c r="X170" s="87">
        <v>44002</v>
      </c>
      <c r="Y170" s="89" t="s">
        <v>895</v>
      </c>
      <c r="Z170" s="84" t="str">
        <f>HYPERLINK("https://twitter.com/datajournalism/status/1274304961749319680")</f>
        <v>https://twitter.com/datajournalism/status/1274304961749319680</v>
      </c>
      <c r="AA170" s="81"/>
      <c r="AB170" s="81"/>
      <c r="AC170" s="89" t="s">
        <v>1105</v>
      </c>
      <c r="AD170" s="81"/>
      <c r="AE170" s="81" t="b">
        <v>0</v>
      </c>
      <c r="AF170" s="81">
        <v>8</v>
      </c>
      <c r="AG170" s="89" t="s">
        <v>1149</v>
      </c>
      <c r="AH170" s="81" t="b">
        <v>0</v>
      </c>
      <c r="AI170" s="81" t="s">
        <v>1150</v>
      </c>
      <c r="AJ170" s="81"/>
      <c r="AK170" s="89" t="s">
        <v>1149</v>
      </c>
      <c r="AL170" s="81" t="b">
        <v>0</v>
      </c>
      <c r="AM170" s="81">
        <v>2</v>
      </c>
      <c r="AN170" s="89" t="s">
        <v>1149</v>
      </c>
      <c r="AO170" s="81" t="s">
        <v>1174</v>
      </c>
      <c r="AP170" s="81" t="b">
        <v>0</v>
      </c>
      <c r="AQ170" s="89" t="s">
        <v>1105</v>
      </c>
      <c r="AR170" s="81" t="s">
        <v>586</v>
      </c>
      <c r="AS170" s="81">
        <v>0</v>
      </c>
      <c r="AT170" s="81">
        <v>0</v>
      </c>
      <c r="AU170" s="81"/>
      <c r="AV170" s="81"/>
      <c r="AW170" s="81"/>
      <c r="AX170" s="81"/>
      <c r="AY170" s="81"/>
      <c r="AZ170" s="81"/>
      <c r="BA170" s="81"/>
      <c r="BB170" s="81"/>
      <c r="BC170">
        <v>1</v>
      </c>
      <c r="BD170" s="80" t="str">
        <f>REPLACE(INDEX(GroupVertices[Group],MATCH(Edges25[[#This Row],[Vertex 1]],GroupVertices[Vertex],0)),1,1,"")</f>
        <v>5</v>
      </c>
      <c r="BE170" s="80" t="str">
        <f>REPLACE(INDEX(GroupVertices[Group],MATCH(Edges25[[#This Row],[Vertex 2]],GroupVertices[Vertex],0)),1,1,"")</f>
        <v>5</v>
      </c>
      <c r="BF170" s="48"/>
      <c r="BG170" s="49"/>
      <c r="BH170" s="48"/>
      <c r="BI170" s="49"/>
      <c r="BJ170" s="48"/>
      <c r="BK170" s="49"/>
      <c r="BL170" s="48"/>
      <c r="BM170" s="49"/>
      <c r="BN170" s="48"/>
    </row>
    <row r="171" spans="1:66" ht="15">
      <c r="A171" s="66" t="s">
        <v>485</v>
      </c>
      <c r="B171" s="66" t="s">
        <v>482</v>
      </c>
      <c r="C171" s="67"/>
      <c r="D171" s="68"/>
      <c r="E171" s="69"/>
      <c r="F171" s="70"/>
      <c r="G171" s="67"/>
      <c r="H171" s="71"/>
      <c r="I171" s="72"/>
      <c r="J171" s="72"/>
      <c r="K171" s="34" t="s">
        <v>65</v>
      </c>
      <c r="L171" s="79">
        <v>353</v>
      </c>
      <c r="M171" s="79"/>
      <c r="N171" s="74"/>
      <c r="O171" s="81" t="s">
        <v>586</v>
      </c>
      <c r="P171" s="83">
        <v>44005.25038194445</v>
      </c>
      <c r="Q171" s="81" t="s">
        <v>666</v>
      </c>
      <c r="R171" s="81"/>
      <c r="S171" s="81"/>
      <c r="T171" s="81" t="s">
        <v>482</v>
      </c>
      <c r="U171" s="81"/>
      <c r="V171" s="84" t="str">
        <f>HYPERLINK("http://pbs.twimg.com/profile_images/902120676970168321/BTa_yvAl_normal.jpg")</f>
        <v>http://pbs.twimg.com/profile_images/902120676970168321/BTa_yvAl_normal.jpg</v>
      </c>
      <c r="W171" s="83">
        <v>44005.25038194445</v>
      </c>
      <c r="X171" s="87">
        <v>44005</v>
      </c>
      <c r="Y171" s="89" t="s">
        <v>896</v>
      </c>
      <c r="Z171" s="84" t="str">
        <f>HYPERLINK("https://twitter.com/ohmyshambles/status/1275307737472253953")</f>
        <v>https://twitter.com/ohmyshambles/status/1275307737472253953</v>
      </c>
      <c r="AA171" s="81"/>
      <c r="AB171" s="81"/>
      <c r="AC171" s="89" t="s">
        <v>1106</v>
      </c>
      <c r="AD171" s="81"/>
      <c r="AE171" s="81" t="b">
        <v>0</v>
      </c>
      <c r="AF171" s="81">
        <v>0</v>
      </c>
      <c r="AG171" s="89" t="s">
        <v>1149</v>
      </c>
      <c r="AH171" s="81" t="b">
        <v>0</v>
      </c>
      <c r="AI171" s="81" t="s">
        <v>1150</v>
      </c>
      <c r="AJ171" s="81"/>
      <c r="AK171" s="89" t="s">
        <v>1149</v>
      </c>
      <c r="AL171" s="81" t="b">
        <v>0</v>
      </c>
      <c r="AM171" s="81">
        <v>4</v>
      </c>
      <c r="AN171" s="89" t="s">
        <v>1126</v>
      </c>
      <c r="AO171" s="81" t="s">
        <v>1172</v>
      </c>
      <c r="AP171" s="81" t="b">
        <v>0</v>
      </c>
      <c r="AQ171" s="89" t="s">
        <v>1126</v>
      </c>
      <c r="AR171" s="81" t="s">
        <v>325</v>
      </c>
      <c r="AS171" s="81">
        <v>0</v>
      </c>
      <c r="AT171" s="81">
        <v>0</v>
      </c>
      <c r="AU171" s="81"/>
      <c r="AV171" s="81"/>
      <c r="AW171" s="81"/>
      <c r="AX171" s="81"/>
      <c r="AY171" s="81"/>
      <c r="AZ171" s="81"/>
      <c r="BA171" s="81"/>
      <c r="BB171" s="81"/>
      <c r="BC171">
        <v>1</v>
      </c>
      <c r="BD171" s="80" t="str">
        <f>REPLACE(INDEX(GroupVertices[Group],MATCH(Edges25[[#This Row],[Vertex 1]],GroupVertices[Vertex],0)),1,1,"")</f>
        <v>5</v>
      </c>
      <c r="BE171" s="80" t="str">
        <f>REPLACE(INDEX(GroupVertices[Group],MATCH(Edges25[[#This Row],[Vertex 2]],GroupVertices[Vertex],0)),1,1,"")</f>
        <v>5</v>
      </c>
      <c r="BF171" s="48">
        <v>1</v>
      </c>
      <c r="BG171" s="49">
        <v>3.7037037037037037</v>
      </c>
      <c r="BH171" s="48">
        <v>0</v>
      </c>
      <c r="BI171" s="49">
        <v>0</v>
      </c>
      <c r="BJ171" s="48">
        <v>0</v>
      </c>
      <c r="BK171" s="49">
        <v>0</v>
      </c>
      <c r="BL171" s="48">
        <v>26</v>
      </c>
      <c r="BM171" s="49">
        <v>96.29629629629629</v>
      </c>
      <c r="BN171" s="48">
        <v>27</v>
      </c>
    </row>
    <row r="172" spans="1:66" ht="15">
      <c r="A172" s="66" t="s">
        <v>486</v>
      </c>
      <c r="B172" s="66" t="s">
        <v>482</v>
      </c>
      <c r="C172" s="67"/>
      <c r="D172" s="68"/>
      <c r="E172" s="69"/>
      <c r="F172" s="70"/>
      <c r="G172" s="67"/>
      <c r="H172" s="71"/>
      <c r="I172" s="72"/>
      <c r="J172" s="72"/>
      <c r="K172" s="34" t="s">
        <v>65</v>
      </c>
      <c r="L172" s="79">
        <v>354</v>
      </c>
      <c r="M172" s="79"/>
      <c r="N172" s="74"/>
      <c r="O172" s="81" t="s">
        <v>586</v>
      </c>
      <c r="P172" s="83">
        <v>44005.25318287037</v>
      </c>
      <c r="Q172" s="81" t="s">
        <v>666</v>
      </c>
      <c r="R172" s="81"/>
      <c r="S172" s="81"/>
      <c r="T172" s="81" t="s">
        <v>482</v>
      </c>
      <c r="U172" s="81"/>
      <c r="V172" s="84" t="str">
        <f>HYPERLINK("http://pbs.twimg.com/profile_images/1564365669/margyphoto_normal.JPG")</f>
        <v>http://pbs.twimg.com/profile_images/1564365669/margyphoto_normal.JPG</v>
      </c>
      <c r="W172" s="83">
        <v>44005.25318287037</v>
      </c>
      <c r="X172" s="87">
        <v>44005</v>
      </c>
      <c r="Y172" s="89" t="s">
        <v>897</v>
      </c>
      <c r="Z172" s="84" t="str">
        <f>HYPERLINK("https://twitter.com/margymaclibrary/status/1275308753848426496")</f>
        <v>https://twitter.com/margymaclibrary/status/1275308753848426496</v>
      </c>
      <c r="AA172" s="81"/>
      <c r="AB172" s="81"/>
      <c r="AC172" s="89" t="s">
        <v>1107</v>
      </c>
      <c r="AD172" s="81"/>
      <c r="AE172" s="81" t="b">
        <v>0</v>
      </c>
      <c r="AF172" s="81">
        <v>0</v>
      </c>
      <c r="AG172" s="89" t="s">
        <v>1149</v>
      </c>
      <c r="AH172" s="81" t="b">
        <v>0</v>
      </c>
      <c r="AI172" s="81" t="s">
        <v>1150</v>
      </c>
      <c r="AJ172" s="81"/>
      <c r="AK172" s="89" t="s">
        <v>1149</v>
      </c>
      <c r="AL172" s="81" t="b">
        <v>0</v>
      </c>
      <c r="AM172" s="81">
        <v>4</v>
      </c>
      <c r="AN172" s="89" t="s">
        <v>1126</v>
      </c>
      <c r="AO172" s="81" t="s">
        <v>1165</v>
      </c>
      <c r="AP172" s="81" t="b">
        <v>0</v>
      </c>
      <c r="AQ172" s="89" t="s">
        <v>1126</v>
      </c>
      <c r="AR172" s="81" t="s">
        <v>325</v>
      </c>
      <c r="AS172" s="81">
        <v>0</v>
      </c>
      <c r="AT172" s="81">
        <v>0</v>
      </c>
      <c r="AU172" s="81"/>
      <c r="AV172" s="81"/>
      <c r="AW172" s="81"/>
      <c r="AX172" s="81"/>
      <c r="AY172" s="81"/>
      <c r="AZ172" s="81"/>
      <c r="BA172" s="81"/>
      <c r="BB172" s="81"/>
      <c r="BC172">
        <v>1</v>
      </c>
      <c r="BD172" s="80" t="str">
        <f>REPLACE(INDEX(GroupVertices[Group],MATCH(Edges25[[#This Row],[Vertex 1]],GroupVertices[Vertex],0)),1,1,"")</f>
        <v>5</v>
      </c>
      <c r="BE172" s="80" t="str">
        <f>REPLACE(INDEX(GroupVertices[Group],MATCH(Edges25[[#This Row],[Vertex 2]],GroupVertices[Vertex],0)),1,1,"")</f>
        <v>5</v>
      </c>
      <c r="BF172" s="48">
        <v>1</v>
      </c>
      <c r="BG172" s="49">
        <v>3.7037037037037037</v>
      </c>
      <c r="BH172" s="48">
        <v>0</v>
      </c>
      <c r="BI172" s="49">
        <v>0</v>
      </c>
      <c r="BJ172" s="48">
        <v>0</v>
      </c>
      <c r="BK172" s="49">
        <v>0</v>
      </c>
      <c r="BL172" s="48">
        <v>26</v>
      </c>
      <c r="BM172" s="49">
        <v>96.29629629629629</v>
      </c>
      <c r="BN172" s="48">
        <v>27</v>
      </c>
    </row>
    <row r="173" spans="1:66" ht="15">
      <c r="A173" s="66" t="s">
        <v>487</v>
      </c>
      <c r="B173" s="66" t="s">
        <v>529</v>
      </c>
      <c r="C173" s="67"/>
      <c r="D173" s="68"/>
      <c r="E173" s="69"/>
      <c r="F173" s="70"/>
      <c r="G173" s="67"/>
      <c r="H173" s="71"/>
      <c r="I173" s="72"/>
      <c r="J173" s="72"/>
      <c r="K173" s="34" t="s">
        <v>65</v>
      </c>
      <c r="L173" s="79">
        <v>355</v>
      </c>
      <c r="M173" s="79"/>
      <c r="N173" s="74"/>
      <c r="O173" s="81" t="s">
        <v>587</v>
      </c>
      <c r="P173" s="83">
        <v>44004.62328703704</v>
      </c>
      <c r="Q173" s="81" t="s">
        <v>602</v>
      </c>
      <c r="R173" s="84" t="str">
        <f>HYPERLINK("https://www.tijd.be/ondernemen/milieu-energie/het-droogteprobleem-in-belgie-uitgelegd/10234318.html")</f>
        <v>https://www.tijd.be/ondernemen/milieu-energie/het-droogteprobleem-in-belgie-uitgelegd/10234318.html</v>
      </c>
      <c r="S173" s="81" t="s">
        <v>686</v>
      </c>
      <c r="T173" s="81" t="s">
        <v>707</v>
      </c>
      <c r="U173" s="84" t="str">
        <f>HYPERLINK("https://pbs.twimg.com/media/EbH-x2AUcAQoj5S.jpg")</f>
        <v>https://pbs.twimg.com/media/EbH-x2AUcAQoj5S.jpg</v>
      </c>
      <c r="V173" s="84" t="str">
        <f>HYPERLINK("https://pbs.twimg.com/media/EbH-x2AUcAQoj5S.jpg")</f>
        <v>https://pbs.twimg.com/media/EbH-x2AUcAQoj5S.jpg</v>
      </c>
      <c r="W173" s="83">
        <v>44004.62328703704</v>
      </c>
      <c r="X173" s="87">
        <v>44004</v>
      </c>
      <c r="Y173" s="89" t="s">
        <v>898</v>
      </c>
      <c r="Z173" s="84" t="str">
        <f>HYPERLINK("https://twitter.com/andriesfluit/status/1275080485333463042")</f>
        <v>https://twitter.com/andriesfluit/status/1275080485333463042</v>
      </c>
      <c r="AA173" s="81"/>
      <c r="AB173" s="81"/>
      <c r="AC173" s="89" t="s">
        <v>1108</v>
      </c>
      <c r="AD173" s="81"/>
      <c r="AE173" s="81" t="b">
        <v>0</v>
      </c>
      <c r="AF173" s="81">
        <v>7</v>
      </c>
      <c r="AG173" s="89" t="s">
        <v>1149</v>
      </c>
      <c r="AH173" s="81" t="b">
        <v>0</v>
      </c>
      <c r="AI173" s="81" t="s">
        <v>1153</v>
      </c>
      <c r="AJ173" s="81"/>
      <c r="AK173" s="89" t="s">
        <v>1149</v>
      </c>
      <c r="AL173" s="81" t="b">
        <v>0</v>
      </c>
      <c r="AM173" s="81">
        <v>3</v>
      </c>
      <c r="AN173" s="89" t="s">
        <v>1149</v>
      </c>
      <c r="AO173" s="81" t="s">
        <v>1172</v>
      </c>
      <c r="AP173" s="81" t="b">
        <v>0</v>
      </c>
      <c r="AQ173" s="89" t="s">
        <v>1108</v>
      </c>
      <c r="AR173" s="81" t="s">
        <v>325</v>
      </c>
      <c r="AS173" s="81">
        <v>0</v>
      </c>
      <c r="AT173" s="81">
        <v>0</v>
      </c>
      <c r="AU173" s="81"/>
      <c r="AV173" s="81"/>
      <c r="AW173" s="81"/>
      <c r="AX173" s="81"/>
      <c r="AY173" s="81"/>
      <c r="AZ173" s="81"/>
      <c r="BA173" s="81"/>
      <c r="BB173" s="81"/>
      <c r="BC173">
        <v>1</v>
      </c>
      <c r="BD173" s="80" t="str">
        <f>REPLACE(INDEX(GroupVertices[Group],MATCH(Edges25[[#This Row],[Vertex 1]],GroupVertices[Vertex],0)),1,1,"")</f>
        <v>11</v>
      </c>
      <c r="BE173" s="80" t="str">
        <f>REPLACE(INDEX(GroupVertices[Group],MATCH(Edges25[[#This Row],[Vertex 2]],GroupVertices[Vertex],0)),1,1,"")</f>
        <v>11</v>
      </c>
      <c r="BF173" s="48">
        <v>0</v>
      </c>
      <c r="BG173" s="49">
        <v>0</v>
      </c>
      <c r="BH173" s="48">
        <v>0</v>
      </c>
      <c r="BI173" s="49">
        <v>0</v>
      </c>
      <c r="BJ173" s="48">
        <v>0</v>
      </c>
      <c r="BK173" s="49">
        <v>0</v>
      </c>
      <c r="BL173" s="48">
        <v>33</v>
      </c>
      <c r="BM173" s="49">
        <v>100</v>
      </c>
      <c r="BN173" s="48">
        <v>33</v>
      </c>
    </row>
    <row r="174" spans="1:66" ht="15">
      <c r="A174" s="66" t="s">
        <v>488</v>
      </c>
      <c r="B174" s="66" t="s">
        <v>529</v>
      </c>
      <c r="C174" s="67"/>
      <c r="D174" s="68"/>
      <c r="E174" s="69"/>
      <c r="F174" s="70"/>
      <c r="G174" s="67"/>
      <c r="H174" s="71"/>
      <c r="I174" s="72"/>
      <c r="J174" s="72"/>
      <c r="K174" s="34" t="s">
        <v>65</v>
      </c>
      <c r="L174" s="79">
        <v>356</v>
      </c>
      <c r="M174" s="79"/>
      <c r="N174" s="74"/>
      <c r="O174" s="81" t="s">
        <v>588</v>
      </c>
      <c r="P174" s="83">
        <v>44005.256006944444</v>
      </c>
      <c r="Q174" s="81" t="s">
        <v>602</v>
      </c>
      <c r="R174" s="81"/>
      <c r="S174" s="81"/>
      <c r="T174" s="81"/>
      <c r="U174" s="81"/>
      <c r="V174" s="84" t="str">
        <f>HYPERLINK("http://pbs.twimg.com/profile_images/1253223783823007745/8nU3NGcW_normal.jpg")</f>
        <v>http://pbs.twimg.com/profile_images/1253223783823007745/8nU3NGcW_normal.jpg</v>
      </c>
      <c r="W174" s="83">
        <v>44005.256006944444</v>
      </c>
      <c r="X174" s="87">
        <v>44005</v>
      </c>
      <c r="Y174" s="89" t="s">
        <v>899</v>
      </c>
      <c r="Z174" s="84" t="str">
        <f>HYPERLINK("https://twitter.com/boerenilse/status/1275309776465952769")</f>
        <v>https://twitter.com/boerenilse/status/1275309776465952769</v>
      </c>
      <c r="AA174" s="81"/>
      <c r="AB174" s="81"/>
      <c r="AC174" s="89" t="s">
        <v>1109</v>
      </c>
      <c r="AD174" s="81"/>
      <c r="AE174" s="81" t="b">
        <v>0</v>
      </c>
      <c r="AF174" s="81">
        <v>0</v>
      </c>
      <c r="AG174" s="89" t="s">
        <v>1149</v>
      </c>
      <c r="AH174" s="81" t="b">
        <v>0</v>
      </c>
      <c r="AI174" s="81" t="s">
        <v>1153</v>
      </c>
      <c r="AJ174" s="81"/>
      <c r="AK174" s="89" t="s">
        <v>1149</v>
      </c>
      <c r="AL174" s="81" t="b">
        <v>0</v>
      </c>
      <c r="AM174" s="81">
        <v>3</v>
      </c>
      <c r="AN174" s="89" t="s">
        <v>1108</v>
      </c>
      <c r="AO174" s="81" t="s">
        <v>1172</v>
      </c>
      <c r="AP174" s="81" t="b">
        <v>0</v>
      </c>
      <c r="AQ174" s="89" t="s">
        <v>1108</v>
      </c>
      <c r="AR174" s="81" t="s">
        <v>325</v>
      </c>
      <c r="AS174" s="81">
        <v>0</v>
      </c>
      <c r="AT174" s="81">
        <v>0</v>
      </c>
      <c r="AU174" s="81"/>
      <c r="AV174" s="81"/>
      <c r="AW174" s="81"/>
      <c r="AX174" s="81"/>
      <c r="AY174" s="81"/>
      <c r="AZ174" s="81"/>
      <c r="BA174" s="81"/>
      <c r="BB174" s="81"/>
      <c r="BC174">
        <v>1</v>
      </c>
      <c r="BD174" s="80" t="str">
        <f>REPLACE(INDEX(GroupVertices[Group],MATCH(Edges25[[#This Row],[Vertex 1]],GroupVertices[Vertex],0)),1,1,"")</f>
        <v>11</v>
      </c>
      <c r="BE174" s="80" t="str">
        <f>REPLACE(INDEX(GroupVertices[Group],MATCH(Edges25[[#This Row],[Vertex 2]],GroupVertices[Vertex],0)),1,1,"")</f>
        <v>11</v>
      </c>
      <c r="BF174" s="48"/>
      <c r="BG174" s="49"/>
      <c r="BH174" s="48"/>
      <c r="BI174" s="49"/>
      <c r="BJ174" s="48"/>
      <c r="BK174" s="49"/>
      <c r="BL174" s="48"/>
      <c r="BM174" s="49"/>
      <c r="BN174" s="48"/>
    </row>
    <row r="175" spans="1:66" ht="15">
      <c r="A175" s="66" t="s">
        <v>489</v>
      </c>
      <c r="B175" s="66" t="s">
        <v>489</v>
      </c>
      <c r="C175" s="67"/>
      <c r="D175" s="68"/>
      <c r="E175" s="69"/>
      <c r="F175" s="70"/>
      <c r="G175" s="67"/>
      <c r="H175" s="71"/>
      <c r="I175" s="72"/>
      <c r="J175" s="72"/>
      <c r="K175" s="34" t="s">
        <v>65</v>
      </c>
      <c r="L175" s="79">
        <v>358</v>
      </c>
      <c r="M175" s="79"/>
      <c r="N175" s="74"/>
      <c r="O175" s="81" t="s">
        <v>325</v>
      </c>
      <c r="P175" s="83">
        <v>44004.726481481484</v>
      </c>
      <c r="Q175" s="81" t="s">
        <v>667</v>
      </c>
      <c r="R175" s="84" t="str">
        <f>HYPERLINK("https://www.instagram.com/p/CBvuVmGp6wd/?igshid=1sknq4nindyf3")</f>
        <v>https://www.instagram.com/p/CBvuVmGp6wd/?igshid=1sknq4nindyf3</v>
      </c>
      <c r="S175" s="81" t="s">
        <v>681</v>
      </c>
      <c r="T175" s="81" t="s">
        <v>723</v>
      </c>
      <c r="U175" s="81"/>
      <c r="V175" s="84" t="str">
        <f>HYPERLINK("http://pbs.twimg.com/profile_images/1243941359213580288/B1tRN87__normal.jpg")</f>
        <v>http://pbs.twimg.com/profile_images/1243941359213580288/B1tRN87__normal.jpg</v>
      </c>
      <c r="W175" s="83">
        <v>44004.726481481484</v>
      </c>
      <c r="X175" s="87">
        <v>44004</v>
      </c>
      <c r="Y175" s="89" t="s">
        <v>900</v>
      </c>
      <c r="Z175" s="84" t="str">
        <f>HYPERLINK("https://twitter.com/elchinsoul/status/1275117883002105857")</f>
        <v>https://twitter.com/elchinsoul/status/1275117883002105857</v>
      </c>
      <c r="AA175" s="81"/>
      <c r="AB175" s="81"/>
      <c r="AC175" s="89" t="s">
        <v>1110</v>
      </c>
      <c r="AD175" s="81"/>
      <c r="AE175" s="81" t="b">
        <v>0</v>
      </c>
      <c r="AF175" s="81">
        <v>0</v>
      </c>
      <c r="AG175" s="89" t="s">
        <v>1149</v>
      </c>
      <c r="AH175" s="81" t="b">
        <v>0</v>
      </c>
      <c r="AI175" s="81" t="s">
        <v>1157</v>
      </c>
      <c r="AJ175" s="81"/>
      <c r="AK175" s="89" t="s">
        <v>1149</v>
      </c>
      <c r="AL175" s="81" t="b">
        <v>0</v>
      </c>
      <c r="AM175" s="81">
        <v>0</v>
      </c>
      <c r="AN175" s="89" t="s">
        <v>1149</v>
      </c>
      <c r="AO175" s="81" t="s">
        <v>1179</v>
      </c>
      <c r="AP175" s="81" t="b">
        <v>0</v>
      </c>
      <c r="AQ175" s="89" t="s">
        <v>1110</v>
      </c>
      <c r="AR175" s="81" t="s">
        <v>325</v>
      </c>
      <c r="AS175" s="81">
        <v>0</v>
      </c>
      <c r="AT175" s="81">
        <v>0</v>
      </c>
      <c r="AU175" s="81"/>
      <c r="AV175" s="81"/>
      <c r="AW175" s="81"/>
      <c r="AX175" s="81"/>
      <c r="AY175" s="81"/>
      <c r="AZ175" s="81"/>
      <c r="BA175" s="81"/>
      <c r="BB175" s="81"/>
      <c r="BC175">
        <v>2</v>
      </c>
      <c r="BD175" s="80" t="str">
        <f>REPLACE(INDEX(GroupVertices[Group],MATCH(Edges25[[#This Row],[Vertex 1]],GroupVertices[Vertex],0)),1,1,"")</f>
        <v>8</v>
      </c>
      <c r="BE175" s="80" t="str">
        <f>REPLACE(INDEX(GroupVertices[Group],MATCH(Edges25[[#This Row],[Vertex 2]],GroupVertices[Vertex],0)),1,1,"")</f>
        <v>8</v>
      </c>
      <c r="BF175" s="48">
        <v>0</v>
      </c>
      <c r="BG175" s="49">
        <v>0</v>
      </c>
      <c r="BH175" s="48">
        <v>0</v>
      </c>
      <c r="BI175" s="49">
        <v>0</v>
      </c>
      <c r="BJ175" s="48">
        <v>0</v>
      </c>
      <c r="BK175" s="49">
        <v>0</v>
      </c>
      <c r="BL175" s="48">
        <v>18</v>
      </c>
      <c r="BM175" s="49">
        <v>100</v>
      </c>
      <c r="BN175" s="48">
        <v>18</v>
      </c>
    </row>
    <row r="176" spans="1:66" ht="15">
      <c r="A176" s="66" t="s">
        <v>489</v>
      </c>
      <c r="B176" s="66" t="s">
        <v>489</v>
      </c>
      <c r="C176" s="67"/>
      <c r="D176" s="68"/>
      <c r="E176" s="69"/>
      <c r="F176" s="70"/>
      <c r="G176" s="67"/>
      <c r="H176" s="71"/>
      <c r="I176" s="72"/>
      <c r="J176" s="72"/>
      <c r="K176" s="34" t="s">
        <v>65</v>
      </c>
      <c r="L176" s="79">
        <v>359</v>
      </c>
      <c r="M176" s="79"/>
      <c r="N176" s="74"/>
      <c r="O176" s="81" t="s">
        <v>325</v>
      </c>
      <c r="P176" s="83">
        <v>44005.25613425926</v>
      </c>
      <c r="Q176" s="81" t="s">
        <v>668</v>
      </c>
      <c r="R176" s="84" t="str">
        <f>HYPERLINK("https://www.instagram.com/p/CBxFn7zJ1Vg/?igshid=17591pzd81ibu")</f>
        <v>https://www.instagram.com/p/CBxFn7zJ1Vg/?igshid=17591pzd81ibu</v>
      </c>
      <c r="S176" s="81" t="s">
        <v>681</v>
      </c>
      <c r="T176" s="81" t="s">
        <v>723</v>
      </c>
      <c r="U176" s="81"/>
      <c r="V176" s="84" t="str">
        <f>HYPERLINK("http://pbs.twimg.com/profile_images/1243941359213580288/B1tRN87__normal.jpg")</f>
        <v>http://pbs.twimg.com/profile_images/1243941359213580288/B1tRN87__normal.jpg</v>
      </c>
      <c r="W176" s="83">
        <v>44005.25613425926</v>
      </c>
      <c r="X176" s="87">
        <v>44005</v>
      </c>
      <c r="Y176" s="89" t="s">
        <v>901</v>
      </c>
      <c r="Z176" s="84" t="str">
        <f>HYPERLINK("https://twitter.com/elchinsoul/status/1275309823492489216")</f>
        <v>https://twitter.com/elchinsoul/status/1275309823492489216</v>
      </c>
      <c r="AA176" s="81"/>
      <c r="AB176" s="81"/>
      <c r="AC176" s="89" t="s">
        <v>1111</v>
      </c>
      <c r="AD176" s="81"/>
      <c r="AE176" s="81" t="b">
        <v>0</v>
      </c>
      <c r="AF176" s="81">
        <v>0</v>
      </c>
      <c r="AG176" s="89" t="s">
        <v>1149</v>
      </c>
      <c r="AH176" s="81" t="b">
        <v>0</v>
      </c>
      <c r="AI176" s="81" t="s">
        <v>1157</v>
      </c>
      <c r="AJ176" s="81"/>
      <c r="AK176" s="89" t="s">
        <v>1149</v>
      </c>
      <c r="AL176" s="81" t="b">
        <v>0</v>
      </c>
      <c r="AM176" s="81">
        <v>0</v>
      </c>
      <c r="AN176" s="89" t="s">
        <v>1149</v>
      </c>
      <c r="AO176" s="81" t="s">
        <v>1179</v>
      </c>
      <c r="AP176" s="81" t="b">
        <v>0</v>
      </c>
      <c r="AQ176" s="89" t="s">
        <v>1111</v>
      </c>
      <c r="AR176" s="81" t="s">
        <v>325</v>
      </c>
      <c r="AS176" s="81">
        <v>0</v>
      </c>
      <c r="AT176" s="81">
        <v>0</v>
      </c>
      <c r="AU176" s="81"/>
      <c r="AV176" s="81"/>
      <c r="AW176" s="81"/>
      <c r="AX176" s="81"/>
      <c r="AY176" s="81"/>
      <c r="AZ176" s="81"/>
      <c r="BA176" s="81"/>
      <c r="BB176" s="81"/>
      <c r="BC176">
        <v>2</v>
      </c>
      <c r="BD176" s="80" t="str">
        <f>REPLACE(INDEX(GroupVertices[Group],MATCH(Edges25[[#This Row],[Vertex 1]],GroupVertices[Vertex],0)),1,1,"")</f>
        <v>8</v>
      </c>
      <c r="BE176" s="80" t="str">
        <f>REPLACE(INDEX(GroupVertices[Group],MATCH(Edges25[[#This Row],[Vertex 2]],GroupVertices[Vertex],0)),1,1,"")</f>
        <v>8</v>
      </c>
      <c r="BF176" s="48">
        <v>0</v>
      </c>
      <c r="BG176" s="49">
        <v>0</v>
      </c>
      <c r="BH176" s="48">
        <v>0</v>
      </c>
      <c r="BI176" s="49">
        <v>0</v>
      </c>
      <c r="BJ176" s="48">
        <v>0</v>
      </c>
      <c r="BK176" s="49">
        <v>0</v>
      </c>
      <c r="BL176" s="48">
        <v>18</v>
      </c>
      <c r="BM176" s="49">
        <v>100</v>
      </c>
      <c r="BN176" s="48">
        <v>18</v>
      </c>
    </row>
    <row r="177" spans="1:66" ht="15">
      <c r="A177" s="66" t="s">
        <v>490</v>
      </c>
      <c r="B177" s="66" t="s">
        <v>534</v>
      </c>
      <c r="C177" s="67"/>
      <c r="D177" s="68"/>
      <c r="E177" s="69"/>
      <c r="F177" s="70"/>
      <c r="G177" s="67"/>
      <c r="H177" s="71"/>
      <c r="I177" s="72"/>
      <c r="J177" s="72"/>
      <c r="K177" s="34" t="s">
        <v>65</v>
      </c>
      <c r="L177" s="79">
        <v>360</v>
      </c>
      <c r="M177" s="79"/>
      <c r="N177" s="74"/>
      <c r="O177" s="81" t="s">
        <v>588</v>
      </c>
      <c r="P177" s="83">
        <v>44005.256215277775</v>
      </c>
      <c r="Q177" s="81" t="s">
        <v>611</v>
      </c>
      <c r="R177" s="81"/>
      <c r="S177" s="81"/>
      <c r="T177" s="81" t="s">
        <v>711</v>
      </c>
      <c r="U177" s="81"/>
      <c r="V177" s="84" t="str">
        <f>HYPERLINK("http://pbs.twimg.com/profile_images/1055828374386552833/yisHMFW9_normal.jpg")</f>
        <v>http://pbs.twimg.com/profile_images/1055828374386552833/yisHMFW9_normal.jpg</v>
      </c>
      <c r="W177" s="83">
        <v>44005.256215277775</v>
      </c>
      <c r="X177" s="87">
        <v>44005</v>
      </c>
      <c r="Y177" s="89" t="s">
        <v>902</v>
      </c>
      <c r="Z177" s="84" t="str">
        <f>HYPERLINK("https://twitter.com/alileo84/status/1275309852890411009")</f>
        <v>https://twitter.com/alileo84/status/1275309852890411009</v>
      </c>
      <c r="AA177" s="81"/>
      <c r="AB177" s="81"/>
      <c r="AC177" s="89" t="s">
        <v>1112</v>
      </c>
      <c r="AD177" s="81"/>
      <c r="AE177" s="81" t="b">
        <v>0</v>
      </c>
      <c r="AF177" s="81">
        <v>0</v>
      </c>
      <c r="AG177" s="89" t="s">
        <v>1149</v>
      </c>
      <c r="AH177" s="81" t="b">
        <v>0</v>
      </c>
      <c r="AI177" s="81" t="s">
        <v>1150</v>
      </c>
      <c r="AJ177" s="81"/>
      <c r="AK177" s="89" t="s">
        <v>1149</v>
      </c>
      <c r="AL177" s="81" t="b">
        <v>0</v>
      </c>
      <c r="AM177" s="81">
        <v>23</v>
      </c>
      <c r="AN177" s="89" t="s">
        <v>1139</v>
      </c>
      <c r="AO177" s="81" t="s">
        <v>1172</v>
      </c>
      <c r="AP177" s="81" t="b">
        <v>0</v>
      </c>
      <c r="AQ177" s="89" t="s">
        <v>1139</v>
      </c>
      <c r="AR177" s="81" t="s">
        <v>325</v>
      </c>
      <c r="AS177" s="81">
        <v>0</v>
      </c>
      <c r="AT177" s="81">
        <v>0</v>
      </c>
      <c r="AU177" s="81"/>
      <c r="AV177" s="81"/>
      <c r="AW177" s="81"/>
      <c r="AX177" s="81"/>
      <c r="AY177" s="81"/>
      <c r="AZ177" s="81"/>
      <c r="BA177" s="81"/>
      <c r="BB177" s="81"/>
      <c r="BC177">
        <v>1</v>
      </c>
      <c r="BD177" s="80" t="str">
        <f>REPLACE(INDEX(GroupVertices[Group],MATCH(Edges25[[#This Row],[Vertex 1]],GroupVertices[Vertex],0)),1,1,"")</f>
        <v>4</v>
      </c>
      <c r="BE177" s="80" t="str">
        <f>REPLACE(INDEX(GroupVertices[Group],MATCH(Edges25[[#This Row],[Vertex 2]],GroupVertices[Vertex],0)),1,1,"")</f>
        <v>4</v>
      </c>
      <c r="BF177" s="48"/>
      <c r="BG177" s="49"/>
      <c r="BH177" s="48"/>
      <c r="BI177" s="49"/>
      <c r="BJ177" s="48"/>
      <c r="BK177" s="49"/>
      <c r="BL177" s="48"/>
      <c r="BM177" s="49"/>
      <c r="BN177" s="48"/>
    </row>
    <row r="178" spans="1:66" ht="15">
      <c r="A178" s="66" t="s">
        <v>491</v>
      </c>
      <c r="B178" s="66" t="s">
        <v>482</v>
      </c>
      <c r="C178" s="67"/>
      <c r="D178" s="68"/>
      <c r="E178" s="69"/>
      <c r="F178" s="70"/>
      <c r="G178" s="67"/>
      <c r="H178" s="71"/>
      <c r="I178" s="72"/>
      <c r="J178" s="72"/>
      <c r="K178" s="34" t="s">
        <v>65</v>
      </c>
      <c r="L178" s="79">
        <v>362</v>
      </c>
      <c r="M178" s="79"/>
      <c r="N178" s="74"/>
      <c r="O178" s="81" t="s">
        <v>586</v>
      </c>
      <c r="P178" s="83">
        <v>44005.25984953704</v>
      </c>
      <c r="Q178" s="81" t="s">
        <v>666</v>
      </c>
      <c r="R178" s="81"/>
      <c r="S178" s="81"/>
      <c r="T178" s="81" t="s">
        <v>482</v>
      </c>
      <c r="U178" s="81"/>
      <c r="V178" s="84" t="str">
        <f>HYPERLINK("http://pbs.twimg.com/profile_images/1250759498748309506/MTkThwla_normal.jpg")</f>
        <v>http://pbs.twimg.com/profile_images/1250759498748309506/MTkThwla_normal.jpg</v>
      </c>
      <c r="W178" s="83">
        <v>44005.25984953704</v>
      </c>
      <c r="X178" s="87">
        <v>44005</v>
      </c>
      <c r="Y178" s="89" t="s">
        <v>903</v>
      </c>
      <c r="Z178" s="84" t="str">
        <f>HYPERLINK("https://twitter.com/billgia/status/1275311168534523904")</f>
        <v>https://twitter.com/billgia/status/1275311168534523904</v>
      </c>
      <c r="AA178" s="81"/>
      <c r="AB178" s="81"/>
      <c r="AC178" s="89" t="s">
        <v>1113</v>
      </c>
      <c r="AD178" s="81"/>
      <c r="AE178" s="81" t="b">
        <v>0</v>
      </c>
      <c r="AF178" s="81">
        <v>0</v>
      </c>
      <c r="AG178" s="89" t="s">
        <v>1149</v>
      </c>
      <c r="AH178" s="81" t="b">
        <v>0</v>
      </c>
      <c r="AI178" s="81" t="s">
        <v>1150</v>
      </c>
      <c r="AJ178" s="81"/>
      <c r="AK178" s="89" t="s">
        <v>1149</v>
      </c>
      <c r="AL178" s="81" t="b">
        <v>0</v>
      </c>
      <c r="AM178" s="81">
        <v>4</v>
      </c>
      <c r="AN178" s="89" t="s">
        <v>1126</v>
      </c>
      <c r="AO178" s="81" t="s">
        <v>1176</v>
      </c>
      <c r="AP178" s="81" t="b">
        <v>0</v>
      </c>
      <c r="AQ178" s="89" t="s">
        <v>1126</v>
      </c>
      <c r="AR178" s="81" t="s">
        <v>325</v>
      </c>
      <c r="AS178" s="81">
        <v>0</v>
      </c>
      <c r="AT178" s="81">
        <v>0</v>
      </c>
      <c r="AU178" s="81"/>
      <c r="AV178" s="81"/>
      <c r="AW178" s="81"/>
      <c r="AX178" s="81"/>
      <c r="AY178" s="81"/>
      <c r="AZ178" s="81"/>
      <c r="BA178" s="81"/>
      <c r="BB178" s="81"/>
      <c r="BC178">
        <v>1</v>
      </c>
      <c r="BD178" s="80" t="str">
        <f>REPLACE(INDEX(GroupVertices[Group],MATCH(Edges25[[#This Row],[Vertex 1]],GroupVertices[Vertex],0)),1,1,"")</f>
        <v>5</v>
      </c>
      <c r="BE178" s="80" t="str">
        <f>REPLACE(INDEX(GroupVertices[Group],MATCH(Edges25[[#This Row],[Vertex 2]],GroupVertices[Vertex],0)),1,1,"")</f>
        <v>5</v>
      </c>
      <c r="BF178" s="48">
        <v>1</v>
      </c>
      <c r="BG178" s="49">
        <v>3.7037037037037037</v>
      </c>
      <c r="BH178" s="48">
        <v>0</v>
      </c>
      <c r="BI178" s="49">
        <v>0</v>
      </c>
      <c r="BJ178" s="48">
        <v>0</v>
      </c>
      <c r="BK178" s="49">
        <v>0</v>
      </c>
      <c r="BL178" s="48">
        <v>26</v>
      </c>
      <c r="BM178" s="49">
        <v>96.29629629629629</v>
      </c>
      <c r="BN178" s="48">
        <v>27</v>
      </c>
    </row>
    <row r="179" spans="1:66" ht="15">
      <c r="A179" s="66" t="s">
        <v>492</v>
      </c>
      <c r="B179" s="66" t="s">
        <v>534</v>
      </c>
      <c r="C179" s="67"/>
      <c r="D179" s="68"/>
      <c r="E179" s="69"/>
      <c r="F179" s="70"/>
      <c r="G179" s="67"/>
      <c r="H179" s="71"/>
      <c r="I179" s="72"/>
      <c r="J179" s="72"/>
      <c r="K179" s="34" t="s">
        <v>65</v>
      </c>
      <c r="L179" s="79">
        <v>363</v>
      </c>
      <c r="M179" s="79"/>
      <c r="N179" s="74"/>
      <c r="O179" s="81" t="s">
        <v>588</v>
      </c>
      <c r="P179" s="83">
        <v>44005.26027777778</v>
      </c>
      <c r="Q179" s="81" t="s">
        <v>611</v>
      </c>
      <c r="R179" s="81"/>
      <c r="S179" s="81"/>
      <c r="T179" s="81" t="s">
        <v>711</v>
      </c>
      <c r="U179" s="81"/>
      <c r="V179" s="84" t="str">
        <f>HYPERLINK("http://pbs.twimg.com/profile_images/1265674261802475521/76Ior4hy_normal.jpg")</f>
        <v>http://pbs.twimg.com/profile_images/1265674261802475521/76Ior4hy_normal.jpg</v>
      </c>
      <c r="W179" s="83">
        <v>44005.26027777778</v>
      </c>
      <c r="X179" s="87">
        <v>44005</v>
      </c>
      <c r="Y179" s="89" t="s">
        <v>904</v>
      </c>
      <c r="Z179" s="84" t="str">
        <f>HYPERLINK("https://twitter.com/elenavardon/status/1275311325657346048")</f>
        <v>https://twitter.com/elenavardon/status/1275311325657346048</v>
      </c>
      <c r="AA179" s="81"/>
      <c r="AB179" s="81"/>
      <c r="AC179" s="89" t="s">
        <v>1114</v>
      </c>
      <c r="AD179" s="81"/>
      <c r="AE179" s="81" t="b">
        <v>0</v>
      </c>
      <c r="AF179" s="81">
        <v>0</v>
      </c>
      <c r="AG179" s="89" t="s">
        <v>1149</v>
      </c>
      <c r="AH179" s="81" t="b">
        <v>0</v>
      </c>
      <c r="AI179" s="81" t="s">
        <v>1150</v>
      </c>
      <c r="AJ179" s="81"/>
      <c r="AK179" s="89" t="s">
        <v>1149</v>
      </c>
      <c r="AL179" s="81" t="b">
        <v>0</v>
      </c>
      <c r="AM179" s="81">
        <v>23</v>
      </c>
      <c r="AN179" s="89" t="s">
        <v>1139</v>
      </c>
      <c r="AO179" s="81" t="s">
        <v>1165</v>
      </c>
      <c r="AP179" s="81" t="b">
        <v>0</v>
      </c>
      <c r="AQ179" s="89" t="s">
        <v>1139</v>
      </c>
      <c r="AR179" s="81" t="s">
        <v>325</v>
      </c>
      <c r="AS179" s="81">
        <v>0</v>
      </c>
      <c r="AT179" s="81">
        <v>0</v>
      </c>
      <c r="AU179" s="81"/>
      <c r="AV179" s="81"/>
      <c r="AW179" s="81"/>
      <c r="AX179" s="81"/>
      <c r="AY179" s="81"/>
      <c r="AZ179" s="81"/>
      <c r="BA179" s="81"/>
      <c r="BB179" s="81"/>
      <c r="BC179">
        <v>1</v>
      </c>
      <c r="BD179" s="80" t="str">
        <f>REPLACE(INDEX(GroupVertices[Group],MATCH(Edges25[[#This Row],[Vertex 1]],GroupVertices[Vertex],0)),1,1,"")</f>
        <v>4</v>
      </c>
      <c r="BE179" s="80" t="str">
        <f>REPLACE(INDEX(GroupVertices[Group],MATCH(Edges25[[#This Row],[Vertex 2]],GroupVertices[Vertex],0)),1,1,"")</f>
        <v>4</v>
      </c>
      <c r="BF179" s="48"/>
      <c r="BG179" s="49"/>
      <c r="BH179" s="48"/>
      <c r="BI179" s="49"/>
      <c r="BJ179" s="48"/>
      <c r="BK179" s="49"/>
      <c r="BL179" s="48"/>
      <c r="BM179" s="49"/>
      <c r="BN179" s="48"/>
    </row>
    <row r="180" spans="1:66" ht="15">
      <c r="A180" s="66" t="s">
        <v>493</v>
      </c>
      <c r="B180" s="66" t="s">
        <v>582</v>
      </c>
      <c r="C180" s="67"/>
      <c r="D180" s="68"/>
      <c r="E180" s="69"/>
      <c r="F180" s="70"/>
      <c r="G180" s="67"/>
      <c r="H180" s="71"/>
      <c r="I180" s="72"/>
      <c r="J180" s="72"/>
      <c r="K180" s="34" t="s">
        <v>65</v>
      </c>
      <c r="L180" s="79">
        <v>365</v>
      </c>
      <c r="M180" s="79"/>
      <c r="N180" s="74"/>
      <c r="O180" s="81" t="s">
        <v>587</v>
      </c>
      <c r="P180" s="83">
        <v>44005.26042824074</v>
      </c>
      <c r="Q180" s="81" t="s">
        <v>669</v>
      </c>
      <c r="R180" s="84" t="str">
        <f>HYPERLINK("https://interactive.aljazeera.com/aje/2020/saving-the-nile/index.html")</f>
        <v>https://interactive.aljazeera.com/aje/2020/saving-the-nile/index.html</v>
      </c>
      <c r="S180" s="81" t="s">
        <v>678</v>
      </c>
      <c r="T180" s="81" t="s">
        <v>703</v>
      </c>
      <c r="U180" s="81"/>
      <c r="V180" s="84" t="str">
        <f>HYPERLINK("http://pbs.twimg.com/profile_images/1268719629620228096/h56NNtWK_normal.jpg")</f>
        <v>http://pbs.twimg.com/profile_images/1268719629620228096/h56NNtWK_normal.jpg</v>
      </c>
      <c r="W180" s="83">
        <v>44005.26042824074</v>
      </c>
      <c r="X180" s="87">
        <v>44005</v>
      </c>
      <c r="Y180" s="89" t="s">
        <v>905</v>
      </c>
      <c r="Z180" s="84" t="str">
        <f>HYPERLINK("https://twitter.com/kendimalibot/status/1275311379143110659")</f>
        <v>https://twitter.com/kendimalibot/status/1275311379143110659</v>
      </c>
      <c r="AA180" s="81"/>
      <c r="AB180" s="81"/>
      <c r="AC180" s="89" t="s">
        <v>1115</v>
      </c>
      <c r="AD180" s="81"/>
      <c r="AE180" s="81" t="b">
        <v>0</v>
      </c>
      <c r="AF180" s="81">
        <v>0</v>
      </c>
      <c r="AG180" s="89" t="s">
        <v>1149</v>
      </c>
      <c r="AH180" s="81" t="b">
        <v>0</v>
      </c>
      <c r="AI180" s="81" t="s">
        <v>1150</v>
      </c>
      <c r="AJ180" s="81"/>
      <c r="AK180" s="89" t="s">
        <v>1149</v>
      </c>
      <c r="AL180" s="81" t="b">
        <v>0</v>
      </c>
      <c r="AM180" s="81">
        <v>0</v>
      </c>
      <c r="AN180" s="89" t="s">
        <v>1149</v>
      </c>
      <c r="AO180" s="81" t="s">
        <v>1172</v>
      </c>
      <c r="AP180" s="81" t="b">
        <v>0</v>
      </c>
      <c r="AQ180" s="89" t="s">
        <v>1115</v>
      </c>
      <c r="AR180" s="81" t="s">
        <v>325</v>
      </c>
      <c r="AS180" s="81">
        <v>0</v>
      </c>
      <c r="AT180" s="81">
        <v>0</v>
      </c>
      <c r="AU180" s="81"/>
      <c r="AV180" s="81"/>
      <c r="AW180" s="81"/>
      <c r="AX180" s="81"/>
      <c r="AY180" s="81"/>
      <c r="AZ180" s="81"/>
      <c r="BA180" s="81"/>
      <c r="BB180" s="81"/>
      <c r="BC180">
        <v>1</v>
      </c>
      <c r="BD180" s="80" t="str">
        <f>REPLACE(INDEX(GroupVertices[Group],MATCH(Edges25[[#This Row],[Vertex 1]],GroupVertices[Vertex],0)),1,1,"")</f>
        <v>3</v>
      </c>
      <c r="BE180" s="80" t="str">
        <f>REPLACE(INDEX(GroupVertices[Group],MATCH(Edges25[[#This Row],[Vertex 2]],GroupVertices[Vertex],0)),1,1,"")</f>
        <v>3</v>
      </c>
      <c r="BF180" s="48"/>
      <c r="BG180" s="49"/>
      <c r="BH180" s="48"/>
      <c r="BI180" s="49"/>
      <c r="BJ180" s="48"/>
      <c r="BK180" s="49"/>
      <c r="BL180" s="48"/>
      <c r="BM180" s="49"/>
      <c r="BN180" s="48"/>
    </row>
    <row r="181" spans="1:66" ht="15">
      <c r="A181" s="66" t="s">
        <v>494</v>
      </c>
      <c r="B181" s="66" t="s">
        <v>482</v>
      </c>
      <c r="C181" s="67"/>
      <c r="D181" s="68"/>
      <c r="E181" s="69"/>
      <c r="F181" s="70"/>
      <c r="G181" s="67"/>
      <c r="H181" s="71"/>
      <c r="I181" s="72"/>
      <c r="J181" s="72"/>
      <c r="K181" s="34" t="s">
        <v>65</v>
      </c>
      <c r="L181" s="79">
        <v>369</v>
      </c>
      <c r="M181" s="79"/>
      <c r="N181" s="74"/>
      <c r="O181" s="81" t="s">
        <v>586</v>
      </c>
      <c r="P181" s="83">
        <v>44005.27125</v>
      </c>
      <c r="Q181" s="81" t="s">
        <v>666</v>
      </c>
      <c r="R181" s="81"/>
      <c r="S181" s="81"/>
      <c r="T181" s="81" t="s">
        <v>482</v>
      </c>
      <c r="U181" s="81"/>
      <c r="V181" s="84" t="str">
        <f>HYPERLINK("http://pbs.twimg.com/profile_images/480165263250178048/fUMzCTBW_normal.jpeg")</f>
        <v>http://pbs.twimg.com/profile_images/480165263250178048/fUMzCTBW_normal.jpeg</v>
      </c>
      <c r="W181" s="83">
        <v>44005.27125</v>
      </c>
      <c r="X181" s="87">
        <v>44005</v>
      </c>
      <c r="Y181" s="89" t="s">
        <v>906</v>
      </c>
      <c r="Z181" s="84" t="str">
        <f>HYPERLINK("https://twitter.com/dwatchnews/status/1275315300074807297")</f>
        <v>https://twitter.com/dwatchnews/status/1275315300074807297</v>
      </c>
      <c r="AA181" s="81"/>
      <c r="AB181" s="81"/>
      <c r="AC181" s="89" t="s">
        <v>1116</v>
      </c>
      <c r="AD181" s="81"/>
      <c r="AE181" s="81" t="b">
        <v>0</v>
      </c>
      <c r="AF181" s="81">
        <v>0</v>
      </c>
      <c r="AG181" s="89" t="s">
        <v>1149</v>
      </c>
      <c r="AH181" s="81" t="b">
        <v>0</v>
      </c>
      <c r="AI181" s="81" t="s">
        <v>1150</v>
      </c>
      <c r="AJ181" s="81"/>
      <c r="AK181" s="89" t="s">
        <v>1149</v>
      </c>
      <c r="AL181" s="81" t="b">
        <v>0</v>
      </c>
      <c r="AM181" s="81">
        <v>4</v>
      </c>
      <c r="AN181" s="89" t="s">
        <v>1126</v>
      </c>
      <c r="AO181" s="81" t="s">
        <v>1165</v>
      </c>
      <c r="AP181" s="81" t="b">
        <v>0</v>
      </c>
      <c r="AQ181" s="89" t="s">
        <v>1126</v>
      </c>
      <c r="AR181" s="81" t="s">
        <v>325</v>
      </c>
      <c r="AS181" s="81">
        <v>0</v>
      </c>
      <c r="AT181" s="81">
        <v>0</v>
      </c>
      <c r="AU181" s="81"/>
      <c r="AV181" s="81"/>
      <c r="AW181" s="81"/>
      <c r="AX181" s="81"/>
      <c r="AY181" s="81"/>
      <c r="AZ181" s="81"/>
      <c r="BA181" s="81"/>
      <c r="BB181" s="81"/>
      <c r="BC181">
        <v>1</v>
      </c>
      <c r="BD181" s="80" t="str">
        <f>REPLACE(INDEX(GroupVertices[Group],MATCH(Edges25[[#This Row],[Vertex 1]],GroupVertices[Vertex],0)),1,1,"")</f>
        <v>5</v>
      </c>
      <c r="BE181" s="80" t="str">
        <f>REPLACE(INDEX(GroupVertices[Group],MATCH(Edges25[[#This Row],[Vertex 2]],GroupVertices[Vertex],0)),1,1,"")</f>
        <v>5</v>
      </c>
      <c r="BF181" s="48">
        <v>1</v>
      </c>
      <c r="BG181" s="49">
        <v>3.7037037037037037</v>
      </c>
      <c r="BH181" s="48">
        <v>0</v>
      </c>
      <c r="BI181" s="49">
        <v>0</v>
      </c>
      <c r="BJ181" s="48">
        <v>0</v>
      </c>
      <c r="BK181" s="49">
        <v>0</v>
      </c>
      <c r="BL181" s="48">
        <v>26</v>
      </c>
      <c r="BM181" s="49">
        <v>96.29629629629629</v>
      </c>
      <c r="BN181" s="48">
        <v>27</v>
      </c>
    </row>
    <row r="182" spans="1:66" ht="15">
      <c r="A182" s="66" t="s">
        <v>495</v>
      </c>
      <c r="B182" s="66" t="s">
        <v>534</v>
      </c>
      <c r="C182" s="67"/>
      <c r="D182" s="68"/>
      <c r="E182" s="69"/>
      <c r="F182" s="70"/>
      <c r="G182" s="67"/>
      <c r="H182" s="71"/>
      <c r="I182" s="72"/>
      <c r="J182" s="72"/>
      <c r="K182" s="34" t="s">
        <v>65</v>
      </c>
      <c r="L182" s="79">
        <v>370</v>
      </c>
      <c r="M182" s="79"/>
      <c r="N182" s="74"/>
      <c r="O182" s="81" t="s">
        <v>588</v>
      </c>
      <c r="P182" s="83">
        <v>44005.28126157408</v>
      </c>
      <c r="Q182" s="81" t="s">
        <v>611</v>
      </c>
      <c r="R182" s="81"/>
      <c r="S182" s="81"/>
      <c r="T182" s="81" t="s">
        <v>711</v>
      </c>
      <c r="U182" s="81"/>
      <c r="V182" s="84" t="str">
        <f>HYPERLINK("http://pbs.twimg.com/profile_images/1098027402712809473/pA1-hELU_normal.jpg")</f>
        <v>http://pbs.twimg.com/profile_images/1098027402712809473/pA1-hELU_normal.jpg</v>
      </c>
      <c r="W182" s="83">
        <v>44005.28126157408</v>
      </c>
      <c r="X182" s="87">
        <v>44005</v>
      </c>
      <c r="Y182" s="89" t="s">
        <v>907</v>
      </c>
      <c r="Z182" s="84" t="str">
        <f>HYPERLINK("https://twitter.com/omaakatugba/status/1275318927271305217")</f>
        <v>https://twitter.com/omaakatugba/status/1275318927271305217</v>
      </c>
      <c r="AA182" s="81"/>
      <c r="AB182" s="81"/>
      <c r="AC182" s="89" t="s">
        <v>1117</v>
      </c>
      <c r="AD182" s="81"/>
      <c r="AE182" s="81" t="b">
        <v>0</v>
      </c>
      <c r="AF182" s="81">
        <v>0</v>
      </c>
      <c r="AG182" s="89" t="s">
        <v>1149</v>
      </c>
      <c r="AH182" s="81" t="b">
        <v>0</v>
      </c>
      <c r="AI182" s="81" t="s">
        <v>1150</v>
      </c>
      <c r="AJ182" s="81"/>
      <c r="AK182" s="89" t="s">
        <v>1149</v>
      </c>
      <c r="AL182" s="81" t="b">
        <v>0</v>
      </c>
      <c r="AM182" s="81">
        <v>23</v>
      </c>
      <c r="AN182" s="89" t="s">
        <v>1139</v>
      </c>
      <c r="AO182" s="81" t="s">
        <v>1165</v>
      </c>
      <c r="AP182" s="81" t="b">
        <v>0</v>
      </c>
      <c r="AQ182" s="89" t="s">
        <v>1139</v>
      </c>
      <c r="AR182" s="81" t="s">
        <v>325</v>
      </c>
      <c r="AS182" s="81">
        <v>0</v>
      </c>
      <c r="AT182" s="81">
        <v>0</v>
      </c>
      <c r="AU182" s="81"/>
      <c r="AV182" s="81"/>
      <c r="AW182" s="81"/>
      <c r="AX182" s="81"/>
      <c r="AY182" s="81"/>
      <c r="AZ182" s="81"/>
      <c r="BA182" s="81"/>
      <c r="BB182" s="81"/>
      <c r="BC182">
        <v>1</v>
      </c>
      <c r="BD182" s="80" t="str">
        <f>REPLACE(INDEX(GroupVertices[Group],MATCH(Edges25[[#This Row],[Vertex 1]],GroupVertices[Vertex],0)),1,1,"")</f>
        <v>4</v>
      </c>
      <c r="BE182" s="80" t="str">
        <f>REPLACE(INDEX(GroupVertices[Group],MATCH(Edges25[[#This Row],[Vertex 2]],GroupVertices[Vertex],0)),1,1,"")</f>
        <v>4</v>
      </c>
      <c r="BF182" s="48"/>
      <c r="BG182" s="49"/>
      <c r="BH182" s="48"/>
      <c r="BI182" s="49"/>
      <c r="BJ182" s="48"/>
      <c r="BK182" s="49"/>
      <c r="BL182" s="48"/>
      <c r="BM182" s="49"/>
      <c r="BN182" s="48"/>
    </row>
    <row r="183" spans="1:66" ht="15">
      <c r="A183" s="66" t="s">
        <v>496</v>
      </c>
      <c r="B183" s="66" t="s">
        <v>534</v>
      </c>
      <c r="C183" s="67"/>
      <c r="D183" s="68"/>
      <c r="E183" s="69"/>
      <c r="F183" s="70"/>
      <c r="G183" s="67"/>
      <c r="H183" s="71"/>
      <c r="I183" s="72"/>
      <c r="J183" s="72"/>
      <c r="K183" s="34" t="s">
        <v>65</v>
      </c>
      <c r="L183" s="79">
        <v>372</v>
      </c>
      <c r="M183" s="79"/>
      <c r="N183" s="74"/>
      <c r="O183" s="81" t="s">
        <v>588</v>
      </c>
      <c r="P183" s="83">
        <v>44005.33219907407</v>
      </c>
      <c r="Q183" s="81" t="s">
        <v>611</v>
      </c>
      <c r="R183" s="81"/>
      <c r="S183" s="81"/>
      <c r="T183" s="81" t="s">
        <v>711</v>
      </c>
      <c r="U183" s="81"/>
      <c r="V183" s="84" t="str">
        <f>HYPERLINK("http://pbs.twimg.com/profile_images/655921082080202753/PakNF7k6_normal.jpg")</f>
        <v>http://pbs.twimg.com/profile_images/655921082080202753/PakNF7k6_normal.jpg</v>
      </c>
      <c r="W183" s="83">
        <v>44005.33219907407</v>
      </c>
      <c r="X183" s="87">
        <v>44005</v>
      </c>
      <c r="Y183" s="89" t="s">
        <v>908</v>
      </c>
      <c r="Z183" s="84" t="str">
        <f>HYPERLINK("https://twitter.com/tmbriceno/status/1275337387191742464")</f>
        <v>https://twitter.com/tmbriceno/status/1275337387191742464</v>
      </c>
      <c r="AA183" s="81"/>
      <c r="AB183" s="81"/>
      <c r="AC183" s="89" t="s">
        <v>1118</v>
      </c>
      <c r="AD183" s="81"/>
      <c r="AE183" s="81" t="b">
        <v>0</v>
      </c>
      <c r="AF183" s="81">
        <v>0</v>
      </c>
      <c r="AG183" s="89" t="s">
        <v>1149</v>
      </c>
      <c r="AH183" s="81" t="b">
        <v>0</v>
      </c>
      <c r="AI183" s="81" t="s">
        <v>1150</v>
      </c>
      <c r="AJ183" s="81"/>
      <c r="AK183" s="89" t="s">
        <v>1149</v>
      </c>
      <c r="AL183" s="81" t="b">
        <v>0</v>
      </c>
      <c r="AM183" s="81">
        <v>23</v>
      </c>
      <c r="AN183" s="89" t="s">
        <v>1139</v>
      </c>
      <c r="AO183" s="81" t="s">
        <v>1172</v>
      </c>
      <c r="AP183" s="81" t="b">
        <v>0</v>
      </c>
      <c r="AQ183" s="89" t="s">
        <v>1139</v>
      </c>
      <c r="AR183" s="81" t="s">
        <v>325</v>
      </c>
      <c r="AS183" s="81">
        <v>0</v>
      </c>
      <c r="AT183" s="81">
        <v>0</v>
      </c>
      <c r="AU183" s="81"/>
      <c r="AV183" s="81"/>
      <c r="AW183" s="81"/>
      <c r="AX183" s="81"/>
      <c r="AY183" s="81"/>
      <c r="AZ183" s="81"/>
      <c r="BA183" s="81"/>
      <c r="BB183" s="81"/>
      <c r="BC183">
        <v>1</v>
      </c>
      <c r="BD183" s="80" t="str">
        <f>REPLACE(INDEX(GroupVertices[Group],MATCH(Edges25[[#This Row],[Vertex 1]],GroupVertices[Vertex],0)),1,1,"")</f>
        <v>4</v>
      </c>
      <c r="BE183" s="80" t="str">
        <f>REPLACE(INDEX(GroupVertices[Group],MATCH(Edges25[[#This Row],[Vertex 2]],GroupVertices[Vertex],0)),1,1,"")</f>
        <v>4</v>
      </c>
      <c r="BF183" s="48"/>
      <c r="BG183" s="49"/>
      <c r="BH183" s="48"/>
      <c r="BI183" s="49"/>
      <c r="BJ183" s="48"/>
      <c r="BK183" s="49"/>
      <c r="BL183" s="48"/>
      <c r="BM183" s="49"/>
      <c r="BN183" s="48"/>
    </row>
    <row r="184" spans="1:66" ht="15">
      <c r="A184" s="66" t="s">
        <v>497</v>
      </c>
      <c r="B184" s="66" t="s">
        <v>497</v>
      </c>
      <c r="C184" s="67"/>
      <c r="D184" s="68"/>
      <c r="E184" s="69"/>
      <c r="F184" s="70"/>
      <c r="G184" s="67"/>
      <c r="H184" s="71"/>
      <c r="I184" s="72"/>
      <c r="J184" s="72"/>
      <c r="K184" s="34" t="s">
        <v>65</v>
      </c>
      <c r="L184" s="79">
        <v>374</v>
      </c>
      <c r="M184" s="79"/>
      <c r="N184" s="74"/>
      <c r="O184" s="81" t="s">
        <v>325</v>
      </c>
      <c r="P184" s="83">
        <v>44004.16232638889</v>
      </c>
      <c r="Q184" s="81" t="s">
        <v>592</v>
      </c>
      <c r="R184" s="84" t="str">
        <f>HYPERLINK("https://twitter.com/basole/status/1274853316758036481")</f>
        <v>https://twitter.com/basole/status/1274853316758036481</v>
      </c>
      <c r="S184" s="81" t="s">
        <v>676</v>
      </c>
      <c r="T184" s="81" t="s">
        <v>698</v>
      </c>
      <c r="U184" s="81"/>
      <c r="V184" s="84" t="str">
        <f>HYPERLINK("http://pbs.twimg.com/profile_images/1069593505553633281/hoG3VcMt_normal.jpg")</f>
        <v>http://pbs.twimg.com/profile_images/1069593505553633281/hoG3VcMt_normal.jpg</v>
      </c>
      <c r="W184" s="83">
        <v>44004.16232638889</v>
      </c>
      <c r="X184" s="87">
        <v>44004</v>
      </c>
      <c r="Y184" s="89" t="s">
        <v>909</v>
      </c>
      <c r="Z184" s="84" t="str">
        <f>HYPERLINK("https://twitter.com/albertocairo/status/1274913441057251333")</f>
        <v>https://twitter.com/albertocairo/status/1274913441057251333</v>
      </c>
      <c r="AA184" s="81"/>
      <c r="AB184" s="81"/>
      <c r="AC184" s="89" t="s">
        <v>1119</v>
      </c>
      <c r="AD184" s="81"/>
      <c r="AE184" s="81" t="b">
        <v>0</v>
      </c>
      <c r="AF184" s="81">
        <v>83</v>
      </c>
      <c r="AG184" s="89" t="s">
        <v>1149</v>
      </c>
      <c r="AH184" s="81" t="b">
        <v>1</v>
      </c>
      <c r="AI184" s="81" t="s">
        <v>1150</v>
      </c>
      <c r="AJ184" s="81"/>
      <c r="AK184" s="89" t="s">
        <v>1160</v>
      </c>
      <c r="AL184" s="81" t="b">
        <v>0</v>
      </c>
      <c r="AM184" s="81">
        <v>7</v>
      </c>
      <c r="AN184" s="89" t="s">
        <v>1149</v>
      </c>
      <c r="AO184" s="81" t="s">
        <v>1172</v>
      </c>
      <c r="AP184" s="81" t="b">
        <v>0</v>
      </c>
      <c r="AQ184" s="89" t="s">
        <v>1119</v>
      </c>
      <c r="AR184" s="81" t="s">
        <v>325</v>
      </c>
      <c r="AS184" s="81">
        <v>0</v>
      </c>
      <c r="AT184" s="81">
        <v>0</v>
      </c>
      <c r="AU184" s="81"/>
      <c r="AV184" s="81"/>
      <c r="AW184" s="81"/>
      <c r="AX184" s="81"/>
      <c r="AY184" s="81"/>
      <c r="AZ184" s="81"/>
      <c r="BA184" s="81"/>
      <c r="BB184" s="81"/>
      <c r="BC184">
        <v>1</v>
      </c>
      <c r="BD184" s="80" t="str">
        <f>REPLACE(INDEX(GroupVertices[Group],MATCH(Edges25[[#This Row],[Vertex 1]],GroupVertices[Vertex],0)),1,1,"")</f>
        <v>9</v>
      </c>
      <c r="BE184" s="80" t="str">
        <f>REPLACE(INDEX(GroupVertices[Group],MATCH(Edges25[[#This Row],[Vertex 2]],GroupVertices[Vertex],0)),1,1,"")</f>
        <v>9</v>
      </c>
      <c r="BF184" s="48">
        <v>1</v>
      </c>
      <c r="BG184" s="49">
        <v>16.666666666666668</v>
      </c>
      <c r="BH184" s="48">
        <v>0</v>
      </c>
      <c r="BI184" s="49">
        <v>0</v>
      </c>
      <c r="BJ184" s="48">
        <v>0</v>
      </c>
      <c r="BK184" s="49">
        <v>0</v>
      </c>
      <c r="BL184" s="48">
        <v>5</v>
      </c>
      <c r="BM184" s="49">
        <v>83.33333333333333</v>
      </c>
      <c r="BN184" s="48">
        <v>6</v>
      </c>
    </row>
    <row r="185" spans="1:66" ht="15">
      <c r="A185" s="66" t="s">
        <v>498</v>
      </c>
      <c r="B185" s="66" t="s">
        <v>497</v>
      </c>
      <c r="C185" s="67"/>
      <c r="D185" s="68"/>
      <c r="E185" s="69"/>
      <c r="F185" s="70"/>
      <c r="G185" s="67"/>
      <c r="H185" s="71"/>
      <c r="I185" s="72"/>
      <c r="J185" s="72"/>
      <c r="K185" s="34" t="s">
        <v>65</v>
      </c>
      <c r="L185" s="79">
        <v>375</v>
      </c>
      <c r="M185" s="79"/>
      <c r="N185" s="74"/>
      <c r="O185" s="81" t="s">
        <v>586</v>
      </c>
      <c r="P185" s="83">
        <v>44005.33673611111</v>
      </c>
      <c r="Q185" s="81" t="s">
        <v>592</v>
      </c>
      <c r="R185" s="81"/>
      <c r="S185" s="81"/>
      <c r="T185" s="81" t="s">
        <v>698</v>
      </c>
      <c r="U185" s="81"/>
      <c r="V185" s="84" t="str">
        <f>HYPERLINK("http://pbs.twimg.com/profile_images/1056716278340222976/dLW3RH5g_normal.jpg")</f>
        <v>http://pbs.twimg.com/profile_images/1056716278340222976/dLW3RH5g_normal.jpg</v>
      </c>
      <c r="W185" s="83">
        <v>44005.33673611111</v>
      </c>
      <c r="X185" s="87">
        <v>44005</v>
      </c>
      <c r="Y185" s="89" t="s">
        <v>910</v>
      </c>
      <c r="Z185" s="84" t="str">
        <f>HYPERLINK("https://twitter.com/ignasialcalde/status/1275339032998936576")</f>
        <v>https://twitter.com/ignasialcalde/status/1275339032998936576</v>
      </c>
      <c r="AA185" s="81"/>
      <c r="AB185" s="81"/>
      <c r="AC185" s="89" t="s">
        <v>1120</v>
      </c>
      <c r="AD185" s="81"/>
      <c r="AE185" s="81" t="b">
        <v>0</v>
      </c>
      <c r="AF185" s="81">
        <v>0</v>
      </c>
      <c r="AG185" s="89" t="s">
        <v>1149</v>
      </c>
      <c r="AH185" s="81" t="b">
        <v>1</v>
      </c>
      <c r="AI185" s="81" t="s">
        <v>1150</v>
      </c>
      <c r="AJ185" s="81"/>
      <c r="AK185" s="89" t="s">
        <v>1160</v>
      </c>
      <c r="AL185" s="81" t="b">
        <v>0</v>
      </c>
      <c r="AM185" s="81">
        <v>7</v>
      </c>
      <c r="AN185" s="89" t="s">
        <v>1119</v>
      </c>
      <c r="AO185" s="81" t="s">
        <v>1165</v>
      </c>
      <c r="AP185" s="81" t="b">
        <v>0</v>
      </c>
      <c r="AQ185" s="89" t="s">
        <v>1119</v>
      </c>
      <c r="AR185" s="81" t="s">
        <v>325</v>
      </c>
      <c r="AS185" s="81">
        <v>0</v>
      </c>
      <c r="AT185" s="81">
        <v>0</v>
      </c>
      <c r="AU185" s="81"/>
      <c r="AV185" s="81"/>
      <c r="AW185" s="81"/>
      <c r="AX185" s="81"/>
      <c r="AY185" s="81"/>
      <c r="AZ185" s="81"/>
      <c r="BA185" s="81"/>
      <c r="BB185" s="81"/>
      <c r="BC185">
        <v>1</v>
      </c>
      <c r="BD185" s="80" t="str">
        <f>REPLACE(INDEX(GroupVertices[Group],MATCH(Edges25[[#This Row],[Vertex 1]],GroupVertices[Vertex],0)),1,1,"")</f>
        <v>9</v>
      </c>
      <c r="BE185" s="80" t="str">
        <f>REPLACE(INDEX(GroupVertices[Group],MATCH(Edges25[[#This Row],[Vertex 2]],GroupVertices[Vertex],0)),1,1,"")</f>
        <v>9</v>
      </c>
      <c r="BF185" s="48">
        <v>1</v>
      </c>
      <c r="BG185" s="49">
        <v>16.666666666666668</v>
      </c>
      <c r="BH185" s="48">
        <v>0</v>
      </c>
      <c r="BI185" s="49">
        <v>0</v>
      </c>
      <c r="BJ185" s="48">
        <v>0</v>
      </c>
      <c r="BK185" s="49">
        <v>0</v>
      </c>
      <c r="BL185" s="48">
        <v>5</v>
      </c>
      <c r="BM185" s="49">
        <v>83.33333333333333</v>
      </c>
      <c r="BN185" s="48">
        <v>6</v>
      </c>
    </row>
    <row r="186" spans="1:66" ht="15">
      <c r="A186" s="66" t="s">
        <v>499</v>
      </c>
      <c r="B186" s="66" t="s">
        <v>526</v>
      </c>
      <c r="C186" s="67"/>
      <c r="D186" s="68"/>
      <c r="E186" s="69"/>
      <c r="F186" s="70"/>
      <c r="G186" s="67"/>
      <c r="H186" s="71"/>
      <c r="I186" s="72"/>
      <c r="J186" s="72"/>
      <c r="K186" s="34" t="s">
        <v>65</v>
      </c>
      <c r="L186" s="79">
        <v>376</v>
      </c>
      <c r="M186" s="79"/>
      <c r="N186" s="74"/>
      <c r="O186" s="81" t="s">
        <v>588</v>
      </c>
      <c r="P186" s="83">
        <v>44005.34050925926</v>
      </c>
      <c r="Q186" s="81" t="s">
        <v>612</v>
      </c>
      <c r="R186" s="81"/>
      <c r="S186" s="81"/>
      <c r="T186" s="81" t="s">
        <v>703</v>
      </c>
      <c r="U186" s="81"/>
      <c r="V186" s="84" t="str">
        <f>HYPERLINK("http://abs.twimg.com/sticky/default_profile_images/default_profile_normal.png")</f>
        <v>http://abs.twimg.com/sticky/default_profile_images/default_profile_normal.png</v>
      </c>
      <c r="W186" s="83">
        <v>44005.34050925926</v>
      </c>
      <c r="X186" s="87">
        <v>44005</v>
      </c>
      <c r="Y186" s="89" t="s">
        <v>911</v>
      </c>
      <c r="Z186" s="84" t="str">
        <f>HYPERLINK("https://twitter.com/bartongeography/status/1275340399712886785")</f>
        <v>https://twitter.com/bartongeography/status/1275340399712886785</v>
      </c>
      <c r="AA186" s="81"/>
      <c r="AB186" s="81"/>
      <c r="AC186" s="89" t="s">
        <v>1121</v>
      </c>
      <c r="AD186" s="81"/>
      <c r="AE186" s="81" t="b">
        <v>0</v>
      </c>
      <c r="AF186" s="81">
        <v>0</v>
      </c>
      <c r="AG186" s="89" t="s">
        <v>1149</v>
      </c>
      <c r="AH186" s="81" t="b">
        <v>0</v>
      </c>
      <c r="AI186" s="81" t="s">
        <v>1150</v>
      </c>
      <c r="AJ186" s="81"/>
      <c r="AK186" s="89" t="s">
        <v>1149</v>
      </c>
      <c r="AL186" s="81" t="b">
        <v>0</v>
      </c>
      <c r="AM186" s="81">
        <v>16</v>
      </c>
      <c r="AN186" s="89" t="s">
        <v>1137</v>
      </c>
      <c r="AO186" s="81" t="s">
        <v>1172</v>
      </c>
      <c r="AP186" s="81" t="b">
        <v>0</v>
      </c>
      <c r="AQ186" s="89" t="s">
        <v>1137</v>
      </c>
      <c r="AR186" s="81" t="s">
        <v>325</v>
      </c>
      <c r="AS186" s="81">
        <v>0</v>
      </c>
      <c r="AT186" s="81">
        <v>0</v>
      </c>
      <c r="AU186" s="81"/>
      <c r="AV186" s="81"/>
      <c r="AW186" s="81"/>
      <c r="AX186" s="81"/>
      <c r="AY186" s="81"/>
      <c r="AZ186" s="81"/>
      <c r="BA186" s="81"/>
      <c r="BB186" s="81"/>
      <c r="BC186">
        <v>1</v>
      </c>
      <c r="BD186" s="80" t="str">
        <f>REPLACE(INDEX(GroupVertices[Group],MATCH(Edges25[[#This Row],[Vertex 1]],GroupVertices[Vertex],0)),1,1,"")</f>
        <v>3</v>
      </c>
      <c r="BE186" s="80" t="str">
        <f>REPLACE(INDEX(GroupVertices[Group],MATCH(Edges25[[#This Row],[Vertex 2]],GroupVertices[Vertex],0)),1,1,"")</f>
        <v>3</v>
      </c>
      <c r="BF186" s="48"/>
      <c r="BG186" s="49"/>
      <c r="BH186" s="48"/>
      <c r="BI186" s="49"/>
      <c r="BJ186" s="48"/>
      <c r="BK186" s="49"/>
      <c r="BL186" s="48"/>
      <c r="BM186" s="49"/>
      <c r="BN186" s="48"/>
    </row>
    <row r="187" spans="1:66" ht="15">
      <c r="A187" s="66" t="s">
        <v>500</v>
      </c>
      <c r="B187" s="66" t="s">
        <v>534</v>
      </c>
      <c r="C187" s="67"/>
      <c r="D187" s="68"/>
      <c r="E187" s="69"/>
      <c r="F187" s="70"/>
      <c r="G187" s="67"/>
      <c r="H187" s="71"/>
      <c r="I187" s="72"/>
      <c r="J187" s="72"/>
      <c r="K187" s="34" t="s">
        <v>65</v>
      </c>
      <c r="L187" s="79">
        <v>379</v>
      </c>
      <c r="M187" s="79"/>
      <c r="N187" s="74"/>
      <c r="O187" s="81" t="s">
        <v>588</v>
      </c>
      <c r="P187" s="83">
        <v>44005.341319444444</v>
      </c>
      <c r="Q187" s="81" t="s">
        <v>611</v>
      </c>
      <c r="R187" s="81"/>
      <c r="S187" s="81"/>
      <c r="T187" s="81" t="s">
        <v>711</v>
      </c>
      <c r="U187" s="81"/>
      <c r="V187" s="84" t="str">
        <f>HYPERLINK("http://pbs.twimg.com/profile_images/1244906928192606208/wCdVOodt_normal.jpg")</f>
        <v>http://pbs.twimg.com/profile_images/1244906928192606208/wCdVOodt_normal.jpg</v>
      </c>
      <c r="W187" s="83">
        <v>44005.341319444444</v>
      </c>
      <c r="X187" s="87">
        <v>44005</v>
      </c>
      <c r="Y187" s="89" t="s">
        <v>912</v>
      </c>
      <c r="Z187" s="84" t="str">
        <f>HYPERLINK("https://twitter.com/asashaelizabeth/status/1275340694094319616")</f>
        <v>https://twitter.com/asashaelizabeth/status/1275340694094319616</v>
      </c>
      <c r="AA187" s="81"/>
      <c r="AB187" s="81"/>
      <c r="AC187" s="89" t="s">
        <v>1122</v>
      </c>
      <c r="AD187" s="81"/>
      <c r="AE187" s="81" t="b">
        <v>0</v>
      </c>
      <c r="AF187" s="81">
        <v>0</v>
      </c>
      <c r="AG187" s="89" t="s">
        <v>1149</v>
      </c>
      <c r="AH187" s="81" t="b">
        <v>0</v>
      </c>
      <c r="AI187" s="81" t="s">
        <v>1150</v>
      </c>
      <c r="AJ187" s="81"/>
      <c r="AK187" s="89" t="s">
        <v>1149</v>
      </c>
      <c r="AL187" s="81" t="b">
        <v>0</v>
      </c>
      <c r="AM187" s="81">
        <v>23</v>
      </c>
      <c r="AN187" s="89" t="s">
        <v>1139</v>
      </c>
      <c r="AO187" s="81" t="s">
        <v>1176</v>
      </c>
      <c r="AP187" s="81" t="b">
        <v>0</v>
      </c>
      <c r="AQ187" s="89" t="s">
        <v>1139</v>
      </c>
      <c r="AR187" s="81" t="s">
        <v>325</v>
      </c>
      <c r="AS187" s="81">
        <v>0</v>
      </c>
      <c r="AT187" s="81">
        <v>0</v>
      </c>
      <c r="AU187" s="81"/>
      <c r="AV187" s="81"/>
      <c r="AW187" s="81"/>
      <c r="AX187" s="81"/>
      <c r="AY187" s="81"/>
      <c r="AZ187" s="81"/>
      <c r="BA187" s="81"/>
      <c r="BB187" s="81"/>
      <c r="BC187">
        <v>1</v>
      </c>
      <c r="BD187" s="80" t="str">
        <f>REPLACE(INDEX(GroupVertices[Group],MATCH(Edges25[[#This Row],[Vertex 1]],GroupVertices[Vertex],0)),1,1,"")</f>
        <v>4</v>
      </c>
      <c r="BE187" s="80" t="str">
        <f>REPLACE(INDEX(GroupVertices[Group],MATCH(Edges25[[#This Row],[Vertex 2]],GroupVertices[Vertex],0)),1,1,"")</f>
        <v>4</v>
      </c>
      <c r="BF187" s="48"/>
      <c r="BG187" s="49"/>
      <c r="BH187" s="48"/>
      <c r="BI187" s="49"/>
      <c r="BJ187" s="48"/>
      <c r="BK187" s="49"/>
      <c r="BL187" s="48"/>
      <c r="BM187" s="49"/>
      <c r="BN187" s="48"/>
    </row>
    <row r="188" spans="1:66" ht="15">
      <c r="A188" s="66" t="s">
        <v>501</v>
      </c>
      <c r="B188" s="66" t="s">
        <v>526</v>
      </c>
      <c r="C188" s="67"/>
      <c r="D188" s="68"/>
      <c r="E188" s="69"/>
      <c r="F188" s="70"/>
      <c r="G188" s="67"/>
      <c r="H188" s="71"/>
      <c r="I188" s="72"/>
      <c r="J188" s="72"/>
      <c r="K188" s="34" t="s">
        <v>65</v>
      </c>
      <c r="L188" s="79">
        <v>381</v>
      </c>
      <c r="M188" s="79"/>
      <c r="N188" s="74"/>
      <c r="O188" s="81" t="s">
        <v>588</v>
      </c>
      <c r="P188" s="83">
        <v>44005.34388888889</v>
      </c>
      <c r="Q188" s="81" t="s">
        <v>612</v>
      </c>
      <c r="R188" s="81"/>
      <c r="S188" s="81"/>
      <c r="T188" s="81" t="s">
        <v>703</v>
      </c>
      <c r="U188" s="81"/>
      <c r="V188" s="84" t="str">
        <f>HYPERLINK("http://pbs.twimg.com/profile_images/1250894489142640640/SGPTHHwM_normal.jpg")</f>
        <v>http://pbs.twimg.com/profile_images/1250894489142640640/SGPTHHwM_normal.jpg</v>
      </c>
      <c r="W188" s="83">
        <v>44005.34388888889</v>
      </c>
      <c r="X188" s="87">
        <v>44005</v>
      </c>
      <c r="Y188" s="89" t="s">
        <v>913</v>
      </c>
      <c r="Z188" s="84" t="str">
        <f>HYPERLINK("https://twitter.com/mrs_geog/status/1275341624063729665")</f>
        <v>https://twitter.com/mrs_geog/status/1275341624063729665</v>
      </c>
      <c r="AA188" s="81"/>
      <c r="AB188" s="81"/>
      <c r="AC188" s="89" t="s">
        <v>1123</v>
      </c>
      <c r="AD188" s="81"/>
      <c r="AE188" s="81" t="b">
        <v>0</v>
      </c>
      <c r="AF188" s="81">
        <v>0</v>
      </c>
      <c r="AG188" s="89" t="s">
        <v>1149</v>
      </c>
      <c r="AH188" s="81" t="b">
        <v>0</v>
      </c>
      <c r="AI188" s="81" t="s">
        <v>1150</v>
      </c>
      <c r="AJ188" s="81"/>
      <c r="AK188" s="89" t="s">
        <v>1149</v>
      </c>
      <c r="AL188" s="81" t="b">
        <v>0</v>
      </c>
      <c r="AM188" s="81">
        <v>16</v>
      </c>
      <c r="AN188" s="89" t="s">
        <v>1137</v>
      </c>
      <c r="AO188" s="81" t="s">
        <v>1165</v>
      </c>
      <c r="AP188" s="81" t="b">
        <v>0</v>
      </c>
      <c r="AQ188" s="89" t="s">
        <v>1137</v>
      </c>
      <c r="AR188" s="81" t="s">
        <v>325</v>
      </c>
      <c r="AS188" s="81">
        <v>0</v>
      </c>
      <c r="AT188" s="81">
        <v>0</v>
      </c>
      <c r="AU188" s="81"/>
      <c r="AV188" s="81"/>
      <c r="AW188" s="81"/>
      <c r="AX188" s="81"/>
      <c r="AY188" s="81"/>
      <c r="AZ188" s="81"/>
      <c r="BA188" s="81"/>
      <c r="BB188" s="81"/>
      <c r="BC188">
        <v>1</v>
      </c>
      <c r="BD188" s="80" t="str">
        <f>REPLACE(INDEX(GroupVertices[Group],MATCH(Edges25[[#This Row],[Vertex 1]],GroupVertices[Vertex],0)),1,1,"")</f>
        <v>3</v>
      </c>
      <c r="BE188" s="80" t="str">
        <f>REPLACE(INDEX(GroupVertices[Group],MATCH(Edges25[[#This Row],[Vertex 2]],GroupVertices[Vertex],0)),1,1,"")</f>
        <v>3</v>
      </c>
      <c r="BF188" s="48"/>
      <c r="BG188" s="49"/>
      <c r="BH188" s="48"/>
      <c r="BI188" s="49"/>
      <c r="BJ188" s="48"/>
      <c r="BK188" s="49"/>
      <c r="BL188" s="48"/>
      <c r="BM188" s="49"/>
      <c r="BN188" s="48"/>
    </row>
    <row r="189" spans="1:66" ht="15">
      <c r="A189" s="66" t="s">
        <v>482</v>
      </c>
      <c r="B189" s="66" t="s">
        <v>524</v>
      </c>
      <c r="C189" s="67"/>
      <c r="D189" s="68"/>
      <c r="E189" s="69"/>
      <c r="F189" s="70"/>
      <c r="G189" s="67"/>
      <c r="H189" s="71"/>
      <c r="I189" s="72"/>
      <c r="J189" s="72"/>
      <c r="K189" s="34" t="s">
        <v>65</v>
      </c>
      <c r="L189" s="79">
        <v>384</v>
      </c>
      <c r="M189" s="79"/>
      <c r="N189" s="74"/>
      <c r="O189" s="81" t="s">
        <v>587</v>
      </c>
      <c r="P189" s="83">
        <v>44004.5056712963</v>
      </c>
      <c r="Q189" s="81" t="s">
        <v>597</v>
      </c>
      <c r="R189" s="84" t="str">
        <f>HYPERLINK("https://datajournalism.com/read/longreads/data-journalism-a-guide-for-editors")</f>
        <v>https://datajournalism.com/read/longreads/data-journalism-a-guide-for-editors</v>
      </c>
      <c r="S189" s="81" t="s">
        <v>685</v>
      </c>
      <c r="T189" s="81" t="s">
        <v>724</v>
      </c>
      <c r="U189" s="84" t="str">
        <f>HYPERLINK("https://pbs.twimg.com/media/EbHQWCaXsAAOpuH.jpg")</f>
        <v>https://pbs.twimg.com/media/EbHQWCaXsAAOpuH.jpg</v>
      </c>
      <c r="V189" s="84" t="str">
        <f>HYPERLINK("https://pbs.twimg.com/media/EbHQWCaXsAAOpuH.jpg")</f>
        <v>https://pbs.twimg.com/media/EbHQWCaXsAAOpuH.jpg</v>
      </c>
      <c r="W189" s="83">
        <v>44004.5056712963</v>
      </c>
      <c r="X189" s="87">
        <v>44004</v>
      </c>
      <c r="Y189" s="89" t="s">
        <v>914</v>
      </c>
      <c r="Z189" s="84" t="str">
        <f>HYPERLINK("https://twitter.com/datajournalism/status/1275037865118965761")</f>
        <v>https://twitter.com/datajournalism/status/1275037865118965761</v>
      </c>
      <c r="AA189" s="81"/>
      <c r="AB189" s="81"/>
      <c r="AC189" s="89" t="s">
        <v>1124</v>
      </c>
      <c r="AD189" s="81"/>
      <c r="AE189" s="81" t="b">
        <v>0</v>
      </c>
      <c r="AF189" s="81">
        <v>22</v>
      </c>
      <c r="AG189" s="89" t="s">
        <v>1149</v>
      </c>
      <c r="AH189" s="81" t="b">
        <v>0</v>
      </c>
      <c r="AI189" s="81" t="s">
        <v>1150</v>
      </c>
      <c r="AJ189" s="81"/>
      <c r="AK189" s="89" t="s">
        <v>1149</v>
      </c>
      <c r="AL189" s="81" t="b">
        <v>0</v>
      </c>
      <c r="AM189" s="81">
        <v>6</v>
      </c>
      <c r="AN189" s="89" t="s">
        <v>1149</v>
      </c>
      <c r="AO189" s="81" t="s">
        <v>1172</v>
      </c>
      <c r="AP189" s="81" t="b">
        <v>0</v>
      </c>
      <c r="AQ189" s="89" t="s">
        <v>1124</v>
      </c>
      <c r="AR189" s="81" t="s">
        <v>325</v>
      </c>
      <c r="AS189" s="81">
        <v>0</v>
      </c>
      <c r="AT189" s="81">
        <v>0</v>
      </c>
      <c r="AU189" s="81"/>
      <c r="AV189" s="81"/>
      <c r="AW189" s="81"/>
      <c r="AX189" s="81"/>
      <c r="AY189" s="81"/>
      <c r="AZ189" s="81"/>
      <c r="BA189" s="81"/>
      <c r="BB189" s="81"/>
      <c r="BC189">
        <v>1</v>
      </c>
      <c r="BD189" s="80" t="str">
        <f>REPLACE(INDEX(GroupVertices[Group],MATCH(Edges25[[#This Row],[Vertex 1]],GroupVertices[Vertex],0)),1,1,"")</f>
        <v>5</v>
      </c>
      <c r="BE189" s="80" t="str">
        <f>REPLACE(INDEX(GroupVertices[Group],MATCH(Edges25[[#This Row],[Vertex 2]],GroupVertices[Vertex],0)),1,1,"")</f>
        <v>5</v>
      </c>
      <c r="BF189" s="48"/>
      <c r="BG189" s="49"/>
      <c r="BH189" s="48"/>
      <c r="BI189" s="49"/>
      <c r="BJ189" s="48"/>
      <c r="BK189" s="49"/>
      <c r="BL189" s="48"/>
      <c r="BM189" s="49"/>
      <c r="BN189" s="48"/>
    </row>
    <row r="190" spans="1:66" ht="15">
      <c r="A190" s="66" t="s">
        <v>502</v>
      </c>
      <c r="B190" s="66" t="s">
        <v>524</v>
      </c>
      <c r="C190" s="67"/>
      <c r="D190" s="68"/>
      <c r="E190" s="69"/>
      <c r="F190" s="70"/>
      <c r="G190" s="67"/>
      <c r="H190" s="71"/>
      <c r="I190" s="72"/>
      <c r="J190" s="72"/>
      <c r="K190" s="34" t="s">
        <v>65</v>
      </c>
      <c r="L190" s="79">
        <v>385</v>
      </c>
      <c r="M190" s="79"/>
      <c r="N190" s="74"/>
      <c r="O190" s="81" t="s">
        <v>588</v>
      </c>
      <c r="P190" s="83">
        <v>44005.35103009259</v>
      </c>
      <c r="Q190" s="81" t="s">
        <v>597</v>
      </c>
      <c r="R190" s="81"/>
      <c r="S190" s="81"/>
      <c r="T190" s="81" t="s">
        <v>699</v>
      </c>
      <c r="U190" s="81"/>
      <c r="V190" s="84" t="str">
        <f>HYPERLINK("http://pbs.twimg.com/profile_images/989588955376037888/bOy3ja6W_normal.jpg")</f>
        <v>http://pbs.twimg.com/profile_images/989588955376037888/bOy3ja6W_normal.jpg</v>
      </c>
      <c r="W190" s="83">
        <v>44005.35103009259</v>
      </c>
      <c r="X190" s="87">
        <v>44005</v>
      </c>
      <c r="Y190" s="89" t="s">
        <v>915</v>
      </c>
      <c r="Z190" s="84" t="str">
        <f>HYPERLINK("https://twitter.com/c_aguilargarcia/status/1275344211341172736")</f>
        <v>https://twitter.com/c_aguilargarcia/status/1275344211341172736</v>
      </c>
      <c r="AA190" s="81"/>
      <c r="AB190" s="81"/>
      <c r="AC190" s="89" t="s">
        <v>1125</v>
      </c>
      <c r="AD190" s="81"/>
      <c r="AE190" s="81" t="b">
        <v>0</v>
      </c>
      <c r="AF190" s="81">
        <v>0</v>
      </c>
      <c r="AG190" s="89" t="s">
        <v>1149</v>
      </c>
      <c r="AH190" s="81" t="b">
        <v>0</v>
      </c>
      <c r="AI190" s="81" t="s">
        <v>1150</v>
      </c>
      <c r="AJ190" s="81"/>
      <c r="AK190" s="89" t="s">
        <v>1149</v>
      </c>
      <c r="AL190" s="81" t="b">
        <v>0</v>
      </c>
      <c r="AM190" s="81">
        <v>6</v>
      </c>
      <c r="AN190" s="89" t="s">
        <v>1124</v>
      </c>
      <c r="AO190" s="81" t="s">
        <v>1176</v>
      </c>
      <c r="AP190" s="81" t="b">
        <v>0</v>
      </c>
      <c r="AQ190" s="89" t="s">
        <v>1124</v>
      </c>
      <c r="AR190" s="81" t="s">
        <v>325</v>
      </c>
      <c r="AS190" s="81">
        <v>0</v>
      </c>
      <c r="AT190" s="81">
        <v>0</v>
      </c>
      <c r="AU190" s="81"/>
      <c r="AV190" s="81"/>
      <c r="AW190" s="81"/>
      <c r="AX190" s="81"/>
      <c r="AY190" s="81"/>
      <c r="AZ190" s="81"/>
      <c r="BA190" s="81"/>
      <c r="BB190" s="81"/>
      <c r="BC190">
        <v>1</v>
      </c>
      <c r="BD190" s="80" t="str">
        <f>REPLACE(INDEX(GroupVertices[Group],MATCH(Edges25[[#This Row],[Vertex 1]],GroupVertices[Vertex],0)),1,1,"")</f>
        <v>5</v>
      </c>
      <c r="BE190" s="80" t="str">
        <f>REPLACE(INDEX(GroupVertices[Group],MATCH(Edges25[[#This Row],[Vertex 2]],GroupVertices[Vertex],0)),1,1,"")</f>
        <v>5</v>
      </c>
      <c r="BF190" s="48"/>
      <c r="BG190" s="49"/>
      <c r="BH190" s="48"/>
      <c r="BI190" s="49"/>
      <c r="BJ190" s="48"/>
      <c r="BK190" s="49"/>
      <c r="BL190" s="48"/>
      <c r="BM190" s="49"/>
      <c r="BN190" s="48"/>
    </row>
    <row r="191" spans="1:66" ht="15">
      <c r="A191" s="66" t="s">
        <v>482</v>
      </c>
      <c r="B191" s="66" t="s">
        <v>482</v>
      </c>
      <c r="C191" s="67"/>
      <c r="D191" s="68"/>
      <c r="E191" s="69"/>
      <c r="F191" s="70"/>
      <c r="G191" s="67"/>
      <c r="H191" s="71"/>
      <c r="I191" s="72"/>
      <c r="J191" s="72"/>
      <c r="K191" s="34" t="s">
        <v>65</v>
      </c>
      <c r="L191" s="79">
        <v>388</v>
      </c>
      <c r="M191" s="79"/>
      <c r="N191" s="74"/>
      <c r="O191" s="81" t="s">
        <v>325</v>
      </c>
      <c r="P191" s="83">
        <v>44005.249918981484</v>
      </c>
      <c r="Q191" s="81" t="s">
        <v>666</v>
      </c>
      <c r="R191" s="84" t="str">
        <f>HYPERLINK("https://datajournalism.com/listen")</f>
        <v>https://datajournalism.com/listen</v>
      </c>
      <c r="S191" s="81" t="s">
        <v>685</v>
      </c>
      <c r="T191" s="81" t="s">
        <v>725</v>
      </c>
      <c r="U191" s="84" t="str">
        <f>HYPERLINK("https://pbs.twimg.com/media/EbLLSVpWoAAFv5o.jpg")</f>
        <v>https://pbs.twimg.com/media/EbLLSVpWoAAFv5o.jpg</v>
      </c>
      <c r="V191" s="84" t="str">
        <f>HYPERLINK("https://pbs.twimg.com/media/EbLLSVpWoAAFv5o.jpg")</f>
        <v>https://pbs.twimg.com/media/EbLLSVpWoAAFv5o.jpg</v>
      </c>
      <c r="W191" s="83">
        <v>44005.249918981484</v>
      </c>
      <c r="X191" s="87">
        <v>44005</v>
      </c>
      <c r="Y191" s="89" t="s">
        <v>916</v>
      </c>
      <c r="Z191" s="84" t="str">
        <f>HYPERLINK("https://twitter.com/datajournalism/status/1275307568768921607")</f>
        <v>https://twitter.com/datajournalism/status/1275307568768921607</v>
      </c>
      <c r="AA191" s="81"/>
      <c r="AB191" s="81"/>
      <c r="AC191" s="89" t="s">
        <v>1126</v>
      </c>
      <c r="AD191" s="81"/>
      <c r="AE191" s="81" t="b">
        <v>0</v>
      </c>
      <c r="AF191" s="81">
        <v>13</v>
      </c>
      <c r="AG191" s="89" t="s">
        <v>1149</v>
      </c>
      <c r="AH191" s="81" t="b">
        <v>0</v>
      </c>
      <c r="AI191" s="81" t="s">
        <v>1150</v>
      </c>
      <c r="AJ191" s="81"/>
      <c r="AK191" s="89" t="s">
        <v>1149</v>
      </c>
      <c r="AL191" s="81" t="b">
        <v>0</v>
      </c>
      <c r="AM191" s="81">
        <v>4</v>
      </c>
      <c r="AN191" s="89" t="s">
        <v>1149</v>
      </c>
      <c r="AO191" s="81" t="s">
        <v>1172</v>
      </c>
      <c r="AP191" s="81" t="b">
        <v>0</v>
      </c>
      <c r="AQ191" s="89" t="s">
        <v>1126</v>
      </c>
      <c r="AR191" s="81" t="s">
        <v>325</v>
      </c>
      <c r="AS191" s="81">
        <v>0</v>
      </c>
      <c r="AT191" s="81">
        <v>0</v>
      </c>
      <c r="AU191" s="81"/>
      <c r="AV191" s="81"/>
      <c r="AW191" s="81"/>
      <c r="AX191" s="81"/>
      <c r="AY191" s="81"/>
      <c r="AZ191" s="81"/>
      <c r="BA191" s="81"/>
      <c r="BB191" s="81"/>
      <c r="BC191">
        <v>1</v>
      </c>
      <c r="BD191" s="80" t="str">
        <f>REPLACE(INDEX(GroupVertices[Group],MATCH(Edges25[[#This Row],[Vertex 1]],GroupVertices[Vertex],0)),1,1,"")</f>
        <v>5</v>
      </c>
      <c r="BE191" s="80" t="str">
        <f>REPLACE(INDEX(GroupVertices[Group],MATCH(Edges25[[#This Row],[Vertex 2]],GroupVertices[Vertex],0)),1,1,"")</f>
        <v>5</v>
      </c>
      <c r="BF191" s="48">
        <v>1</v>
      </c>
      <c r="BG191" s="49">
        <v>3.7037037037037037</v>
      </c>
      <c r="BH191" s="48">
        <v>0</v>
      </c>
      <c r="BI191" s="49">
        <v>0</v>
      </c>
      <c r="BJ191" s="48">
        <v>0</v>
      </c>
      <c r="BK191" s="49">
        <v>0</v>
      </c>
      <c r="BL191" s="48">
        <v>26</v>
      </c>
      <c r="BM191" s="49">
        <v>96.29629629629629</v>
      </c>
      <c r="BN191" s="48">
        <v>27</v>
      </c>
    </row>
    <row r="192" spans="1:66" ht="15">
      <c r="A192" s="66" t="s">
        <v>503</v>
      </c>
      <c r="B192" s="66" t="s">
        <v>534</v>
      </c>
      <c r="C192" s="67"/>
      <c r="D192" s="68"/>
      <c r="E192" s="69"/>
      <c r="F192" s="70"/>
      <c r="G192" s="67"/>
      <c r="H192" s="71"/>
      <c r="I192" s="72"/>
      <c r="J192" s="72"/>
      <c r="K192" s="34" t="s">
        <v>65</v>
      </c>
      <c r="L192" s="79">
        <v>390</v>
      </c>
      <c r="M192" s="79"/>
      <c r="N192" s="74"/>
      <c r="O192" s="81" t="s">
        <v>588</v>
      </c>
      <c r="P192" s="83">
        <v>44005.35376157407</v>
      </c>
      <c r="Q192" s="81" t="s">
        <v>611</v>
      </c>
      <c r="R192" s="81"/>
      <c r="S192" s="81"/>
      <c r="T192" s="81" t="s">
        <v>711</v>
      </c>
      <c r="U192" s="81"/>
      <c r="V192" s="84" t="str">
        <f>HYPERLINK("http://pbs.twimg.com/profile_images/1194697938620035072/G9LxzJ-7_normal.jpg")</f>
        <v>http://pbs.twimg.com/profile_images/1194697938620035072/G9LxzJ-7_normal.jpg</v>
      </c>
      <c r="W192" s="83">
        <v>44005.35376157407</v>
      </c>
      <c r="X192" s="87">
        <v>44005</v>
      </c>
      <c r="Y192" s="89" t="s">
        <v>917</v>
      </c>
      <c r="Z192" s="84" t="str">
        <f>HYPERLINK("https://twitter.com/margueritesall4/status/1275345202815938564")</f>
        <v>https://twitter.com/margueritesall4/status/1275345202815938564</v>
      </c>
      <c r="AA192" s="81"/>
      <c r="AB192" s="81"/>
      <c r="AC192" s="89" t="s">
        <v>1127</v>
      </c>
      <c r="AD192" s="81"/>
      <c r="AE192" s="81" t="b">
        <v>0</v>
      </c>
      <c r="AF192" s="81">
        <v>0</v>
      </c>
      <c r="AG192" s="89" t="s">
        <v>1149</v>
      </c>
      <c r="AH192" s="81" t="b">
        <v>0</v>
      </c>
      <c r="AI192" s="81" t="s">
        <v>1150</v>
      </c>
      <c r="AJ192" s="81"/>
      <c r="AK192" s="89" t="s">
        <v>1149</v>
      </c>
      <c r="AL192" s="81" t="b">
        <v>0</v>
      </c>
      <c r="AM192" s="81">
        <v>23</v>
      </c>
      <c r="AN192" s="89" t="s">
        <v>1139</v>
      </c>
      <c r="AO192" s="81" t="s">
        <v>1165</v>
      </c>
      <c r="AP192" s="81" t="b">
        <v>0</v>
      </c>
      <c r="AQ192" s="89" t="s">
        <v>1139</v>
      </c>
      <c r="AR192" s="81" t="s">
        <v>325</v>
      </c>
      <c r="AS192" s="81">
        <v>0</v>
      </c>
      <c r="AT192" s="81">
        <v>0</v>
      </c>
      <c r="AU192" s="81"/>
      <c r="AV192" s="81"/>
      <c r="AW192" s="81"/>
      <c r="AX192" s="81"/>
      <c r="AY192" s="81"/>
      <c r="AZ192" s="81"/>
      <c r="BA192" s="81"/>
      <c r="BB192" s="81"/>
      <c r="BC192">
        <v>1</v>
      </c>
      <c r="BD192" s="80" t="str">
        <f>REPLACE(INDEX(GroupVertices[Group],MATCH(Edges25[[#This Row],[Vertex 1]],GroupVertices[Vertex],0)),1,1,"")</f>
        <v>4</v>
      </c>
      <c r="BE192" s="80" t="str">
        <f>REPLACE(INDEX(GroupVertices[Group],MATCH(Edges25[[#This Row],[Vertex 2]],GroupVertices[Vertex],0)),1,1,"")</f>
        <v>4</v>
      </c>
      <c r="BF192" s="48"/>
      <c r="BG192" s="49"/>
      <c r="BH192" s="48"/>
      <c r="BI192" s="49"/>
      <c r="BJ192" s="48"/>
      <c r="BK192" s="49"/>
      <c r="BL192" s="48"/>
      <c r="BM192" s="49"/>
      <c r="BN192" s="48"/>
    </row>
    <row r="193" spans="1:66" ht="15">
      <c r="A193" s="66" t="s">
        <v>504</v>
      </c>
      <c r="B193" s="66" t="s">
        <v>584</v>
      </c>
      <c r="C193" s="67"/>
      <c r="D193" s="68"/>
      <c r="E193" s="69"/>
      <c r="F193" s="70"/>
      <c r="G193" s="67"/>
      <c r="H193" s="71"/>
      <c r="I193" s="72"/>
      <c r="J193" s="72"/>
      <c r="K193" s="34" t="s">
        <v>65</v>
      </c>
      <c r="L193" s="79">
        <v>392</v>
      </c>
      <c r="M193" s="79"/>
      <c r="N193" s="74"/>
      <c r="O193" s="81" t="s">
        <v>587</v>
      </c>
      <c r="P193" s="83">
        <v>43984.491006944445</v>
      </c>
      <c r="Q193" s="81" t="s">
        <v>670</v>
      </c>
      <c r="R193" s="84" t="str">
        <f>HYPERLINK("https://dansmonlabo.com/2020/06/01/jai-repris-la-chasse-aux-cliches-dans-les-medias-et-voila-ce-que-jai-appris-1969/")</f>
        <v>https://dansmonlabo.com/2020/06/01/jai-repris-la-chasse-aux-cliches-dans-les-medias-et-voila-ce-que-jai-appris-1969/</v>
      </c>
      <c r="S193" s="81" t="s">
        <v>687</v>
      </c>
      <c r="T193" s="81" t="s">
        <v>726</v>
      </c>
      <c r="U193" s="84" t="str">
        <f>HYPERLINK("https://pbs.twimg.com/media/EZgTjC_WkAIvWLA.jpg")</f>
        <v>https://pbs.twimg.com/media/EZgTjC_WkAIvWLA.jpg</v>
      </c>
      <c r="V193" s="84" t="str">
        <f>HYPERLINK("https://pbs.twimg.com/media/EZgTjC_WkAIvWLA.jpg")</f>
        <v>https://pbs.twimg.com/media/EZgTjC_WkAIvWLA.jpg</v>
      </c>
      <c r="W193" s="83">
        <v>43984.491006944445</v>
      </c>
      <c r="X193" s="87">
        <v>43984</v>
      </c>
      <c r="Y193" s="89" t="s">
        <v>918</v>
      </c>
      <c r="Z193" s="84" t="str">
        <f>HYPERLINK("https://twitter.com/gijnfr/status/1267784790511693824")</f>
        <v>https://twitter.com/gijnfr/status/1267784790511693824</v>
      </c>
      <c r="AA193" s="81"/>
      <c r="AB193" s="81"/>
      <c r="AC193" s="89" t="s">
        <v>1128</v>
      </c>
      <c r="AD193" s="81"/>
      <c r="AE193" s="81" t="b">
        <v>0</v>
      </c>
      <c r="AF193" s="81">
        <v>5</v>
      </c>
      <c r="AG193" s="89" t="s">
        <v>1149</v>
      </c>
      <c r="AH193" s="81" t="b">
        <v>0</v>
      </c>
      <c r="AI193" s="81" t="s">
        <v>1158</v>
      </c>
      <c r="AJ193" s="81"/>
      <c r="AK193" s="89" t="s">
        <v>1149</v>
      </c>
      <c r="AL193" s="81" t="b">
        <v>0</v>
      </c>
      <c r="AM193" s="81">
        <v>8</v>
      </c>
      <c r="AN193" s="89" t="s">
        <v>1149</v>
      </c>
      <c r="AO193" s="81" t="s">
        <v>1174</v>
      </c>
      <c r="AP193" s="81" t="b">
        <v>0</v>
      </c>
      <c r="AQ193" s="89" t="s">
        <v>1128</v>
      </c>
      <c r="AR193" s="81" t="s">
        <v>586</v>
      </c>
      <c r="AS193" s="81">
        <v>0</v>
      </c>
      <c r="AT193" s="81">
        <v>0</v>
      </c>
      <c r="AU193" s="81"/>
      <c r="AV193" s="81"/>
      <c r="AW193" s="81"/>
      <c r="AX193" s="81"/>
      <c r="AY193" s="81"/>
      <c r="AZ193" s="81"/>
      <c r="BA193" s="81"/>
      <c r="BB193" s="81"/>
      <c r="BC193">
        <v>1</v>
      </c>
      <c r="BD193" s="80" t="str">
        <f>REPLACE(INDEX(GroupVertices[Group],MATCH(Edges25[[#This Row],[Vertex 1]],GroupVertices[Vertex],0)),1,1,"")</f>
        <v>17</v>
      </c>
      <c r="BE193" s="80" t="str">
        <f>REPLACE(INDEX(GroupVertices[Group],MATCH(Edges25[[#This Row],[Vertex 2]],GroupVertices[Vertex],0)),1,1,"")</f>
        <v>17</v>
      </c>
      <c r="BF193" s="48">
        <v>0</v>
      </c>
      <c r="BG193" s="49">
        <v>0</v>
      </c>
      <c r="BH193" s="48">
        <v>0</v>
      </c>
      <c r="BI193" s="49">
        <v>0</v>
      </c>
      <c r="BJ193" s="48">
        <v>0</v>
      </c>
      <c r="BK193" s="49">
        <v>0</v>
      </c>
      <c r="BL193" s="48">
        <v>34</v>
      </c>
      <c r="BM193" s="49">
        <v>100</v>
      </c>
      <c r="BN193" s="48">
        <v>34</v>
      </c>
    </row>
    <row r="194" spans="1:66" ht="15">
      <c r="A194" s="66" t="s">
        <v>505</v>
      </c>
      <c r="B194" s="66" t="s">
        <v>584</v>
      </c>
      <c r="C194" s="67"/>
      <c r="D194" s="68"/>
      <c r="E194" s="69"/>
      <c r="F194" s="70"/>
      <c r="G194" s="67"/>
      <c r="H194" s="71"/>
      <c r="I194" s="72"/>
      <c r="J194" s="72"/>
      <c r="K194" s="34" t="s">
        <v>65</v>
      </c>
      <c r="L194" s="79">
        <v>393</v>
      </c>
      <c r="M194" s="79"/>
      <c r="N194" s="74"/>
      <c r="O194" s="81" t="s">
        <v>588</v>
      </c>
      <c r="P194" s="83">
        <v>44005.363020833334</v>
      </c>
      <c r="Q194" s="81" t="s">
        <v>670</v>
      </c>
      <c r="R194" s="81"/>
      <c r="S194" s="81"/>
      <c r="T194" s="81"/>
      <c r="U194" s="81"/>
      <c r="V194" s="84" t="str">
        <f>HYPERLINK("http://pbs.twimg.com/profile_images/1256574435877892097/ZvJj6ylD_normal.jpg")</f>
        <v>http://pbs.twimg.com/profile_images/1256574435877892097/ZvJj6ylD_normal.jpg</v>
      </c>
      <c r="W194" s="83">
        <v>44005.363020833334</v>
      </c>
      <c r="X194" s="87">
        <v>44005</v>
      </c>
      <c r="Y194" s="89" t="s">
        <v>919</v>
      </c>
      <c r="Z194" s="84" t="str">
        <f>HYPERLINK("https://twitter.com/yerimzwxrhjsky/status/1275348556992229376")</f>
        <v>https://twitter.com/yerimzwxrhjsky/status/1275348556992229376</v>
      </c>
      <c r="AA194" s="81"/>
      <c r="AB194" s="81"/>
      <c r="AC194" s="89" t="s">
        <v>1129</v>
      </c>
      <c r="AD194" s="81"/>
      <c r="AE194" s="81" t="b">
        <v>0</v>
      </c>
      <c r="AF194" s="81">
        <v>0</v>
      </c>
      <c r="AG194" s="89" t="s">
        <v>1149</v>
      </c>
      <c r="AH194" s="81" t="b">
        <v>0</v>
      </c>
      <c r="AI194" s="81" t="s">
        <v>1158</v>
      </c>
      <c r="AJ194" s="81"/>
      <c r="AK194" s="89" t="s">
        <v>1149</v>
      </c>
      <c r="AL194" s="81" t="b">
        <v>0</v>
      </c>
      <c r="AM194" s="81">
        <v>8</v>
      </c>
      <c r="AN194" s="89" t="s">
        <v>1128</v>
      </c>
      <c r="AO194" s="81" t="s">
        <v>1176</v>
      </c>
      <c r="AP194" s="81" t="b">
        <v>0</v>
      </c>
      <c r="AQ194" s="89" t="s">
        <v>1128</v>
      </c>
      <c r="AR194" s="81" t="s">
        <v>325</v>
      </c>
      <c r="AS194" s="81">
        <v>0</v>
      </c>
      <c r="AT194" s="81">
        <v>0</v>
      </c>
      <c r="AU194" s="81"/>
      <c r="AV194" s="81"/>
      <c r="AW194" s="81"/>
      <c r="AX194" s="81"/>
      <c r="AY194" s="81"/>
      <c r="AZ194" s="81"/>
      <c r="BA194" s="81"/>
      <c r="BB194" s="81"/>
      <c r="BC194">
        <v>1</v>
      </c>
      <c r="BD194" s="80" t="str">
        <f>REPLACE(INDEX(GroupVertices[Group],MATCH(Edges25[[#This Row],[Vertex 1]],GroupVertices[Vertex],0)),1,1,"")</f>
        <v>17</v>
      </c>
      <c r="BE194" s="80" t="str">
        <f>REPLACE(INDEX(GroupVertices[Group],MATCH(Edges25[[#This Row],[Vertex 2]],GroupVertices[Vertex],0)),1,1,"")</f>
        <v>17</v>
      </c>
      <c r="BF194" s="48"/>
      <c r="BG194" s="49"/>
      <c r="BH194" s="48"/>
      <c r="BI194" s="49"/>
      <c r="BJ194" s="48"/>
      <c r="BK194" s="49"/>
      <c r="BL194" s="48"/>
      <c r="BM194" s="49"/>
      <c r="BN194" s="48"/>
    </row>
    <row r="195" spans="1:66" ht="15">
      <c r="A195" s="66" t="s">
        <v>504</v>
      </c>
      <c r="B195" s="66" t="s">
        <v>504</v>
      </c>
      <c r="C195" s="67"/>
      <c r="D195" s="68"/>
      <c r="E195" s="69"/>
      <c r="F195" s="70"/>
      <c r="G195" s="67"/>
      <c r="H195" s="71"/>
      <c r="I195" s="72"/>
      <c r="J195" s="72"/>
      <c r="K195" s="34" t="s">
        <v>65</v>
      </c>
      <c r="L195" s="79">
        <v>394</v>
      </c>
      <c r="M195" s="79"/>
      <c r="N195" s="74"/>
      <c r="O195" s="81" t="s">
        <v>325</v>
      </c>
      <c r="P195" s="83">
        <v>43983.60418981482</v>
      </c>
      <c r="Q195" s="81" t="s">
        <v>671</v>
      </c>
      <c r="R195" s="84" t="str">
        <f>HYPERLINK("https://gijn.org/2019/10/08/les-meilleurs-outils-pour-collecter-des-donnees-exclusives/")</f>
        <v>https://gijn.org/2019/10/08/les-meilleurs-outils-pour-collecter-des-donnees-exclusives/</v>
      </c>
      <c r="S195" s="81" t="s">
        <v>688</v>
      </c>
      <c r="T195" s="81" t="s">
        <v>707</v>
      </c>
      <c r="U195" s="84" t="str">
        <f>HYPERLINK("https://pbs.twimg.com/media/EZbvQ9PXgAAwWlN.jpg")</f>
        <v>https://pbs.twimg.com/media/EZbvQ9PXgAAwWlN.jpg</v>
      </c>
      <c r="V195" s="84" t="str">
        <f>HYPERLINK("https://pbs.twimg.com/media/EZbvQ9PXgAAwWlN.jpg")</f>
        <v>https://pbs.twimg.com/media/EZbvQ9PXgAAwWlN.jpg</v>
      </c>
      <c r="W195" s="83">
        <v>43983.60418981482</v>
      </c>
      <c r="X195" s="87">
        <v>43983</v>
      </c>
      <c r="Y195" s="89" t="s">
        <v>920</v>
      </c>
      <c r="Z195" s="84" t="str">
        <f>HYPERLINK("https://twitter.com/gijnfr/status/1267463422045798401")</f>
        <v>https://twitter.com/gijnfr/status/1267463422045798401</v>
      </c>
      <c r="AA195" s="81"/>
      <c r="AB195" s="81"/>
      <c r="AC195" s="89" t="s">
        <v>1130</v>
      </c>
      <c r="AD195" s="81"/>
      <c r="AE195" s="81" t="b">
        <v>0</v>
      </c>
      <c r="AF195" s="81">
        <v>4</v>
      </c>
      <c r="AG195" s="89" t="s">
        <v>1149</v>
      </c>
      <c r="AH195" s="81" t="b">
        <v>0</v>
      </c>
      <c r="AI195" s="81" t="s">
        <v>1158</v>
      </c>
      <c r="AJ195" s="81"/>
      <c r="AK195" s="89" t="s">
        <v>1149</v>
      </c>
      <c r="AL195" s="81" t="b">
        <v>0</v>
      </c>
      <c r="AM195" s="81">
        <v>3</v>
      </c>
      <c r="AN195" s="89" t="s">
        <v>1149</v>
      </c>
      <c r="AO195" s="81" t="s">
        <v>1174</v>
      </c>
      <c r="AP195" s="81" t="b">
        <v>0</v>
      </c>
      <c r="AQ195" s="89" t="s">
        <v>1130</v>
      </c>
      <c r="AR195" s="81" t="s">
        <v>586</v>
      </c>
      <c r="AS195" s="81">
        <v>0</v>
      </c>
      <c r="AT195" s="81">
        <v>0</v>
      </c>
      <c r="AU195" s="81"/>
      <c r="AV195" s="81"/>
      <c r="AW195" s="81"/>
      <c r="AX195" s="81"/>
      <c r="AY195" s="81"/>
      <c r="AZ195" s="81"/>
      <c r="BA195" s="81"/>
      <c r="BB195" s="81"/>
      <c r="BC195">
        <v>2</v>
      </c>
      <c r="BD195" s="80" t="str">
        <f>REPLACE(INDEX(GroupVertices[Group],MATCH(Edges25[[#This Row],[Vertex 1]],GroupVertices[Vertex],0)),1,1,"")</f>
        <v>17</v>
      </c>
      <c r="BE195" s="80" t="str">
        <f>REPLACE(INDEX(GroupVertices[Group],MATCH(Edges25[[#This Row],[Vertex 2]],GroupVertices[Vertex],0)),1,1,"")</f>
        <v>17</v>
      </c>
      <c r="BF195" s="48">
        <v>0</v>
      </c>
      <c r="BG195" s="49">
        <v>0</v>
      </c>
      <c r="BH195" s="48">
        <v>0</v>
      </c>
      <c r="BI195" s="49">
        <v>0</v>
      </c>
      <c r="BJ195" s="48">
        <v>0</v>
      </c>
      <c r="BK195" s="49">
        <v>0</v>
      </c>
      <c r="BL195" s="48">
        <v>17</v>
      </c>
      <c r="BM195" s="49">
        <v>100</v>
      </c>
      <c r="BN195" s="48">
        <v>17</v>
      </c>
    </row>
    <row r="196" spans="1:66" ht="15">
      <c r="A196" s="66" t="s">
        <v>504</v>
      </c>
      <c r="B196" s="66" t="s">
        <v>504</v>
      </c>
      <c r="C196" s="67"/>
      <c r="D196" s="68"/>
      <c r="E196" s="69"/>
      <c r="F196" s="70"/>
      <c r="G196" s="67"/>
      <c r="H196" s="71"/>
      <c r="I196" s="72"/>
      <c r="J196" s="72"/>
      <c r="K196" s="34" t="s">
        <v>65</v>
      </c>
      <c r="L196" s="79">
        <v>395</v>
      </c>
      <c r="M196" s="79"/>
      <c r="N196" s="74"/>
      <c r="O196" s="81" t="s">
        <v>325</v>
      </c>
      <c r="P196" s="83">
        <v>43996.39586805556</v>
      </c>
      <c r="Q196" s="81" t="s">
        <v>672</v>
      </c>
      <c r="R196" s="84" t="str">
        <f>HYPERLINK("https://gijn.org/2020/06/11/data-journalism-top-10-black-lives-matter-protests-police-shootings-questions-on-covid-19-research-site-russian-orphans/")</f>
        <v>https://gijn.org/2020/06/11/data-journalism-top-10-black-lives-matter-protests-police-shootings-questions-on-covid-19-research-site-russian-orphans/</v>
      </c>
      <c r="S196" s="81" t="s">
        <v>688</v>
      </c>
      <c r="T196" s="81" t="s">
        <v>707</v>
      </c>
      <c r="U196" s="84" t="str">
        <f>HYPERLINK("https://pbs.twimg.com/media/EadnRXEWoAMi0pT.jpg")</f>
        <v>https://pbs.twimg.com/media/EadnRXEWoAMi0pT.jpg</v>
      </c>
      <c r="V196" s="84" t="str">
        <f>HYPERLINK("https://pbs.twimg.com/media/EadnRXEWoAMi0pT.jpg")</f>
        <v>https://pbs.twimg.com/media/EadnRXEWoAMi0pT.jpg</v>
      </c>
      <c r="W196" s="83">
        <v>43996.39586805556</v>
      </c>
      <c r="X196" s="87">
        <v>43996</v>
      </c>
      <c r="Y196" s="89" t="s">
        <v>921</v>
      </c>
      <c r="Z196" s="84" t="str">
        <f>HYPERLINK("https://twitter.com/gijnfr/status/1272098969204785159")</f>
        <v>https://twitter.com/gijnfr/status/1272098969204785159</v>
      </c>
      <c r="AA196" s="81"/>
      <c r="AB196" s="81"/>
      <c r="AC196" s="89" t="s">
        <v>1131</v>
      </c>
      <c r="AD196" s="81"/>
      <c r="AE196" s="81" t="b">
        <v>0</v>
      </c>
      <c r="AF196" s="81">
        <v>1</v>
      </c>
      <c r="AG196" s="89" t="s">
        <v>1149</v>
      </c>
      <c r="AH196" s="81" t="b">
        <v>0</v>
      </c>
      <c r="AI196" s="81" t="s">
        <v>1158</v>
      </c>
      <c r="AJ196" s="81"/>
      <c r="AK196" s="89" t="s">
        <v>1149</v>
      </c>
      <c r="AL196" s="81" t="b">
        <v>0</v>
      </c>
      <c r="AM196" s="81">
        <v>1</v>
      </c>
      <c r="AN196" s="89" t="s">
        <v>1149</v>
      </c>
      <c r="AO196" s="81" t="s">
        <v>1174</v>
      </c>
      <c r="AP196" s="81" t="b">
        <v>0</v>
      </c>
      <c r="AQ196" s="89" t="s">
        <v>1131</v>
      </c>
      <c r="AR196" s="81" t="s">
        <v>586</v>
      </c>
      <c r="AS196" s="81">
        <v>0</v>
      </c>
      <c r="AT196" s="81">
        <v>0</v>
      </c>
      <c r="AU196" s="81"/>
      <c r="AV196" s="81"/>
      <c r="AW196" s="81"/>
      <c r="AX196" s="81"/>
      <c r="AY196" s="81"/>
      <c r="AZ196" s="81"/>
      <c r="BA196" s="81"/>
      <c r="BB196" s="81"/>
      <c r="BC196">
        <v>2</v>
      </c>
      <c r="BD196" s="80" t="str">
        <f>REPLACE(INDEX(GroupVertices[Group],MATCH(Edges25[[#This Row],[Vertex 1]],GroupVertices[Vertex],0)),1,1,"")</f>
        <v>17</v>
      </c>
      <c r="BE196" s="80" t="str">
        <f>REPLACE(INDEX(GroupVertices[Group],MATCH(Edges25[[#This Row],[Vertex 2]],GroupVertices[Vertex],0)),1,1,"")</f>
        <v>17</v>
      </c>
      <c r="BF196" s="48">
        <v>1</v>
      </c>
      <c r="BG196" s="49">
        <v>5.555555555555555</v>
      </c>
      <c r="BH196" s="48">
        <v>0</v>
      </c>
      <c r="BI196" s="49">
        <v>0</v>
      </c>
      <c r="BJ196" s="48">
        <v>0</v>
      </c>
      <c r="BK196" s="49">
        <v>0</v>
      </c>
      <c r="BL196" s="48">
        <v>17</v>
      </c>
      <c r="BM196" s="49">
        <v>94.44444444444444</v>
      </c>
      <c r="BN196" s="48">
        <v>18</v>
      </c>
    </row>
    <row r="197" spans="1:66" ht="15">
      <c r="A197" s="66" t="s">
        <v>505</v>
      </c>
      <c r="B197" s="66" t="s">
        <v>504</v>
      </c>
      <c r="C197" s="67"/>
      <c r="D197" s="68"/>
      <c r="E197" s="69"/>
      <c r="F197" s="70"/>
      <c r="G197" s="67"/>
      <c r="H197" s="71"/>
      <c r="I197" s="72"/>
      <c r="J197" s="72"/>
      <c r="K197" s="34" t="s">
        <v>65</v>
      </c>
      <c r="L197" s="79">
        <v>396</v>
      </c>
      <c r="M197" s="79"/>
      <c r="N197" s="74"/>
      <c r="O197" s="81" t="s">
        <v>586</v>
      </c>
      <c r="P197" s="83">
        <v>44005.36300925926</v>
      </c>
      <c r="Q197" s="81" t="s">
        <v>671</v>
      </c>
      <c r="R197" s="81"/>
      <c r="S197" s="81"/>
      <c r="T197" s="81"/>
      <c r="U197" s="81"/>
      <c r="V197" s="84" t="str">
        <f>HYPERLINK("http://pbs.twimg.com/profile_images/1256574435877892097/ZvJj6ylD_normal.jpg")</f>
        <v>http://pbs.twimg.com/profile_images/1256574435877892097/ZvJj6ylD_normal.jpg</v>
      </c>
      <c r="W197" s="83">
        <v>44005.36300925926</v>
      </c>
      <c r="X197" s="87">
        <v>44005</v>
      </c>
      <c r="Y197" s="89" t="s">
        <v>922</v>
      </c>
      <c r="Z197" s="84" t="str">
        <f>HYPERLINK("https://twitter.com/yerimzwxrhjsky/status/1275348554173812736")</f>
        <v>https://twitter.com/yerimzwxrhjsky/status/1275348554173812736</v>
      </c>
      <c r="AA197" s="81"/>
      <c r="AB197" s="81"/>
      <c r="AC197" s="89" t="s">
        <v>1132</v>
      </c>
      <c r="AD197" s="81"/>
      <c r="AE197" s="81" t="b">
        <v>0</v>
      </c>
      <c r="AF197" s="81">
        <v>0</v>
      </c>
      <c r="AG197" s="89" t="s">
        <v>1149</v>
      </c>
      <c r="AH197" s="81" t="b">
        <v>0</v>
      </c>
      <c r="AI197" s="81" t="s">
        <v>1158</v>
      </c>
      <c r="AJ197" s="81"/>
      <c r="AK197" s="89" t="s">
        <v>1149</v>
      </c>
      <c r="AL197" s="81" t="b">
        <v>0</v>
      </c>
      <c r="AM197" s="81">
        <v>3</v>
      </c>
      <c r="AN197" s="89" t="s">
        <v>1130</v>
      </c>
      <c r="AO197" s="81" t="s">
        <v>1176</v>
      </c>
      <c r="AP197" s="81" t="b">
        <v>0</v>
      </c>
      <c r="AQ197" s="89" t="s">
        <v>1130</v>
      </c>
      <c r="AR197" s="81" t="s">
        <v>325</v>
      </c>
      <c r="AS197" s="81">
        <v>0</v>
      </c>
      <c r="AT197" s="81">
        <v>0</v>
      </c>
      <c r="AU197" s="81"/>
      <c r="AV197" s="81"/>
      <c r="AW197" s="81"/>
      <c r="AX197" s="81"/>
      <c r="AY197" s="81"/>
      <c r="AZ197" s="81"/>
      <c r="BA197" s="81"/>
      <c r="BB197" s="81"/>
      <c r="BC197">
        <v>3</v>
      </c>
      <c r="BD197" s="80" t="str">
        <f>REPLACE(INDEX(GroupVertices[Group],MATCH(Edges25[[#This Row],[Vertex 1]],GroupVertices[Vertex],0)),1,1,"")</f>
        <v>17</v>
      </c>
      <c r="BE197" s="80" t="str">
        <f>REPLACE(INDEX(GroupVertices[Group],MATCH(Edges25[[#This Row],[Vertex 2]],GroupVertices[Vertex],0)),1,1,"")</f>
        <v>17</v>
      </c>
      <c r="BF197" s="48">
        <v>0</v>
      </c>
      <c r="BG197" s="49">
        <v>0</v>
      </c>
      <c r="BH197" s="48">
        <v>0</v>
      </c>
      <c r="BI197" s="49">
        <v>0</v>
      </c>
      <c r="BJ197" s="48">
        <v>0</v>
      </c>
      <c r="BK197" s="49">
        <v>0</v>
      </c>
      <c r="BL197" s="48">
        <v>17</v>
      </c>
      <c r="BM197" s="49">
        <v>100</v>
      </c>
      <c r="BN197" s="48">
        <v>17</v>
      </c>
    </row>
    <row r="198" spans="1:66" ht="15">
      <c r="A198" s="66" t="s">
        <v>505</v>
      </c>
      <c r="B198" s="66" t="s">
        <v>504</v>
      </c>
      <c r="C198" s="67"/>
      <c r="D198" s="68"/>
      <c r="E198" s="69"/>
      <c r="F198" s="70"/>
      <c r="G198" s="67"/>
      <c r="H198" s="71"/>
      <c r="I198" s="72"/>
      <c r="J198" s="72"/>
      <c r="K198" s="34" t="s">
        <v>65</v>
      </c>
      <c r="L198" s="79">
        <v>398</v>
      </c>
      <c r="M198" s="79"/>
      <c r="N198" s="74"/>
      <c r="O198" s="81" t="s">
        <v>586</v>
      </c>
      <c r="P198" s="83">
        <v>44005.36311342593</v>
      </c>
      <c r="Q198" s="81" t="s">
        <v>672</v>
      </c>
      <c r="R198" s="84" t="str">
        <f>HYPERLINK("https://gijn.org/2020/06/11/data-journalism-top-10-black-lives-matter-protests-police-shootings-questions-on-covid-19-research-site-russian-orphans/")</f>
        <v>https://gijn.org/2020/06/11/data-journalism-top-10-black-lives-matter-protests-police-shootings-questions-on-covid-19-research-site-russian-orphans/</v>
      </c>
      <c r="S198" s="81" t="s">
        <v>688</v>
      </c>
      <c r="T198" s="81" t="s">
        <v>707</v>
      </c>
      <c r="U198" s="81"/>
      <c r="V198" s="84" t="str">
        <f>HYPERLINK("http://pbs.twimg.com/profile_images/1256574435877892097/ZvJj6ylD_normal.jpg")</f>
        <v>http://pbs.twimg.com/profile_images/1256574435877892097/ZvJj6ylD_normal.jpg</v>
      </c>
      <c r="W198" s="83">
        <v>44005.36311342593</v>
      </c>
      <c r="X198" s="87">
        <v>44005</v>
      </c>
      <c r="Y198" s="89" t="s">
        <v>923</v>
      </c>
      <c r="Z198" s="84" t="str">
        <f>HYPERLINK("https://twitter.com/yerimzwxrhjsky/status/1275348591045824512")</f>
        <v>https://twitter.com/yerimzwxrhjsky/status/1275348591045824512</v>
      </c>
      <c r="AA198" s="81"/>
      <c r="AB198" s="81"/>
      <c r="AC198" s="89" t="s">
        <v>1133</v>
      </c>
      <c r="AD198" s="81"/>
      <c r="AE198" s="81" t="b">
        <v>0</v>
      </c>
      <c r="AF198" s="81">
        <v>0</v>
      </c>
      <c r="AG198" s="89" t="s">
        <v>1149</v>
      </c>
      <c r="AH198" s="81" t="b">
        <v>0</v>
      </c>
      <c r="AI198" s="81" t="s">
        <v>1158</v>
      </c>
      <c r="AJ198" s="81"/>
      <c r="AK198" s="89" t="s">
        <v>1149</v>
      </c>
      <c r="AL198" s="81" t="b">
        <v>0</v>
      </c>
      <c r="AM198" s="81">
        <v>1</v>
      </c>
      <c r="AN198" s="89" t="s">
        <v>1131</v>
      </c>
      <c r="AO198" s="81" t="s">
        <v>1176</v>
      </c>
      <c r="AP198" s="81" t="b">
        <v>0</v>
      </c>
      <c r="AQ198" s="89" t="s">
        <v>1131</v>
      </c>
      <c r="AR198" s="81" t="s">
        <v>325</v>
      </c>
      <c r="AS198" s="81">
        <v>0</v>
      </c>
      <c r="AT198" s="81">
        <v>0</v>
      </c>
      <c r="AU198" s="81"/>
      <c r="AV198" s="81"/>
      <c r="AW198" s="81"/>
      <c r="AX198" s="81"/>
      <c r="AY198" s="81"/>
      <c r="AZ198" s="81"/>
      <c r="BA198" s="81"/>
      <c r="BB198" s="81"/>
      <c r="BC198">
        <v>3</v>
      </c>
      <c r="BD198" s="80" t="str">
        <f>REPLACE(INDEX(GroupVertices[Group],MATCH(Edges25[[#This Row],[Vertex 1]],GroupVertices[Vertex],0)),1,1,"")</f>
        <v>17</v>
      </c>
      <c r="BE198" s="80" t="str">
        <f>REPLACE(INDEX(GroupVertices[Group],MATCH(Edges25[[#This Row],[Vertex 2]],GroupVertices[Vertex],0)),1,1,"")</f>
        <v>17</v>
      </c>
      <c r="BF198" s="48">
        <v>1</v>
      </c>
      <c r="BG198" s="49">
        <v>5.555555555555555</v>
      </c>
      <c r="BH198" s="48">
        <v>0</v>
      </c>
      <c r="BI198" s="49">
        <v>0</v>
      </c>
      <c r="BJ198" s="48">
        <v>0</v>
      </c>
      <c r="BK198" s="49">
        <v>0</v>
      </c>
      <c r="BL198" s="48">
        <v>17</v>
      </c>
      <c r="BM198" s="49">
        <v>94.44444444444444</v>
      </c>
      <c r="BN198" s="48">
        <v>18</v>
      </c>
    </row>
    <row r="199" spans="1:66" ht="15">
      <c r="A199" s="66" t="s">
        <v>506</v>
      </c>
      <c r="B199" s="66" t="s">
        <v>526</v>
      </c>
      <c r="C199" s="67"/>
      <c r="D199" s="68"/>
      <c r="E199" s="69"/>
      <c r="F199" s="70"/>
      <c r="G199" s="67"/>
      <c r="H199" s="71"/>
      <c r="I199" s="72"/>
      <c r="J199" s="72"/>
      <c r="K199" s="34" t="s">
        <v>65</v>
      </c>
      <c r="L199" s="79">
        <v>399</v>
      </c>
      <c r="M199" s="79"/>
      <c r="N199" s="74"/>
      <c r="O199" s="81" t="s">
        <v>588</v>
      </c>
      <c r="P199" s="83">
        <v>44005.37815972222</v>
      </c>
      <c r="Q199" s="81" t="s">
        <v>612</v>
      </c>
      <c r="R199" s="81"/>
      <c r="S199" s="81"/>
      <c r="T199" s="81" t="s">
        <v>703</v>
      </c>
      <c r="U199" s="81"/>
      <c r="V199" s="84" t="str">
        <f>HYPERLINK("http://pbs.twimg.com/profile_images/796294771627229184/XdmrGDXr_normal.jpg")</f>
        <v>http://pbs.twimg.com/profile_images/796294771627229184/XdmrGDXr_normal.jpg</v>
      </c>
      <c r="W199" s="83">
        <v>44005.37815972222</v>
      </c>
      <c r="X199" s="87">
        <v>44005</v>
      </c>
      <c r="Y199" s="89" t="s">
        <v>924</v>
      </c>
      <c r="Z199" s="84" t="str">
        <f>HYPERLINK("https://twitter.com/bsp_sscgeo/status/1275354044882653184")</f>
        <v>https://twitter.com/bsp_sscgeo/status/1275354044882653184</v>
      </c>
      <c r="AA199" s="81"/>
      <c r="AB199" s="81"/>
      <c r="AC199" s="89" t="s">
        <v>1134</v>
      </c>
      <c r="AD199" s="81"/>
      <c r="AE199" s="81" t="b">
        <v>0</v>
      </c>
      <c r="AF199" s="81">
        <v>0</v>
      </c>
      <c r="AG199" s="89" t="s">
        <v>1149</v>
      </c>
      <c r="AH199" s="81" t="b">
        <v>0</v>
      </c>
      <c r="AI199" s="81" t="s">
        <v>1150</v>
      </c>
      <c r="AJ199" s="81"/>
      <c r="AK199" s="89" t="s">
        <v>1149</v>
      </c>
      <c r="AL199" s="81" t="b">
        <v>0</v>
      </c>
      <c r="AM199" s="81">
        <v>16</v>
      </c>
      <c r="AN199" s="89" t="s">
        <v>1137</v>
      </c>
      <c r="AO199" s="81" t="s">
        <v>1172</v>
      </c>
      <c r="AP199" s="81" t="b">
        <v>0</v>
      </c>
      <c r="AQ199" s="89" t="s">
        <v>1137</v>
      </c>
      <c r="AR199" s="81" t="s">
        <v>325</v>
      </c>
      <c r="AS199" s="81">
        <v>0</v>
      </c>
      <c r="AT199" s="81">
        <v>0</v>
      </c>
      <c r="AU199" s="81"/>
      <c r="AV199" s="81"/>
      <c r="AW199" s="81"/>
      <c r="AX199" s="81"/>
      <c r="AY199" s="81"/>
      <c r="AZ199" s="81"/>
      <c r="BA199" s="81"/>
      <c r="BB199" s="81"/>
      <c r="BC199">
        <v>1</v>
      </c>
      <c r="BD199" s="80" t="str">
        <f>REPLACE(INDEX(GroupVertices[Group],MATCH(Edges25[[#This Row],[Vertex 1]],GroupVertices[Vertex],0)),1,1,"")</f>
        <v>3</v>
      </c>
      <c r="BE199" s="80" t="str">
        <f>REPLACE(INDEX(GroupVertices[Group],MATCH(Edges25[[#This Row],[Vertex 2]],GroupVertices[Vertex],0)),1,1,"")</f>
        <v>3</v>
      </c>
      <c r="BF199" s="48"/>
      <c r="BG199" s="49"/>
      <c r="BH199" s="48"/>
      <c r="BI199" s="49"/>
      <c r="BJ199" s="48"/>
      <c r="BK199" s="49"/>
      <c r="BL199" s="48"/>
      <c r="BM199" s="49"/>
      <c r="BN199" s="48"/>
    </row>
    <row r="200" spans="1:66" ht="15">
      <c r="A200" s="66" t="s">
        <v>507</v>
      </c>
      <c r="B200" s="66" t="s">
        <v>585</v>
      </c>
      <c r="C200" s="67"/>
      <c r="D200" s="68"/>
      <c r="E200" s="69"/>
      <c r="F200" s="70"/>
      <c r="G200" s="67"/>
      <c r="H200" s="71"/>
      <c r="I200" s="72"/>
      <c r="J200" s="72"/>
      <c r="K200" s="34" t="s">
        <v>65</v>
      </c>
      <c r="L200" s="79">
        <v>402</v>
      </c>
      <c r="M200" s="79"/>
      <c r="N200" s="74"/>
      <c r="O200" s="81" t="s">
        <v>587</v>
      </c>
      <c r="P200" s="83">
        <v>44005.335856481484</v>
      </c>
      <c r="Q200" s="81" t="s">
        <v>673</v>
      </c>
      <c r="R200" s="84" t="str">
        <f>HYPERLINK("https://twitter.com/BJTC_UK/status/1275335232539983872")</f>
        <v>https://twitter.com/BJTC_UK/status/1275335232539983872</v>
      </c>
      <c r="S200" s="81" t="s">
        <v>676</v>
      </c>
      <c r="T200" s="81" t="s">
        <v>707</v>
      </c>
      <c r="U200" s="81"/>
      <c r="V200" s="84" t="str">
        <f>HYPERLINK("http://pbs.twimg.com/profile_images/1164973648823947264/ZWjdsaW5_normal.jpg")</f>
        <v>http://pbs.twimg.com/profile_images/1164973648823947264/ZWjdsaW5_normal.jpg</v>
      </c>
      <c r="W200" s="83">
        <v>44005.335856481484</v>
      </c>
      <c r="X200" s="87">
        <v>44005</v>
      </c>
      <c r="Y200" s="89" t="s">
        <v>925</v>
      </c>
      <c r="Z200" s="84" t="str">
        <f>HYPERLINK("https://twitter.com/umarhassan96/status/1275338715112620033")</f>
        <v>https://twitter.com/umarhassan96/status/1275338715112620033</v>
      </c>
      <c r="AA200" s="81"/>
      <c r="AB200" s="81"/>
      <c r="AC200" s="89" t="s">
        <v>1135</v>
      </c>
      <c r="AD200" s="81"/>
      <c r="AE200" s="81" t="b">
        <v>0</v>
      </c>
      <c r="AF200" s="81">
        <v>4</v>
      </c>
      <c r="AG200" s="89" t="s">
        <v>1149</v>
      </c>
      <c r="AH200" s="81" t="b">
        <v>1</v>
      </c>
      <c r="AI200" s="81" t="s">
        <v>1150</v>
      </c>
      <c r="AJ200" s="81"/>
      <c r="AK200" s="89" t="s">
        <v>1163</v>
      </c>
      <c r="AL200" s="81" t="b">
        <v>0</v>
      </c>
      <c r="AM200" s="81">
        <v>1</v>
      </c>
      <c r="AN200" s="89" t="s">
        <v>1149</v>
      </c>
      <c r="AO200" s="81" t="s">
        <v>1175</v>
      </c>
      <c r="AP200" s="81" t="b">
        <v>0</v>
      </c>
      <c r="AQ200" s="89" t="s">
        <v>1135</v>
      </c>
      <c r="AR200" s="81" t="s">
        <v>325</v>
      </c>
      <c r="AS200" s="81">
        <v>0</v>
      </c>
      <c r="AT200" s="81">
        <v>0</v>
      </c>
      <c r="AU200" s="81"/>
      <c r="AV200" s="81"/>
      <c r="AW200" s="81"/>
      <c r="AX200" s="81"/>
      <c r="AY200" s="81"/>
      <c r="AZ200" s="81"/>
      <c r="BA200" s="81"/>
      <c r="BB200" s="81"/>
      <c r="BC200">
        <v>1</v>
      </c>
      <c r="BD200" s="80" t="str">
        <f>REPLACE(INDEX(GroupVertices[Group],MATCH(Edges25[[#This Row],[Vertex 1]],GroupVertices[Vertex],0)),1,1,"")</f>
        <v>16</v>
      </c>
      <c r="BE200" s="80" t="str">
        <f>REPLACE(INDEX(GroupVertices[Group],MATCH(Edges25[[#This Row],[Vertex 2]],GroupVertices[Vertex],0)),1,1,"")</f>
        <v>16</v>
      </c>
      <c r="BF200" s="48"/>
      <c r="BG200" s="49"/>
      <c r="BH200" s="48"/>
      <c r="BI200" s="49"/>
      <c r="BJ200" s="48"/>
      <c r="BK200" s="49"/>
      <c r="BL200" s="48"/>
      <c r="BM200" s="49"/>
      <c r="BN200" s="48"/>
    </row>
    <row r="201" spans="1:66" ht="15">
      <c r="A201" s="66" t="s">
        <v>508</v>
      </c>
      <c r="B201" s="66" t="s">
        <v>585</v>
      </c>
      <c r="C201" s="67"/>
      <c r="D201" s="68"/>
      <c r="E201" s="69"/>
      <c r="F201" s="70"/>
      <c r="G201" s="67"/>
      <c r="H201" s="71"/>
      <c r="I201" s="72"/>
      <c r="J201" s="72"/>
      <c r="K201" s="34" t="s">
        <v>65</v>
      </c>
      <c r="L201" s="79">
        <v>403</v>
      </c>
      <c r="M201" s="79"/>
      <c r="N201" s="74"/>
      <c r="O201" s="81" t="s">
        <v>588</v>
      </c>
      <c r="P201" s="83">
        <v>44005.39570601852</v>
      </c>
      <c r="Q201" s="81" t="s">
        <v>673</v>
      </c>
      <c r="R201" s="81"/>
      <c r="S201" s="81"/>
      <c r="T201" s="81"/>
      <c r="U201" s="81"/>
      <c r="V201" s="84" t="str">
        <f>HYPERLINK("http://pbs.twimg.com/profile_images/1273211456247541767/qo3PqXGx_normal.jpg")</f>
        <v>http://pbs.twimg.com/profile_images/1273211456247541767/qo3PqXGx_normal.jpg</v>
      </c>
      <c r="W201" s="83">
        <v>44005.39570601852</v>
      </c>
      <c r="X201" s="87">
        <v>44005</v>
      </c>
      <c r="Y201" s="89" t="s">
        <v>926</v>
      </c>
      <c r="Z201" s="84" t="str">
        <f>HYPERLINK("https://twitter.com/tvmarv/status/1275360403359440898")</f>
        <v>https://twitter.com/tvmarv/status/1275360403359440898</v>
      </c>
      <c r="AA201" s="81"/>
      <c r="AB201" s="81"/>
      <c r="AC201" s="89" t="s">
        <v>1136</v>
      </c>
      <c r="AD201" s="81"/>
      <c r="AE201" s="81" t="b">
        <v>0</v>
      </c>
      <c r="AF201" s="81">
        <v>0</v>
      </c>
      <c r="AG201" s="89" t="s">
        <v>1149</v>
      </c>
      <c r="AH201" s="81" t="b">
        <v>1</v>
      </c>
      <c r="AI201" s="81" t="s">
        <v>1150</v>
      </c>
      <c r="AJ201" s="81"/>
      <c r="AK201" s="89" t="s">
        <v>1163</v>
      </c>
      <c r="AL201" s="81" t="b">
        <v>0</v>
      </c>
      <c r="AM201" s="81">
        <v>1</v>
      </c>
      <c r="AN201" s="89" t="s">
        <v>1135</v>
      </c>
      <c r="AO201" s="81" t="s">
        <v>1165</v>
      </c>
      <c r="AP201" s="81" t="b">
        <v>0</v>
      </c>
      <c r="AQ201" s="89" t="s">
        <v>1135</v>
      </c>
      <c r="AR201" s="81" t="s">
        <v>325</v>
      </c>
      <c r="AS201" s="81">
        <v>0</v>
      </c>
      <c r="AT201" s="81">
        <v>0</v>
      </c>
      <c r="AU201" s="81"/>
      <c r="AV201" s="81"/>
      <c r="AW201" s="81"/>
      <c r="AX201" s="81"/>
      <c r="AY201" s="81"/>
      <c r="AZ201" s="81"/>
      <c r="BA201" s="81"/>
      <c r="BB201" s="81"/>
      <c r="BC201">
        <v>1</v>
      </c>
      <c r="BD201" s="80" t="str">
        <f>REPLACE(INDEX(GroupVertices[Group],MATCH(Edges25[[#This Row],[Vertex 1]],GroupVertices[Vertex],0)),1,1,"")</f>
        <v>16</v>
      </c>
      <c r="BE201" s="80" t="str">
        <f>REPLACE(INDEX(GroupVertices[Group],MATCH(Edges25[[#This Row],[Vertex 2]],GroupVertices[Vertex],0)),1,1,"")</f>
        <v>16</v>
      </c>
      <c r="BF201" s="48"/>
      <c r="BG201" s="49"/>
      <c r="BH201" s="48"/>
      <c r="BI201" s="49"/>
      <c r="BJ201" s="48"/>
      <c r="BK201" s="49"/>
      <c r="BL201" s="48"/>
      <c r="BM201" s="49"/>
      <c r="BN201" s="48"/>
    </row>
    <row r="202" spans="1:66" ht="15">
      <c r="A202" s="66" t="s">
        <v>509</v>
      </c>
      <c r="B202" s="66" t="s">
        <v>526</v>
      </c>
      <c r="C202" s="67"/>
      <c r="D202" s="68"/>
      <c r="E202" s="69"/>
      <c r="F202" s="70"/>
      <c r="G202" s="67"/>
      <c r="H202" s="71"/>
      <c r="I202" s="72"/>
      <c r="J202" s="72"/>
      <c r="K202" s="34" t="s">
        <v>65</v>
      </c>
      <c r="L202" s="79">
        <v>406</v>
      </c>
      <c r="M202" s="79"/>
      <c r="N202" s="74"/>
      <c r="O202" s="81" t="s">
        <v>587</v>
      </c>
      <c r="P202" s="83">
        <v>44004.830347222225</v>
      </c>
      <c r="Q202" s="81" t="s">
        <v>612</v>
      </c>
      <c r="R202" s="84" t="str">
        <f>HYPERLINK("https://interactive.aljazeera.com/aje/2020/saving-the-nile/index.html")</f>
        <v>https://interactive.aljazeera.com/aje/2020/saving-the-nile/index.html</v>
      </c>
      <c r="S202" s="81" t="s">
        <v>678</v>
      </c>
      <c r="T202" s="81" t="s">
        <v>703</v>
      </c>
      <c r="U202" s="81"/>
      <c r="V202" s="84" t="str">
        <f>HYPERLINK("http://pbs.twimg.com/profile_images/1084755983640027136/buwVTx1D_normal.jpg")</f>
        <v>http://pbs.twimg.com/profile_images/1084755983640027136/buwVTx1D_normal.jpg</v>
      </c>
      <c r="W202" s="83">
        <v>44004.830347222225</v>
      </c>
      <c r="X202" s="87">
        <v>44004</v>
      </c>
      <c r="Y202" s="89" t="s">
        <v>927</v>
      </c>
      <c r="Z202" s="84" t="str">
        <f>HYPERLINK("https://twitter.com/jmbgeog/status/1275155524036804609")</f>
        <v>https://twitter.com/jmbgeog/status/1275155524036804609</v>
      </c>
      <c r="AA202" s="81"/>
      <c r="AB202" s="81"/>
      <c r="AC202" s="89" t="s">
        <v>1137</v>
      </c>
      <c r="AD202" s="81"/>
      <c r="AE202" s="81" t="b">
        <v>0</v>
      </c>
      <c r="AF202" s="81">
        <v>40</v>
      </c>
      <c r="AG202" s="89" t="s">
        <v>1149</v>
      </c>
      <c r="AH202" s="81" t="b">
        <v>0</v>
      </c>
      <c r="AI202" s="81" t="s">
        <v>1150</v>
      </c>
      <c r="AJ202" s="81"/>
      <c r="AK202" s="89" t="s">
        <v>1149</v>
      </c>
      <c r="AL202" s="81" t="b">
        <v>0</v>
      </c>
      <c r="AM202" s="81">
        <v>16</v>
      </c>
      <c r="AN202" s="89" t="s">
        <v>1149</v>
      </c>
      <c r="AO202" s="81" t="s">
        <v>1176</v>
      </c>
      <c r="AP202" s="81" t="b">
        <v>0</v>
      </c>
      <c r="AQ202" s="89" t="s">
        <v>1137</v>
      </c>
      <c r="AR202" s="81" t="s">
        <v>325</v>
      </c>
      <c r="AS202" s="81">
        <v>0</v>
      </c>
      <c r="AT202" s="81">
        <v>0</v>
      </c>
      <c r="AU202" s="81"/>
      <c r="AV202" s="81"/>
      <c r="AW202" s="81"/>
      <c r="AX202" s="81"/>
      <c r="AY202" s="81"/>
      <c r="AZ202" s="81"/>
      <c r="BA202" s="81"/>
      <c r="BB202" s="81"/>
      <c r="BC202">
        <v>1</v>
      </c>
      <c r="BD202" s="80" t="str">
        <f>REPLACE(INDEX(GroupVertices[Group],MATCH(Edges25[[#This Row],[Vertex 1]],GroupVertices[Vertex],0)),1,1,"")</f>
        <v>3</v>
      </c>
      <c r="BE202" s="80" t="str">
        <f>REPLACE(INDEX(GroupVertices[Group],MATCH(Edges25[[#This Row],[Vertex 2]],GroupVertices[Vertex],0)),1,1,"")</f>
        <v>3</v>
      </c>
      <c r="BF202" s="48"/>
      <c r="BG202" s="49"/>
      <c r="BH202" s="48"/>
      <c r="BI202" s="49"/>
      <c r="BJ202" s="48"/>
      <c r="BK202" s="49"/>
      <c r="BL202" s="48"/>
      <c r="BM202" s="49"/>
      <c r="BN202" s="48"/>
    </row>
    <row r="203" spans="1:66" ht="15">
      <c r="A203" s="66" t="s">
        <v>510</v>
      </c>
      <c r="B203" s="66" t="s">
        <v>526</v>
      </c>
      <c r="C203" s="67"/>
      <c r="D203" s="68"/>
      <c r="E203" s="69"/>
      <c r="F203" s="70"/>
      <c r="G203" s="67"/>
      <c r="H203" s="71"/>
      <c r="I203" s="72"/>
      <c r="J203" s="72"/>
      <c r="K203" s="34" t="s">
        <v>65</v>
      </c>
      <c r="L203" s="79">
        <v>407</v>
      </c>
      <c r="M203" s="79"/>
      <c r="N203" s="74"/>
      <c r="O203" s="81" t="s">
        <v>588</v>
      </c>
      <c r="P203" s="83">
        <v>44005.408159722225</v>
      </c>
      <c r="Q203" s="81" t="s">
        <v>612</v>
      </c>
      <c r="R203" s="81"/>
      <c r="S203" s="81"/>
      <c r="T203" s="81" t="s">
        <v>703</v>
      </c>
      <c r="U203" s="81"/>
      <c r="V203" s="84" t="str">
        <f>HYPERLINK("http://pbs.twimg.com/profile_images/968895729/Survival---Tsaatan-023_normal.jpg")</f>
        <v>http://pbs.twimg.com/profile_images/968895729/Survival---Tsaatan-023_normal.jpg</v>
      </c>
      <c r="W203" s="83">
        <v>44005.408159722225</v>
      </c>
      <c r="X203" s="87">
        <v>44005</v>
      </c>
      <c r="Y203" s="89" t="s">
        <v>928</v>
      </c>
      <c r="Z203" s="84" t="str">
        <f>HYPERLINK("https://twitter.com/valboy7/status/1275364914559954944")</f>
        <v>https://twitter.com/valboy7/status/1275364914559954944</v>
      </c>
      <c r="AA203" s="81"/>
      <c r="AB203" s="81"/>
      <c r="AC203" s="89" t="s">
        <v>1138</v>
      </c>
      <c r="AD203" s="81"/>
      <c r="AE203" s="81" t="b">
        <v>0</v>
      </c>
      <c r="AF203" s="81">
        <v>0</v>
      </c>
      <c r="AG203" s="89" t="s">
        <v>1149</v>
      </c>
      <c r="AH203" s="81" t="b">
        <v>0</v>
      </c>
      <c r="AI203" s="81" t="s">
        <v>1150</v>
      </c>
      <c r="AJ203" s="81"/>
      <c r="AK203" s="89" t="s">
        <v>1149</v>
      </c>
      <c r="AL203" s="81" t="b">
        <v>0</v>
      </c>
      <c r="AM203" s="81">
        <v>16</v>
      </c>
      <c r="AN203" s="89" t="s">
        <v>1137</v>
      </c>
      <c r="AO203" s="81" t="s">
        <v>1172</v>
      </c>
      <c r="AP203" s="81" t="b">
        <v>0</v>
      </c>
      <c r="AQ203" s="89" t="s">
        <v>1137</v>
      </c>
      <c r="AR203" s="81" t="s">
        <v>325</v>
      </c>
      <c r="AS203" s="81">
        <v>0</v>
      </c>
      <c r="AT203" s="81">
        <v>0</v>
      </c>
      <c r="AU203" s="81"/>
      <c r="AV203" s="81"/>
      <c r="AW203" s="81"/>
      <c r="AX203" s="81"/>
      <c r="AY203" s="81"/>
      <c r="AZ203" s="81"/>
      <c r="BA203" s="81"/>
      <c r="BB203" s="81"/>
      <c r="BC203">
        <v>1</v>
      </c>
      <c r="BD203" s="80" t="str">
        <f>REPLACE(INDEX(GroupVertices[Group],MATCH(Edges25[[#This Row],[Vertex 1]],GroupVertices[Vertex],0)),1,1,"")</f>
        <v>3</v>
      </c>
      <c r="BE203" s="80" t="str">
        <f>REPLACE(INDEX(GroupVertices[Group],MATCH(Edges25[[#This Row],[Vertex 2]],GroupVertices[Vertex],0)),1,1,"")</f>
        <v>3</v>
      </c>
      <c r="BF203" s="48"/>
      <c r="BG203" s="49"/>
      <c r="BH203" s="48"/>
      <c r="BI203" s="49"/>
      <c r="BJ203" s="48"/>
      <c r="BK203" s="49"/>
      <c r="BL203" s="48"/>
      <c r="BM203" s="49"/>
      <c r="BN203" s="48"/>
    </row>
    <row r="204" spans="1:66" ht="15">
      <c r="A204" s="66" t="s">
        <v>511</v>
      </c>
      <c r="B204" s="66" t="s">
        <v>534</v>
      </c>
      <c r="C204" s="67"/>
      <c r="D204" s="68"/>
      <c r="E204" s="69"/>
      <c r="F204" s="70"/>
      <c r="G204" s="67"/>
      <c r="H204" s="71"/>
      <c r="I204" s="72"/>
      <c r="J204" s="72"/>
      <c r="K204" s="34" t="s">
        <v>65</v>
      </c>
      <c r="L204" s="79">
        <v>411</v>
      </c>
      <c r="M204" s="79"/>
      <c r="N204" s="74"/>
      <c r="O204" s="81" t="s">
        <v>587</v>
      </c>
      <c r="P204" s="83">
        <v>44001.58336805556</v>
      </c>
      <c r="Q204" s="81" t="s">
        <v>611</v>
      </c>
      <c r="R204" s="84" t="str">
        <f>HYPERLINK("https://knightcenter.utexas.edu/JC/DATA0620.html")</f>
        <v>https://knightcenter.utexas.edu/JC/DATA0620.html</v>
      </c>
      <c r="S204" s="81" t="s">
        <v>689</v>
      </c>
      <c r="T204" s="81" t="s">
        <v>727</v>
      </c>
      <c r="U204" s="84" t="str">
        <f>HYPERLINK("https://pbs.twimg.com/ext_tw_video_thumb/1273978752125538307/pu/img/kpCVyFWWyrDKGPgH.jpg")</f>
        <v>https://pbs.twimg.com/ext_tw_video_thumb/1273978752125538307/pu/img/kpCVyFWWyrDKGPgH.jpg</v>
      </c>
      <c r="V204" s="84" t="str">
        <f>HYPERLINK("https://pbs.twimg.com/ext_tw_video_thumb/1273978752125538307/pu/img/kpCVyFWWyrDKGPgH.jpg")</f>
        <v>https://pbs.twimg.com/ext_tw_video_thumb/1273978752125538307/pu/img/kpCVyFWWyrDKGPgH.jpg</v>
      </c>
      <c r="W204" s="83">
        <v>44001.58336805556</v>
      </c>
      <c r="X204" s="87">
        <v>44001</v>
      </c>
      <c r="Y204" s="89" t="s">
        <v>929</v>
      </c>
      <c r="Z204" s="84" t="str">
        <f>HYPERLINK("https://twitter.com/utknightcenter/status/1273978856664371200")</f>
        <v>https://twitter.com/utknightcenter/status/1273978856664371200</v>
      </c>
      <c r="AA204" s="81"/>
      <c r="AB204" s="81"/>
      <c r="AC204" s="89" t="s">
        <v>1139</v>
      </c>
      <c r="AD204" s="81"/>
      <c r="AE204" s="81" t="b">
        <v>0</v>
      </c>
      <c r="AF204" s="81">
        <v>24</v>
      </c>
      <c r="AG204" s="89" t="s">
        <v>1149</v>
      </c>
      <c r="AH204" s="81" t="b">
        <v>0</v>
      </c>
      <c r="AI204" s="81" t="s">
        <v>1150</v>
      </c>
      <c r="AJ204" s="81"/>
      <c r="AK204" s="89" t="s">
        <v>1149</v>
      </c>
      <c r="AL204" s="81" t="b">
        <v>0</v>
      </c>
      <c r="AM204" s="81">
        <v>23</v>
      </c>
      <c r="AN204" s="89" t="s">
        <v>1149</v>
      </c>
      <c r="AO204" s="81" t="s">
        <v>1175</v>
      </c>
      <c r="AP204" s="81" t="b">
        <v>0</v>
      </c>
      <c r="AQ204" s="89" t="s">
        <v>1139</v>
      </c>
      <c r="AR204" s="81" t="s">
        <v>586</v>
      </c>
      <c r="AS204" s="81">
        <v>0</v>
      </c>
      <c r="AT204" s="81">
        <v>0</v>
      </c>
      <c r="AU204" s="81"/>
      <c r="AV204" s="81"/>
      <c r="AW204" s="81"/>
      <c r="AX204" s="81"/>
      <c r="AY204" s="81"/>
      <c r="AZ204" s="81"/>
      <c r="BA204" s="81"/>
      <c r="BB204" s="81"/>
      <c r="BC204">
        <v>1</v>
      </c>
      <c r="BD204" s="80" t="str">
        <f>REPLACE(INDEX(GroupVertices[Group],MATCH(Edges25[[#This Row],[Vertex 1]],GroupVertices[Vertex],0)),1,1,"")</f>
        <v>4</v>
      </c>
      <c r="BE204" s="80" t="str">
        <f>REPLACE(INDEX(GroupVertices[Group],MATCH(Edges25[[#This Row],[Vertex 2]],GroupVertices[Vertex],0)),1,1,"")</f>
        <v>4</v>
      </c>
      <c r="BF204" s="48">
        <v>1</v>
      </c>
      <c r="BG204" s="49">
        <v>3.125</v>
      </c>
      <c r="BH204" s="48">
        <v>1</v>
      </c>
      <c r="BI204" s="49">
        <v>3.125</v>
      </c>
      <c r="BJ204" s="48">
        <v>0</v>
      </c>
      <c r="BK204" s="49">
        <v>0</v>
      </c>
      <c r="BL204" s="48">
        <v>30</v>
      </c>
      <c r="BM204" s="49">
        <v>93.75</v>
      </c>
      <c r="BN204" s="48">
        <v>32</v>
      </c>
    </row>
    <row r="205" spans="1:66" ht="15">
      <c r="A205" s="66" t="s">
        <v>512</v>
      </c>
      <c r="B205" s="66" t="s">
        <v>534</v>
      </c>
      <c r="C205" s="67"/>
      <c r="D205" s="68"/>
      <c r="E205" s="69"/>
      <c r="F205" s="70"/>
      <c r="G205" s="67"/>
      <c r="H205" s="71"/>
      <c r="I205" s="72"/>
      <c r="J205" s="72"/>
      <c r="K205" s="34" t="s">
        <v>65</v>
      </c>
      <c r="L205" s="79">
        <v>412</v>
      </c>
      <c r="M205" s="79"/>
      <c r="N205" s="74"/>
      <c r="O205" s="81" t="s">
        <v>588</v>
      </c>
      <c r="P205" s="83">
        <v>44005.42260416667</v>
      </c>
      <c r="Q205" s="81" t="s">
        <v>611</v>
      </c>
      <c r="R205" s="81"/>
      <c r="S205" s="81"/>
      <c r="T205" s="81" t="s">
        <v>711</v>
      </c>
      <c r="U205" s="81"/>
      <c r="V205" s="84" t="str">
        <f>HYPERLINK("http://pbs.twimg.com/profile_images/1161079847885713414/5bPKf5IT_normal.jpg")</f>
        <v>http://pbs.twimg.com/profile_images/1161079847885713414/5bPKf5IT_normal.jpg</v>
      </c>
      <c r="W205" s="83">
        <v>44005.42260416667</v>
      </c>
      <c r="X205" s="87">
        <v>44005</v>
      </c>
      <c r="Y205" s="89" t="s">
        <v>930</v>
      </c>
      <c r="Z205" s="84" t="str">
        <f>HYPERLINK("https://twitter.com/ephemerist08/status/1275370149151862784")</f>
        <v>https://twitter.com/ephemerist08/status/1275370149151862784</v>
      </c>
      <c r="AA205" s="81"/>
      <c r="AB205" s="81"/>
      <c r="AC205" s="89" t="s">
        <v>1140</v>
      </c>
      <c r="AD205" s="81"/>
      <c r="AE205" s="81" t="b">
        <v>0</v>
      </c>
      <c r="AF205" s="81">
        <v>0</v>
      </c>
      <c r="AG205" s="89" t="s">
        <v>1149</v>
      </c>
      <c r="AH205" s="81" t="b">
        <v>0</v>
      </c>
      <c r="AI205" s="81" t="s">
        <v>1150</v>
      </c>
      <c r="AJ205" s="81"/>
      <c r="AK205" s="89" t="s">
        <v>1149</v>
      </c>
      <c r="AL205" s="81" t="b">
        <v>0</v>
      </c>
      <c r="AM205" s="81">
        <v>23</v>
      </c>
      <c r="AN205" s="89" t="s">
        <v>1139</v>
      </c>
      <c r="AO205" s="81" t="s">
        <v>1172</v>
      </c>
      <c r="AP205" s="81" t="b">
        <v>0</v>
      </c>
      <c r="AQ205" s="89" t="s">
        <v>1139</v>
      </c>
      <c r="AR205" s="81" t="s">
        <v>325</v>
      </c>
      <c r="AS205" s="81">
        <v>0</v>
      </c>
      <c r="AT205" s="81">
        <v>0</v>
      </c>
      <c r="AU205" s="81"/>
      <c r="AV205" s="81"/>
      <c r="AW205" s="81"/>
      <c r="AX205" s="81"/>
      <c r="AY205" s="81"/>
      <c r="AZ205" s="81"/>
      <c r="BA205" s="81"/>
      <c r="BB205" s="81"/>
      <c r="BC205">
        <v>1</v>
      </c>
      <c r="BD205" s="80" t="str">
        <f>REPLACE(INDEX(GroupVertices[Group],MATCH(Edges25[[#This Row],[Vertex 1]],GroupVertices[Vertex],0)),1,1,"")</f>
        <v>4</v>
      </c>
      <c r="BE205" s="80" t="str">
        <f>REPLACE(INDEX(GroupVertices[Group],MATCH(Edges25[[#This Row],[Vertex 2]],GroupVertices[Vertex],0)),1,1,"")</f>
        <v>4</v>
      </c>
      <c r="BF205" s="48"/>
      <c r="BG205" s="49"/>
      <c r="BH205" s="48"/>
      <c r="BI205" s="49"/>
      <c r="BJ205" s="48"/>
      <c r="BK205" s="49"/>
      <c r="BL205" s="48"/>
      <c r="BM205" s="49"/>
      <c r="BN205" s="48"/>
    </row>
    <row r="206" spans="1:66" ht="15">
      <c r="A206" s="66" t="s">
        <v>513</v>
      </c>
      <c r="B206" s="66" t="s">
        <v>514</v>
      </c>
      <c r="C206" s="67"/>
      <c r="D206" s="68"/>
      <c r="E206" s="69"/>
      <c r="F206" s="70"/>
      <c r="G206" s="67"/>
      <c r="H206" s="71"/>
      <c r="I206" s="72"/>
      <c r="J206" s="72"/>
      <c r="K206" s="34" t="s">
        <v>66</v>
      </c>
      <c r="L206" s="79">
        <v>414</v>
      </c>
      <c r="M206" s="79"/>
      <c r="N206" s="74"/>
      <c r="O206" s="81" t="s">
        <v>586</v>
      </c>
      <c r="P206" s="83">
        <v>44004.820069444446</v>
      </c>
      <c r="Q206" s="81" t="s">
        <v>595</v>
      </c>
      <c r="R206" s="81"/>
      <c r="S206" s="81"/>
      <c r="T206" s="81"/>
      <c r="U206" s="81"/>
      <c r="V206" s="84" t="str">
        <f>HYPERLINK("http://pbs.twimg.com/profile_images/669640125081632768/c6jqu46E_normal.jpg")</f>
        <v>http://pbs.twimg.com/profile_images/669640125081632768/c6jqu46E_normal.jpg</v>
      </c>
      <c r="W206" s="83">
        <v>44004.820069444446</v>
      </c>
      <c r="X206" s="87">
        <v>44004</v>
      </c>
      <c r="Y206" s="89" t="s">
        <v>931</v>
      </c>
      <c r="Z206" s="84" t="str">
        <f>HYPERLINK("https://twitter.com/johnlsheridan/status/1275151799985602560")</f>
        <v>https://twitter.com/johnlsheridan/status/1275151799985602560</v>
      </c>
      <c r="AA206" s="81"/>
      <c r="AB206" s="81"/>
      <c r="AC206" s="89" t="s">
        <v>1141</v>
      </c>
      <c r="AD206" s="81"/>
      <c r="AE206" s="81" t="b">
        <v>0</v>
      </c>
      <c r="AF206" s="81">
        <v>0</v>
      </c>
      <c r="AG206" s="89" t="s">
        <v>1149</v>
      </c>
      <c r="AH206" s="81" t="b">
        <v>0</v>
      </c>
      <c r="AI206" s="81" t="s">
        <v>1150</v>
      </c>
      <c r="AJ206" s="81"/>
      <c r="AK206" s="89" t="s">
        <v>1149</v>
      </c>
      <c r="AL206" s="81" t="b">
        <v>0</v>
      </c>
      <c r="AM206" s="81">
        <v>37</v>
      </c>
      <c r="AN206" s="89" t="s">
        <v>1142</v>
      </c>
      <c r="AO206" s="81" t="s">
        <v>1165</v>
      </c>
      <c r="AP206" s="81" t="b">
        <v>0</v>
      </c>
      <c r="AQ206" s="89" t="s">
        <v>1142</v>
      </c>
      <c r="AR206" s="81" t="s">
        <v>325</v>
      </c>
      <c r="AS206" s="81">
        <v>0</v>
      </c>
      <c r="AT206" s="81">
        <v>0</v>
      </c>
      <c r="AU206" s="81"/>
      <c r="AV206" s="81"/>
      <c r="AW206" s="81"/>
      <c r="AX206" s="81"/>
      <c r="AY206" s="81"/>
      <c r="AZ206" s="81"/>
      <c r="BA206" s="81"/>
      <c r="BB206" s="81"/>
      <c r="BC206">
        <v>1</v>
      </c>
      <c r="BD206" s="80" t="str">
        <f>REPLACE(INDEX(GroupVertices[Group],MATCH(Edges25[[#This Row],[Vertex 1]],GroupVertices[Vertex],0)),1,1,"")</f>
        <v>2</v>
      </c>
      <c r="BE206" s="80" t="str">
        <f>REPLACE(INDEX(GroupVertices[Group],MATCH(Edges25[[#This Row],[Vertex 2]],GroupVertices[Vertex],0)),1,1,"")</f>
        <v>2</v>
      </c>
      <c r="BF206" s="48">
        <v>3</v>
      </c>
      <c r="BG206" s="49">
        <v>7.5</v>
      </c>
      <c r="BH206" s="48">
        <v>0</v>
      </c>
      <c r="BI206" s="49">
        <v>0</v>
      </c>
      <c r="BJ206" s="48">
        <v>0</v>
      </c>
      <c r="BK206" s="49">
        <v>0</v>
      </c>
      <c r="BL206" s="48">
        <v>37</v>
      </c>
      <c r="BM206" s="49">
        <v>92.5</v>
      </c>
      <c r="BN206" s="48">
        <v>40</v>
      </c>
    </row>
    <row r="207" spans="1:66" ht="15">
      <c r="A207" s="66" t="s">
        <v>514</v>
      </c>
      <c r="B207" s="66" t="s">
        <v>513</v>
      </c>
      <c r="C207" s="67"/>
      <c r="D207" s="68"/>
      <c r="E207" s="69"/>
      <c r="F207" s="70"/>
      <c r="G207" s="67"/>
      <c r="H207" s="71"/>
      <c r="I207" s="72"/>
      <c r="J207" s="72"/>
      <c r="K207" s="34" t="s">
        <v>66</v>
      </c>
      <c r="L207" s="79">
        <v>415</v>
      </c>
      <c r="M207" s="79"/>
      <c r="N207" s="74"/>
      <c r="O207" s="81" t="s">
        <v>587</v>
      </c>
      <c r="P207" s="83">
        <v>44004.46513888889</v>
      </c>
      <c r="Q207" s="81" t="s">
        <v>595</v>
      </c>
      <c r="R207" s="84" t="str">
        <f>HYPERLINK("https://www.civilservicejobs.service.gov.uk/csr/jobs.cgi?jcode=1670513")</f>
        <v>https://www.civilservicejobs.service.gov.uk/csr/jobs.cgi?jcode=1670513</v>
      </c>
      <c r="S207" s="81" t="s">
        <v>690</v>
      </c>
      <c r="T207" s="81" t="s">
        <v>728</v>
      </c>
      <c r="U207" s="81"/>
      <c r="V207" s="84" t="str">
        <f>HYPERLINK("http://pbs.twimg.com/profile_images/1266685862915584005/UyURI2iR_normal.jpg")</f>
        <v>http://pbs.twimg.com/profile_images/1266685862915584005/UyURI2iR_normal.jpg</v>
      </c>
      <c r="W207" s="83">
        <v>44004.46513888889</v>
      </c>
      <c r="X207" s="87">
        <v>44004</v>
      </c>
      <c r="Y207" s="89" t="s">
        <v>932</v>
      </c>
      <c r="Z207" s="84" t="str">
        <f>HYPERLINK("https://twitter.com/puntofisso/status/1275023175747805186")</f>
        <v>https://twitter.com/puntofisso/status/1275023175747805186</v>
      </c>
      <c r="AA207" s="81"/>
      <c r="AB207" s="81"/>
      <c r="AC207" s="89" t="s">
        <v>1142</v>
      </c>
      <c r="AD207" s="81"/>
      <c r="AE207" s="81" t="b">
        <v>0</v>
      </c>
      <c r="AF207" s="81">
        <v>27</v>
      </c>
      <c r="AG207" s="89" t="s">
        <v>1149</v>
      </c>
      <c r="AH207" s="81" t="b">
        <v>0</v>
      </c>
      <c r="AI207" s="81" t="s">
        <v>1150</v>
      </c>
      <c r="AJ207" s="81"/>
      <c r="AK207" s="89" t="s">
        <v>1149</v>
      </c>
      <c r="AL207" s="81" t="b">
        <v>0</v>
      </c>
      <c r="AM207" s="81">
        <v>37</v>
      </c>
      <c r="AN207" s="89" t="s">
        <v>1149</v>
      </c>
      <c r="AO207" s="81" t="s">
        <v>1175</v>
      </c>
      <c r="AP207" s="81" t="b">
        <v>0</v>
      </c>
      <c r="AQ207" s="89" t="s">
        <v>1142</v>
      </c>
      <c r="AR207" s="81" t="s">
        <v>325</v>
      </c>
      <c r="AS207" s="81">
        <v>0</v>
      </c>
      <c r="AT207" s="81">
        <v>0</v>
      </c>
      <c r="AU207" s="81"/>
      <c r="AV207" s="81"/>
      <c r="AW207" s="81"/>
      <c r="AX207" s="81"/>
      <c r="AY207" s="81"/>
      <c r="AZ207" s="81"/>
      <c r="BA207" s="81"/>
      <c r="BB207" s="81"/>
      <c r="BC207">
        <v>1</v>
      </c>
      <c r="BD207" s="80" t="str">
        <f>REPLACE(INDEX(GroupVertices[Group],MATCH(Edges25[[#This Row],[Vertex 1]],GroupVertices[Vertex],0)),1,1,"")</f>
        <v>2</v>
      </c>
      <c r="BE207" s="80" t="str">
        <f>REPLACE(INDEX(GroupVertices[Group],MATCH(Edges25[[#This Row],[Vertex 2]],GroupVertices[Vertex],0)),1,1,"")</f>
        <v>2</v>
      </c>
      <c r="BF207" s="48">
        <v>3</v>
      </c>
      <c r="BG207" s="49">
        <v>7.5</v>
      </c>
      <c r="BH207" s="48">
        <v>0</v>
      </c>
      <c r="BI207" s="49">
        <v>0</v>
      </c>
      <c r="BJ207" s="48">
        <v>0</v>
      </c>
      <c r="BK207" s="49">
        <v>0</v>
      </c>
      <c r="BL207" s="48">
        <v>37</v>
      </c>
      <c r="BM207" s="49">
        <v>92.5</v>
      </c>
      <c r="BN207" s="48">
        <v>40</v>
      </c>
    </row>
    <row r="208" spans="1:66" ht="15">
      <c r="A208" s="66" t="s">
        <v>514</v>
      </c>
      <c r="B208" s="66" t="s">
        <v>514</v>
      </c>
      <c r="C208" s="67"/>
      <c r="D208" s="68"/>
      <c r="E208" s="69"/>
      <c r="F208" s="70"/>
      <c r="G208" s="67"/>
      <c r="H208" s="71"/>
      <c r="I208" s="72"/>
      <c r="J208" s="72"/>
      <c r="K208" s="34" t="s">
        <v>65</v>
      </c>
      <c r="L208" s="79">
        <v>416</v>
      </c>
      <c r="M208" s="79"/>
      <c r="N208" s="74"/>
      <c r="O208" s="81" t="s">
        <v>325</v>
      </c>
      <c r="P208" s="83">
        <v>44004.84018518519</v>
      </c>
      <c r="Q208" s="81" t="s">
        <v>613</v>
      </c>
      <c r="R208" s="84" t="str">
        <f>HYPERLINK("http://puntofisso.net/newsletter/")</f>
        <v>http://puntofisso.net/newsletter/</v>
      </c>
      <c r="S208" s="81" t="s">
        <v>691</v>
      </c>
      <c r="T208" s="81" t="s">
        <v>729</v>
      </c>
      <c r="U208" s="84" t="str">
        <f>HYPERLINK("https://pbs.twimg.com/tweet_video_thumb/EbJGD2zWsAIk9A7.jpg")</f>
        <v>https://pbs.twimg.com/tweet_video_thumb/EbJGD2zWsAIk9A7.jpg</v>
      </c>
      <c r="V208" s="84" t="str">
        <f>HYPERLINK("https://pbs.twimg.com/tweet_video_thumb/EbJGD2zWsAIk9A7.jpg")</f>
        <v>https://pbs.twimg.com/tweet_video_thumb/EbJGD2zWsAIk9A7.jpg</v>
      </c>
      <c r="W208" s="83">
        <v>44004.84018518519</v>
      </c>
      <c r="X208" s="87">
        <v>44004</v>
      </c>
      <c r="Y208" s="89" t="s">
        <v>933</v>
      </c>
      <c r="Z208" s="84" t="str">
        <f>HYPERLINK("https://twitter.com/puntofisso/status/1275159085848109056")</f>
        <v>https://twitter.com/puntofisso/status/1275159085848109056</v>
      </c>
      <c r="AA208" s="81"/>
      <c r="AB208" s="81"/>
      <c r="AC208" s="89" t="s">
        <v>1143</v>
      </c>
      <c r="AD208" s="81"/>
      <c r="AE208" s="81" t="b">
        <v>0</v>
      </c>
      <c r="AF208" s="81">
        <v>8</v>
      </c>
      <c r="AG208" s="89" t="s">
        <v>1149</v>
      </c>
      <c r="AH208" s="81" t="b">
        <v>0</v>
      </c>
      <c r="AI208" s="81" t="s">
        <v>1150</v>
      </c>
      <c r="AJ208" s="81"/>
      <c r="AK208" s="89" t="s">
        <v>1149</v>
      </c>
      <c r="AL208" s="81" t="b">
        <v>0</v>
      </c>
      <c r="AM208" s="81">
        <v>3</v>
      </c>
      <c r="AN208" s="89" t="s">
        <v>1149</v>
      </c>
      <c r="AO208" s="81" t="s">
        <v>1175</v>
      </c>
      <c r="AP208" s="81" t="b">
        <v>0</v>
      </c>
      <c r="AQ208" s="89" t="s">
        <v>1143</v>
      </c>
      <c r="AR208" s="81" t="s">
        <v>325</v>
      </c>
      <c r="AS208" s="81">
        <v>0</v>
      </c>
      <c r="AT208" s="81">
        <v>0</v>
      </c>
      <c r="AU208" s="81"/>
      <c r="AV208" s="81"/>
      <c r="AW208" s="81"/>
      <c r="AX208" s="81"/>
      <c r="AY208" s="81"/>
      <c r="AZ208" s="81"/>
      <c r="BA208" s="81"/>
      <c r="BB208" s="81"/>
      <c r="BC208">
        <v>2</v>
      </c>
      <c r="BD208" s="80" t="str">
        <f>REPLACE(INDEX(GroupVertices[Group],MATCH(Edges25[[#This Row],[Vertex 1]],GroupVertices[Vertex],0)),1,1,"")</f>
        <v>2</v>
      </c>
      <c r="BE208" s="80" t="str">
        <f>REPLACE(INDEX(GroupVertices[Group],MATCH(Edges25[[#This Row],[Vertex 2]],GroupVertices[Vertex],0)),1,1,"")</f>
        <v>2</v>
      </c>
      <c r="BF208" s="48">
        <v>1</v>
      </c>
      <c r="BG208" s="49">
        <v>4.545454545454546</v>
      </c>
      <c r="BH208" s="48">
        <v>1</v>
      </c>
      <c r="BI208" s="49">
        <v>4.545454545454546</v>
      </c>
      <c r="BJ208" s="48">
        <v>0</v>
      </c>
      <c r="BK208" s="49">
        <v>0</v>
      </c>
      <c r="BL208" s="48">
        <v>20</v>
      </c>
      <c r="BM208" s="49">
        <v>90.9090909090909</v>
      </c>
      <c r="BN208" s="48">
        <v>22</v>
      </c>
    </row>
    <row r="209" spans="1:66" ht="15">
      <c r="A209" s="66" t="s">
        <v>514</v>
      </c>
      <c r="B209" s="66" t="s">
        <v>514</v>
      </c>
      <c r="C209" s="67"/>
      <c r="D209" s="68"/>
      <c r="E209" s="69"/>
      <c r="F209" s="70"/>
      <c r="G209" s="67"/>
      <c r="H209" s="71"/>
      <c r="I209" s="72"/>
      <c r="J209" s="72"/>
      <c r="K209" s="34" t="s">
        <v>65</v>
      </c>
      <c r="L209" s="79">
        <v>417</v>
      </c>
      <c r="M209" s="79"/>
      <c r="N209" s="74"/>
      <c r="O209" s="81" t="s">
        <v>586</v>
      </c>
      <c r="P209" s="83">
        <v>44005.436435185184</v>
      </c>
      <c r="Q209" s="81" t="s">
        <v>613</v>
      </c>
      <c r="R209" s="81"/>
      <c r="S209" s="81"/>
      <c r="T209" s="81" t="s">
        <v>699</v>
      </c>
      <c r="U209" s="81"/>
      <c r="V209" s="84" t="str">
        <f>HYPERLINK("http://pbs.twimg.com/profile_images/1266685862915584005/UyURI2iR_normal.jpg")</f>
        <v>http://pbs.twimg.com/profile_images/1266685862915584005/UyURI2iR_normal.jpg</v>
      </c>
      <c r="W209" s="83">
        <v>44005.436435185184</v>
      </c>
      <c r="X209" s="87">
        <v>44005</v>
      </c>
      <c r="Y209" s="89" t="s">
        <v>934</v>
      </c>
      <c r="Z209" s="84" t="str">
        <f>HYPERLINK("https://twitter.com/puntofisso/status/1275375160619663360")</f>
        <v>https://twitter.com/puntofisso/status/1275375160619663360</v>
      </c>
      <c r="AA209" s="81"/>
      <c r="AB209" s="81"/>
      <c r="AC209" s="89" t="s">
        <v>1144</v>
      </c>
      <c r="AD209" s="81"/>
      <c r="AE209" s="81" t="b">
        <v>0</v>
      </c>
      <c r="AF209" s="81">
        <v>0</v>
      </c>
      <c r="AG209" s="89" t="s">
        <v>1149</v>
      </c>
      <c r="AH209" s="81" t="b">
        <v>0</v>
      </c>
      <c r="AI209" s="81" t="s">
        <v>1150</v>
      </c>
      <c r="AJ209" s="81"/>
      <c r="AK209" s="89" t="s">
        <v>1149</v>
      </c>
      <c r="AL209" s="81" t="b">
        <v>0</v>
      </c>
      <c r="AM209" s="81">
        <v>3</v>
      </c>
      <c r="AN209" s="89" t="s">
        <v>1143</v>
      </c>
      <c r="AO209" s="81" t="s">
        <v>1175</v>
      </c>
      <c r="AP209" s="81" t="b">
        <v>0</v>
      </c>
      <c r="AQ209" s="89" t="s">
        <v>1143</v>
      </c>
      <c r="AR209" s="81" t="s">
        <v>325</v>
      </c>
      <c r="AS209" s="81">
        <v>0</v>
      </c>
      <c r="AT209" s="81">
        <v>0</v>
      </c>
      <c r="AU209" s="81"/>
      <c r="AV209" s="81"/>
      <c r="AW209" s="81"/>
      <c r="AX209" s="81"/>
      <c r="AY209" s="81"/>
      <c r="AZ209" s="81"/>
      <c r="BA209" s="81"/>
      <c r="BB209" s="81"/>
      <c r="BC209">
        <v>2</v>
      </c>
      <c r="BD209" s="80" t="str">
        <f>REPLACE(INDEX(GroupVertices[Group],MATCH(Edges25[[#This Row],[Vertex 1]],GroupVertices[Vertex],0)),1,1,"")</f>
        <v>2</v>
      </c>
      <c r="BE209" s="80" t="str">
        <f>REPLACE(INDEX(GroupVertices[Group],MATCH(Edges25[[#This Row],[Vertex 2]],GroupVertices[Vertex],0)),1,1,"")</f>
        <v>2</v>
      </c>
      <c r="BF209" s="48">
        <v>1</v>
      </c>
      <c r="BG209" s="49">
        <v>4.545454545454546</v>
      </c>
      <c r="BH209" s="48">
        <v>1</v>
      </c>
      <c r="BI209" s="49">
        <v>4.545454545454546</v>
      </c>
      <c r="BJ209" s="48">
        <v>0</v>
      </c>
      <c r="BK209" s="49">
        <v>0</v>
      </c>
      <c r="BL209" s="48">
        <v>20</v>
      </c>
      <c r="BM209" s="49">
        <v>90.9090909090909</v>
      </c>
      <c r="BN209" s="48">
        <v>22</v>
      </c>
    </row>
    <row r="210" spans="1:66" ht="15">
      <c r="A210" s="66" t="s">
        <v>515</v>
      </c>
      <c r="B210" s="66" t="s">
        <v>515</v>
      </c>
      <c r="C210" s="67"/>
      <c r="D210" s="68"/>
      <c r="E210" s="69"/>
      <c r="F210" s="70"/>
      <c r="G210" s="67"/>
      <c r="H210" s="71"/>
      <c r="I210" s="72"/>
      <c r="J210" s="72"/>
      <c r="K210" s="34" t="s">
        <v>65</v>
      </c>
      <c r="L210" s="79">
        <v>418</v>
      </c>
      <c r="M210" s="79"/>
      <c r="N210" s="74"/>
      <c r="O210" s="81" t="s">
        <v>325</v>
      </c>
      <c r="P210" s="83">
        <v>44005.44260416667</v>
      </c>
      <c r="Q210" s="81" t="s">
        <v>674</v>
      </c>
      <c r="R210" s="84" t="str">
        <f>HYPERLINK("https://twitter.com/hatr/status/1275294646349041664")</f>
        <v>https://twitter.com/hatr/status/1275294646349041664</v>
      </c>
      <c r="S210" s="81" t="s">
        <v>676</v>
      </c>
      <c r="T210" s="81" t="s">
        <v>707</v>
      </c>
      <c r="U210" s="81"/>
      <c r="V210" s="84" t="str">
        <f>HYPERLINK("http://pbs.twimg.com/profile_images/1190575461610459136/0VDw_7oY_normal.jpg")</f>
        <v>http://pbs.twimg.com/profile_images/1190575461610459136/0VDw_7oY_normal.jpg</v>
      </c>
      <c r="W210" s="83">
        <v>44005.44260416667</v>
      </c>
      <c r="X210" s="87">
        <v>44005</v>
      </c>
      <c r="Y210" s="89" t="s">
        <v>935</v>
      </c>
      <c r="Z210" s="84" t="str">
        <f>HYPERLINK("https://twitter.com/na7al13/status/1275377398259822592")</f>
        <v>https://twitter.com/na7al13/status/1275377398259822592</v>
      </c>
      <c r="AA210" s="81"/>
      <c r="AB210" s="81"/>
      <c r="AC210" s="89" t="s">
        <v>1145</v>
      </c>
      <c r="AD210" s="81"/>
      <c r="AE210" s="81" t="b">
        <v>0</v>
      </c>
      <c r="AF210" s="81">
        <v>0</v>
      </c>
      <c r="AG210" s="89" t="s">
        <v>1149</v>
      </c>
      <c r="AH210" s="81" t="b">
        <v>1</v>
      </c>
      <c r="AI210" s="81" t="s">
        <v>1150</v>
      </c>
      <c r="AJ210" s="81"/>
      <c r="AK210" s="89" t="s">
        <v>1164</v>
      </c>
      <c r="AL210" s="81" t="b">
        <v>0</v>
      </c>
      <c r="AM210" s="81">
        <v>0</v>
      </c>
      <c r="AN210" s="89" t="s">
        <v>1149</v>
      </c>
      <c r="AO210" s="81" t="s">
        <v>1172</v>
      </c>
      <c r="AP210" s="81" t="b">
        <v>0</v>
      </c>
      <c r="AQ210" s="89" t="s">
        <v>1145</v>
      </c>
      <c r="AR210" s="81" t="s">
        <v>325</v>
      </c>
      <c r="AS210" s="81">
        <v>0</v>
      </c>
      <c r="AT210" s="81">
        <v>0</v>
      </c>
      <c r="AU210" s="81"/>
      <c r="AV210" s="81"/>
      <c r="AW210" s="81"/>
      <c r="AX210" s="81"/>
      <c r="AY210" s="81"/>
      <c r="AZ210" s="81"/>
      <c r="BA210" s="81"/>
      <c r="BB210" s="81"/>
      <c r="BC210">
        <v>1</v>
      </c>
      <c r="BD210" s="80" t="str">
        <f>REPLACE(INDEX(GroupVertices[Group],MATCH(Edges25[[#This Row],[Vertex 1]],GroupVertices[Vertex],0)),1,1,"")</f>
        <v>8</v>
      </c>
      <c r="BE210" s="80" t="str">
        <f>REPLACE(INDEX(GroupVertices[Group],MATCH(Edges25[[#This Row],[Vertex 2]],GroupVertices[Vertex],0)),1,1,"")</f>
        <v>8</v>
      </c>
      <c r="BF210" s="48">
        <v>0</v>
      </c>
      <c r="BG210" s="49">
        <v>0</v>
      </c>
      <c r="BH210" s="48">
        <v>0</v>
      </c>
      <c r="BI210" s="49">
        <v>0</v>
      </c>
      <c r="BJ210" s="48">
        <v>0</v>
      </c>
      <c r="BK210" s="49">
        <v>0</v>
      </c>
      <c r="BL210" s="48">
        <v>4</v>
      </c>
      <c r="BM210" s="49">
        <v>100</v>
      </c>
      <c r="BN210" s="48">
        <v>4</v>
      </c>
    </row>
    <row r="211" spans="1:66" ht="15">
      <c r="A211" s="66" t="s">
        <v>516</v>
      </c>
      <c r="B211" s="66" t="s">
        <v>528</v>
      </c>
      <c r="C211" s="67"/>
      <c r="D211" s="68"/>
      <c r="E211" s="69"/>
      <c r="F211" s="70"/>
      <c r="G211" s="67"/>
      <c r="H211" s="71"/>
      <c r="I211" s="72"/>
      <c r="J211" s="72"/>
      <c r="K211" s="34" t="s">
        <v>65</v>
      </c>
      <c r="L211" s="79">
        <v>419</v>
      </c>
      <c r="M211" s="79"/>
      <c r="N211" s="74"/>
      <c r="O211" s="81" t="s">
        <v>587</v>
      </c>
      <c r="P211" s="83">
        <v>44004.61085648148</v>
      </c>
      <c r="Q211" s="81" t="s">
        <v>601</v>
      </c>
      <c r="R211" s="84" t="str">
        <f>HYPERLINK("https://interaktiv.tagesspiegel.de/lab/wie-die-coronakrise-den-arbeitsmarkt-getroffen-hat/")</f>
        <v>https://interaktiv.tagesspiegel.de/lab/wie-die-coronakrise-den-arbeitsmarkt-getroffen-hat/</v>
      </c>
      <c r="S211" s="81" t="s">
        <v>692</v>
      </c>
      <c r="T211" s="81" t="s">
        <v>730</v>
      </c>
      <c r="U211" s="84" t="str">
        <f>HYPERLINK("https://pbs.twimg.com/media/EbH5PFOVAAIus2b.jpg")</f>
        <v>https://pbs.twimg.com/media/EbH5PFOVAAIus2b.jpg</v>
      </c>
      <c r="V211" s="84" t="str">
        <f>HYPERLINK("https://pbs.twimg.com/media/EbH5PFOVAAIus2b.jpg")</f>
        <v>https://pbs.twimg.com/media/EbH5PFOVAAIus2b.jpg</v>
      </c>
      <c r="W211" s="83">
        <v>44004.61085648148</v>
      </c>
      <c r="X211" s="87">
        <v>44004</v>
      </c>
      <c r="Y211" s="89" t="s">
        <v>936</v>
      </c>
      <c r="Z211" s="84" t="str">
        <f>HYPERLINK("https://twitter.com/helenawittlich/status/1275075981967908864")</f>
        <v>https://twitter.com/helenawittlich/status/1275075981967908864</v>
      </c>
      <c r="AA211" s="81"/>
      <c r="AB211" s="81"/>
      <c r="AC211" s="89" t="s">
        <v>1146</v>
      </c>
      <c r="AD211" s="81"/>
      <c r="AE211" s="81" t="b">
        <v>0</v>
      </c>
      <c r="AF211" s="81">
        <v>3</v>
      </c>
      <c r="AG211" s="89" t="s">
        <v>1149</v>
      </c>
      <c r="AH211" s="81" t="b">
        <v>0</v>
      </c>
      <c r="AI211" s="81" t="s">
        <v>1152</v>
      </c>
      <c r="AJ211" s="81"/>
      <c r="AK211" s="89" t="s">
        <v>1149</v>
      </c>
      <c r="AL211" s="81" t="b">
        <v>0</v>
      </c>
      <c r="AM211" s="81">
        <v>3</v>
      </c>
      <c r="AN211" s="89" t="s">
        <v>1149</v>
      </c>
      <c r="AO211" s="81" t="s">
        <v>1172</v>
      </c>
      <c r="AP211" s="81" t="b">
        <v>0</v>
      </c>
      <c r="AQ211" s="89" t="s">
        <v>1146</v>
      </c>
      <c r="AR211" s="81" t="s">
        <v>325</v>
      </c>
      <c r="AS211" s="81">
        <v>0</v>
      </c>
      <c r="AT211" s="81">
        <v>0</v>
      </c>
      <c r="AU211" s="81"/>
      <c r="AV211" s="81"/>
      <c r="AW211" s="81"/>
      <c r="AX211" s="81"/>
      <c r="AY211" s="81"/>
      <c r="AZ211" s="81"/>
      <c r="BA211" s="81"/>
      <c r="BB211" s="81"/>
      <c r="BC211">
        <v>1</v>
      </c>
      <c r="BD211" s="80" t="str">
        <f>REPLACE(INDEX(GroupVertices[Group],MATCH(Edges25[[#This Row],[Vertex 1]],GroupVertices[Vertex],0)),1,1,"")</f>
        <v>10</v>
      </c>
      <c r="BE211" s="80" t="str">
        <f>REPLACE(INDEX(GroupVertices[Group],MATCH(Edges25[[#This Row],[Vertex 2]],GroupVertices[Vertex],0)),1,1,"")</f>
        <v>10</v>
      </c>
      <c r="BF211" s="48">
        <v>0</v>
      </c>
      <c r="BG211" s="49">
        <v>0</v>
      </c>
      <c r="BH211" s="48">
        <v>2</v>
      </c>
      <c r="BI211" s="49">
        <v>5.128205128205129</v>
      </c>
      <c r="BJ211" s="48">
        <v>0</v>
      </c>
      <c r="BK211" s="49">
        <v>0</v>
      </c>
      <c r="BL211" s="48">
        <v>37</v>
      </c>
      <c r="BM211" s="49">
        <v>94.87179487179488</v>
      </c>
      <c r="BN211" s="48">
        <v>39</v>
      </c>
    </row>
    <row r="212" spans="1:66" ht="15">
      <c r="A212" s="66" t="s">
        <v>517</v>
      </c>
      <c r="B212" s="66" t="s">
        <v>528</v>
      </c>
      <c r="C212" s="67"/>
      <c r="D212" s="68"/>
      <c r="E212" s="69"/>
      <c r="F212" s="70"/>
      <c r="G212" s="67"/>
      <c r="H212" s="71"/>
      <c r="I212" s="72"/>
      <c r="J212" s="72"/>
      <c r="K212" s="34" t="s">
        <v>65</v>
      </c>
      <c r="L212" s="79">
        <v>420</v>
      </c>
      <c r="M212" s="79"/>
      <c r="N212" s="74"/>
      <c r="O212" s="81" t="s">
        <v>588</v>
      </c>
      <c r="P212" s="83">
        <v>44005.44505787037</v>
      </c>
      <c r="Q212" s="81" t="s">
        <v>601</v>
      </c>
      <c r="R212" s="81"/>
      <c r="S212" s="81"/>
      <c r="T212" s="81" t="s">
        <v>704</v>
      </c>
      <c r="U212" s="81"/>
      <c r="V212" s="84" t="str">
        <f>HYPERLINK("http://pbs.twimg.com/profile_images/706803244497018880/1sZQeb0K_normal.jpg")</f>
        <v>http://pbs.twimg.com/profile_images/706803244497018880/1sZQeb0K_normal.jpg</v>
      </c>
      <c r="W212" s="83">
        <v>44005.44505787037</v>
      </c>
      <c r="X212" s="87">
        <v>44005</v>
      </c>
      <c r="Y212" s="89" t="s">
        <v>937</v>
      </c>
      <c r="Z212" s="84" t="str">
        <f>HYPERLINK("https://twitter.com/berlindigital/status/1275378287645261834")</f>
        <v>https://twitter.com/berlindigital/status/1275378287645261834</v>
      </c>
      <c r="AA212" s="81"/>
      <c r="AB212" s="81"/>
      <c r="AC212" s="89" t="s">
        <v>1147</v>
      </c>
      <c r="AD212" s="81"/>
      <c r="AE212" s="81" t="b">
        <v>0</v>
      </c>
      <c r="AF212" s="81">
        <v>0</v>
      </c>
      <c r="AG212" s="89" t="s">
        <v>1149</v>
      </c>
      <c r="AH212" s="81" t="b">
        <v>0</v>
      </c>
      <c r="AI212" s="81" t="s">
        <v>1152</v>
      </c>
      <c r="AJ212" s="81"/>
      <c r="AK212" s="89" t="s">
        <v>1149</v>
      </c>
      <c r="AL212" s="81" t="b">
        <v>0</v>
      </c>
      <c r="AM212" s="81">
        <v>3</v>
      </c>
      <c r="AN212" s="89" t="s">
        <v>1146</v>
      </c>
      <c r="AO212" s="81" t="s">
        <v>1165</v>
      </c>
      <c r="AP212" s="81" t="b">
        <v>0</v>
      </c>
      <c r="AQ212" s="89" t="s">
        <v>1146</v>
      </c>
      <c r="AR212" s="81" t="s">
        <v>325</v>
      </c>
      <c r="AS212" s="81">
        <v>0</v>
      </c>
      <c r="AT212" s="81">
        <v>0</v>
      </c>
      <c r="AU212" s="81"/>
      <c r="AV212" s="81"/>
      <c r="AW212" s="81"/>
      <c r="AX212" s="81"/>
      <c r="AY212" s="81"/>
      <c r="AZ212" s="81"/>
      <c r="BA212" s="81"/>
      <c r="BB212" s="81"/>
      <c r="BC212">
        <v>1</v>
      </c>
      <c r="BD212" s="80" t="str">
        <f>REPLACE(INDEX(GroupVertices[Group],MATCH(Edges25[[#This Row],[Vertex 1]],GroupVertices[Vertex],0)),1,1,"")</f>
        <v>10</v>
      </c>
      <c r="BE212" s="80" t="str">
        <f>REPLACE(INDEX(GroupVertices[Group],MATCH(Edges25[[#This Row],[Vertex 2]],GroupVertices[Vertex],0)),1,1,"")</f>
        <v>10</v>
      </c>
      <c r="BF212" s="48"/>
      <c r="BG212" s="49"/>
      <c r="BH212" s="48"/>
      <c r="BI212" s="49"/>
      <c r="BJ212" s="48"/>
      <c r="BK212" s="49"/>
      <c r="BL212" s="48"/>
      <c r="BM212" s="49"/>
      <c r="BN212" s="48"/>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2"/>
    <dataValidation allowBlank="1" showInputMessage="1" showErrorMessage="1" promptTitle="Vertex 2 Name" prompt="Enter the name of the edge's second vertex." sqref="B3:B212"/>
    <dataValidation allowBlank="1" showInputMessage="1" showErrorMessage="1" promptTitle="Vertex 1 Name" prompt="Enter the name of the edge's first vertex." sqref="A3:A2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2"/>
    <dataValidation allowBlank="1" showInputMessage="1" promptTitle="Edge Width" prompt="Enter an optional edge width between 1 and 10." errorTitle="Invalid Edge Width" error="The optional edge width must be a whole number between 1 and 10." sqref="D3:D212"/>
    <dataValidation allowBlank="1" showInputMessage="1" promptTitle="Edge Color" prompt="To select an optional edge color, right-click and select Select Color on the right-click menu." sqref="C3:C2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2"/>
    <dataValidation allowBlank="1" showErrorMessage="1" sqref="N2:N2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2"/>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50099-0F71-478D-8ED0-28A4714989C5}">
  <dimension ref="A1:V9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2723</v>
      </c>
      <c r="B1" s="13" t="s">
        <v>2734</v>
      </c>
      <c r="C1" s="13" t="s">
        <v>2735</v>
      </c>
      <c r="D1" s="13" t="s">
        <v>2745</v>
      </c>
      <c r="E1" s="13" t="s">
        <v>2744</v>
      </c>
      <c r="F1" s="13" t="s">
        <v>2749</v>
      </c>
      <c r="G1" s="13" t="s">
        <v>2748</v>
      </c>
      <c r="H1" s="13" t="s">
        <v>2751</v>
      </c>
      <c r="I1" s="13" t="s">
        <v>2750</v>
      </c>
      <c r="J1" s="13" t="s">
        <v>2754</v>
      </c>
      <c r="K1" s="13" t="s">
        <v>2753</v>
      </c>
      <c r="L1" s="13" t="s">
        <v>2760</v>
      </c>
      <c r="M1" s="80" t="s">
        <v>2759</v>
      </c>
      <c r="N1" s="80" t="s">
        <v>2762</v>
      </c>
      <c r="O1" s="80" t="s">
        <v>2761</v>
      </c>
      <c r="P1" s="80" t="s">
        <v>2764</v>
      </c>
      <c r="Q1" s="13" t="s">
        <v>2763</v>
      </c>
      <c r="R1" s="13" t="s">
        <v>2771</v>
      </c>
      <c r="S1" s="13" t="s">
        <v>2770</v>
      </c>
      <c r="T1" s="13" t="s">
        <v>2773</v>
      </c>
      <c r="U1" s="13" t="s">
        <v>2772</v>
      </c>
      <c r="V1" s="13" t="s">
        <v>2775</v>
      </c>
    </row>
    <row r="2" spans="1:22" ht="15">
      <c r="A2" s="85" t="s">
        <v>2724</v>
      </c>
      <c r="B2" s="80">
        <v>11</v>
      </c>
      <c r="C2" s="85" t="s">
        <v>2727</v>
      </c>
      <c r="D2" s="80">
        <v>2</v>
      </c>
      <c r="E2" s="85" t="s">
        <v>2746</v>
      </c>
      <c r="F2" s="80">
        <v>1</v>
      </c>
      <c r="G2" s="85" t="s">
        <v>2724</v>
      </c>
      <c r="H2" s="80">
        <v>11</v>
      </c>
      <c r="I2" s="85" t="s">
        <v>2752</v>
      </c>
      <c r="J2" s="80">
        <v>1</v>
      </c>
      <c r="K2" s="85" t="s">
        <v>2755</v>
      </c>
      <c r="L2" s="80">
        <v>1</v>
      </c>
      <c r="M2" s="80"/>
      <c r="N2" s="80"/>
      <c r="O2" s="80"/>
      <c r="P2" s="80"/>
      <c r="Q2" s="85" t="s">
        <v>2765</v>
      </c>
      <c r="R2" s="80">
        <v>1</v>
      </c>
      <c r="S2" s="85" t="s">
        <v>2730</v>
      </c>
      <c r="T2" s="80">
        <v>2</v>
      </c>
      <c r="U2" s="85" t="s">
        <v>2774</v>
      </c>
      <c r="V2" s="80">
        <v>1</v>
      </c>
    </row>
    <row r="3" spans="1:22" ht="15">
      <c r="A3" s="85" t="s">
        <v>2725</v>
      </c>
      <c r="B3" s="80">
        <v>3</v>
      </c>
      <c r="C3" s="85" t="s">
        <v>2728</v>
      </c>
      <c r="D3" s="80">
        <v>2</v>
      </c>
      <c r="E3" s="85" t="s">
        <v>2747</v>
      </c>
      <c r="F3" s="80">
        <v>1</v>
      </c>
      <c r="G3" s="80"/>
      <c r="H3" s="80"/>
      <c r="I3" s="80"/>
      <c r="J3" s="80"/>
      <c r="K3" s="85" t="s">
        <v>2756</v>
      </c>
      <c r="L3" s="80">
        <v>1</v>
      </c>
      <c r="M3" s="80"/>
      <c r="N3" s="80"/>
      <c r="O3" s="80"/>
      <c r="P3" s="80"/>
      <c r="Q3" s="85" t="s">
        <v>2766</v>
      </c>
      <c r="R3" s="80">
        <v>1</v>
      </c>
      <c r="S3" s="80"/>
      <c r="T3" s="80"/>
      <c r="U3" s="80"/>
      <c r="V3" s="80"/>
    </row>
    <row r="4" spans="1:22" ht="15">
      <c r="A4" s="85" t="s">
        <v>2726</v>
      </c>
      <c r="B4" s="80">
        <v>2</v>
      </c>
      <c r="C4" s="85" t="s">
        <v>2736</v>
      </c>
      <c r="D4" s="80">
        <v>1</v>
      </c>
      <c r="E4" s="80"/>
      <c r="F4" s="80"/>
      <c r="G4" s="80"/>
      <c r="H4" s="80"/>
      <c r="I4" s="80"/>
      <c r="J4" s="80"/>
      <c r="K4" s="85" t="s">
        <v>2757</v>
      </c>
      <c r="L4" s="80">
        <v>1</v>
      </c>
      <c r="M4" s="80"/>
      <c r="N4" s="80"/>
      <c r="O4" s="80"/>
      <c r="P4" s="80"/>
      <c r="Q4" s="85" t="s">
        <v>2767</v>
      </c>
      <c r="R4" s="80">
        <v>1</v>
      </c>
      <c r="S4" s="80"/>
      <c r="T4" s="80"/>
      <c r="U4" s="80"/>
      <c r="V4" s="80"/>
    </row>
    <row r="5" spans="1:22" ht="15">
      <c r="A5" s="85" t="s">
        <v>2727</v>
      </c>
      <c r="B5" s="80">
        <v>2</v>
      </c>
      <c r="C5" s="85" t="s">
        <v>2737</v>
      </c>
      <c r="D5" s="80">
        <v>1</v>
      </c>
      <c r="E5" s="80"/>
      <c r="F5" s="80"/>
      <c r="G5" s="80"/>
      <c r="H5" s="80"/>
      <c r="I5" s="80"/>
      <c r="J5" s="80"/>
      <c r="K5" s="85" t="s">
        <v>2758</v>
      </c>
      <c r="L5" s="80">
        <v>1</v>
      </c>
      <c r="M5" s="80"/>
      <c r="N5" s="80"/>
      <c r="O5" s="80"/>
      <c r="P5" s="80"/>
      <c r="Q5" s="85" t="s">
        <v>2768</v>
      </c>
      <c r="R5" s="80">
        <v>1</v>
      </c>
      <c r="S5" s="80"/>
      <c r="T5" s="80"/>
      <c r="U5" s="80"/>
      <c r="V5" s="80"/>
    </row>
    <row r="6" spans="1:22" ht="15">
      <c r="A6" s="85" t="s">
        <v>2728</v>
      </c>
      <c r="B6" s="80">
        <v>2</v>
      </c>
      <c r="C6" s="85" t="s">
        <v>2738</v>
      </c>
      <c r="D6" s="80">
        <v>1</v>
      </c>
      <c r="E6" s="80"/>
      <c r="F6" s="80"/>
      <c r="G6" s="80"/>
      <c r="H6" s="80"/>
      <c r="I6" s="80"/>
      <c r="J6" s="80"/>
      <c r="K6" s="80"/>
      <c r="L6" s="80"/>
      <c r="M6" s="80"/>
      <c r="N6" s="80"/>
      <c r="O6" s="80"/>
      <c r="P6" s="80"/>
      <c r="Q6" s="85" t="s">
        <v>2769</v>
      </c>
      <c r="R6" s="80">
        <v>1</v>
      </c>
      <c r="S6" s="80"/>
      <c r="T6" s="80"/>
      <c r="U6" s="80"/>
      <c r="V6" s="80"/>
    </row>
    <row r="7" spans="1:22" ht="15">
      <c r="A7" s="85" t="s">
        <v>2729</v>
      </c>
      <c r="B7" s="80">
        <v>2</v>
      </c>
      <c r="C7" s="85" t="s">
        <v>2739</v>
      </c>
      <c r="D7" s="80">
        <v>1</v>
      </c>
      <c r="E7" s="80"/>
      <c r="F7" s="80"/>
      <c r="G7" s="80"/>
      <c r="H7" s="80"/>
      <c r="I7" s="80"/>
      <c r="J7" s="80"/>
      <c r="K7" s="80"/>
      <c r="L7" s="80"/>
      <c r="M7" s="80"/>
      <c r="N7" s="80"/>
      <c r="O7" s="80"/>
      <c r="P7" s="80"/>
      <c r="Q7" s="85" t="s">
        <v>2731</v>
      </c>
      <c r="R7" s="80">
        <v>1</v>
      </c>
      <c r="S7" s="80"/>
      <c r="T7" s="80"/>
      <c r="U7" s="80"/>
      <c r="V7" s="80"/>
    </row>
    <row r="8" spans="1:22" ht="15">
      <c r="A8" s="85" t="s">
        <v>2730</v>
      </c>
      <c r="B8" s="80">
        <v>2</v>
      </c>
      <c r="C8" s="85" t="s">
        <v>2740</v>
      </c>
      <c r="D8" s="80">
        <v>1</v>
      </c>
      <c r="E8" s="80"/>
      <c r="F8" s="80"/>
      <c r="G8" s="80"/>
      <c r="H8" s="80"/>
      <c r="I8" s="80"/>
      <c r="J8" s="80"/>
      <c r="K8" s="80"/>
      <c r="L8" s="80"/>
      <c r="M8" s="80"/>
      <c r="N8" s="80"/>
      <c r="O8" s="80"/>
      <c r="P8" s="80"/>
      <c r="Q8" s="80"/>
      <c r="R8" s="80"/>
      <c r="S8" s="80"/>
      <c r="T8" s="80"/>
      <c r="U8" s="80"/>
      <c r="V8" s="80"/>
    </row>
    <row r="9" spans="1:22" ht="15">
      <c r="A9" s="85" t="s">
        <v>2731</v>
      </c>
      <c r="B9" s="80">
        <v>1</v>
      </c>
      <c r="C9" s="85" t="s">
        <v>2741</v>
      </c>
      <c r="D9" s="80">
        <v>1</v>
      </c>
      <c r="E9" s="80"/>
      <c r="F9" s="80"/>
      <c r="G9" s="80"/>
      <c r="H9" s="80"/>
      <c r="I9" s="80"/>
      <c r="J9" s="80"/>
      <c r="K9" s="80"/>
      <c r="L9" s="80"/>
      <c r="M9" s="80"/>
      <c r="N9" s="80"/>
      <c r="O9" s="80"/>
      <c r="P9" s="80"/>
      <c r="Q9" s="80"/>
      <c r="R9" s="80"/>
      <c r="S9" s="80"/>
      <c r="T9" s="80"/>
      <c r="U9" s="80"/>
      <c r="V9" s="80"/>
    </row>
    <row r="10" spans="1:22" ht="15">
      <c r="A10" s="85" t="s">
        <v>2732</v>
      </c>
      <c r="B10" s="80">
        <v>1</v>
      </c>
      <c r="C10" s="85" t="s">
        <v>2742</v>
      </c>
      <c r="D10" s="80">
        <v>1</v>
      </c>
      <c r="E10" s="80"/>
      <c r="F10" s="80"/>
      <c r="G10" s="80"/>
      <c r="H10" s="80"/>
      <c r="I10" s="80"/>
      <c r="J10" s="80"/>
      <c r="K10" s="80"/>
      <c r="L10" s="80"/>
      <c r="M10" s="80"/>
      <c r="N10" s="80"/>
      <c r="O10" s="80"/>
      <c r="P10" s="80"/>
      <c r="Q10" s="80"/>
      <c r="R10" s="80"/>
      <c r="S10" s="80"/>
      <c r="T10" s="80"/>
      <c r="U10" s="80"/>
      <c r="V10" s="80"/>
    </row>
    <row r="11" spans="1:22" ht="15">
      <c r="A11" s="85" t="s">
        <v>2733</v>
      </c>
      <c r="B11" s="80">
        <v>1</v>
      </c>
      <c r="C11" s="85" t="s">
        <v>2743</v>
      </c>
      <c r="D11" s="80">
        <v>1</v>
      </c>
      <c r="E11" s="80"/>
      <c r="F11" s="80"/>
      <c r="G11" s="80"/>
      <c r="H11" s="80"/>
      <c r="I11" s="80"/>
      <c r="J11" s="80"/>
      <c r="K11" s="80"/>
      <c r="L11" s="80"/>
      <c r="M11" s="80"/>
      <c r="N11" s="80"/>
      <c r="O11" s="80"/>
      <c r="P11" s="80"/>
      <c r="Q11" s="80"/>
      <c r="R11" s="80"/>
      <c r="S11" s="80"/>
      <c r="T11" s="80"/>
      <c r="U11" s="80"/>
      <c r="V11" s="80"/>
    </row>
    <row r="14" spans="1:22" ht="15" customHeight="1">
      <c r="A14" s="13" t="s">
        <v>2787</v>
      </c>
      <c r="B14" s="13" t="s">
        <v>2734</v>
      </c>
      <c r="C14" s="13" t="s">
        <v>2788</v>
      </c>
      <c r="D14" s="13" t="s">
        <v>2745</v>
      </c>
      <c r="E14" s="13" t="s">
        <v>2789</v>
      </c>
      <c r="F14" s="13" t="s">
        <v>2749</v>
      </c>
      <c r="G14" s="13" t="s">
        <v>2790</v>
      </c>
      <c r="H14" s="13" t="s">
        <v>2751</v>
      </c>
      <c r="I14" s="13" t="s">
        <v>2791</v>
      </c>
      <c r="J14" s="13" t="s">
        <v>2754</v>
      </c>
      <c r="K14" s="13" t="s">
        <v>2792</v>
      </c>
      <c r="L14" s="13" t="s">
        <v>2760</v>
      </c>
      <c r="M14" s="80" t="s">
        <v>2793</v>
      </c>
      <c r="N14" s="80" t="s">
        <v>2762</v>
      </c>
      <c r="O14" s="80" t="s">
        <v>2794</v>
      </c>
      <c r="P14" s="80" t="s">
        <v>2764</v>
      </c>
      <c r="Q14" s="13" t="s">
        <v>2795</v>
      </c>
      <c r="R14" s="13" t="s">
        <v>2771</v>
      </c>
      <c r="S14" s="13" t="s">
        <v>2796</v>
      </c>
      <c r="T14" s="13" t="s">
        <v>2773</v>
      </c>
      <c r="U14" s="13" t="s">
        <v>2797</v>
      </c>
      <c r="V14" s="13" t="s">
        <v>2775</v>
      </c>
    </row>
    <row r="15" spans="1:22" ht="15">
      <c r="A15" s="80" t="s">
        <v>676</v>
      </c>
      <c r="B15" s="80">
        <v>33</v>
      </c>
      <c r="C15" s="80" t="s">
        <v>676</v>
      </c>
      <c r="D15" s="80">
        <v>28</v>
      </c>
      <c r="E15" s="80" t="s">
        <v>690</v>
      </c>
      <c r="F15" s="80">
        <v>1</v>
      </c>
      <c r="G15" s="80" t="s">
        <v>678</v>
      </c>
      <c r="H15" s="80">
        <v>11</v>
      </c>
      <c r="I15" s="80" t="s">
        <v>689</v>
      </c>
      <c r="J15" s="80">
        <v>1</v>
      </c>
      <c r="K15" s="80" t="s">
        <v>685</v>
      </c>
      <c r="L15" s="80">
        <v>3</v>
      </c>
      <c r="M15" s="80"/>
      <c r="N15" s="80"/>
      <c r="O15" s="80"/>
      <c r="P15" s="80"/>
      <c r="Q15" s="80" t="s">
        <v>681</v>
      </c>
      <c r="R15" s="80">
        <v>4</v>
      </c>
      <c r="S15" s="80" t="s">
        <v>676</v>
      </c>
      <c r="T15" s="80">
        <v>2</v>
      </c>
      <c r="U15" s="80" t="s">
        <v>692</v>
      </c>
      <c r="V15" s="80">
        <v>1</v>
      </c>
    </row>
    <row r="16" spans="1:22" ht="15">
      <c r="A16" s="80" t="s">
        <v>678</v>
      </c>
      <c r="B16" s="80">
        <v>11</v>
      </c>
      <c r="C16" s="80"/>
      <c r="D16" s="80"/>
      <c r="E16" s="80" t="s">
        <v>691</v>
      </c>
      <c r="F16" s="80">
        <v>1</v>
      </c>
      <c r="G16" s="80"/>
      <c r="H16" s="80"/>
      <c r="I16" s="80"/>
      <c r="J16" s="80"/>
      <c r="K16" s="80" t="s">
        <v>684</v>
      </c>
      <c r="L16" s="80">
        <v>1</v>
      </c>
      <c r="M16" s="80"/>
      <c r="N16" s="80"/>
      <c r="O16" s="80"/>
      <c r="P16" s="80"/>
      <c r="Q16" s="80" t="s">
        <v>675</v>
      </c>
      <c r="R16" s="80">
        <v>1</v>
      </c>
      <c r="S16" s="80"/>
      <c r="T16" s="80"/>
      <c r="U16" s="80"/>
      <c r="V16" s="80"/>
    </row>
    <row r="17" spans="1:22" ht="15">
      <c r="A17" s="80" t="s">
        <v>681</v>
      </c>
      <c r="B17" s="80">
        <v>4</v>
      </c>
      <c r="C17" s="80"/>
      <c r="D17" s="80"/>
      <c r="E17" s="80"/>
      <c r="F17" s="80"/>
      <c r="G17" s="80"/>
      <c r="H17" s="80"/>
      <c r="I17" s="80"/>
      <c r="J17" s="80"/>
      <c r="K17" s="80"/>
      <c r="L17" s="80"/>
      <c r="M17" s="80"/>
      <c r="N17" s="80"/>
      <c r="O17" s="80"/>
      <c r="P17" s="80"/>
      <c r="Q17" s="80" t="s">
        <v>676</v>
      </c>
      <c r="R17" s="80">
        <v>1</v>
      </c>
      <c r="S17" s="80"/>
      <c r="T17" s="80"/>
      <c r="U17" s="80"/>
      <c r="V17" s="80"/>
    </row>
    <row r="18" spans="1:22" ht="15">
      <c r="A18" s="80" t="s">
        <v>688</v>
      </c>
      <c r="B18" s="80">
        <v>3</v>
      </c>
      <c r="C18" s="80"/>
      <c r="D18" s="80"/>
      <c r="E18" s="80"/>
      <c r="F18" s="80"/>
      <c r="G18" s="80"/>
      <c r="H18" s="80"/>
      <c r="I18" s="80"/>
      <c r="J18" s="80"/>
      <c r="K18" s="80"/>
      <c r="L18" s="80"/>
      <c r="M18" s="80"/>
      <c r="N18" s="80"/>
      <c r="O18" s="80"/>
      <c r="P18" s="80"/>
      <c r="Q18" s="80"/>
      <c r="R18" s="80"/>
      <c r="S18" s="80"/>
      <c r="T18" s="80"/>
      <c r="U18" s="80"/>
      <c r="V18" s="80"/>
    </row>
    <row r="19" spans="1:22" ht="15">
      <c r="A19" s="80" t="s">
        <v>685</v>
      </c>
      <c r="B19" s="80">
        <v>3</v>
      </c>
      <c r="C19" s="80"/>
      <c r="D19" s="80"/>
      <c r="E19" s="80"/>
      <c r="F19" s="80"/>
      <c r="G19" s="80"/>
      <c r="H19" s="80"/>
      <c r="I19" s="80"/>
      <c r="J19" s="80"/>
      <c r="K19" s="80"/>
      <c r="L19" s="80"/>
      <c r="M19" s="80"/>
      <c r="N19" s="80"/>
      <c r="O19" s="80"/>
      <c r="P19" s="80"/>
      <c r="Q19" s="80"/>
      <c r="R19" s="80"/>
      <c r="S19" s="80"/>
      <c r="T19" s="80"/>
      <c r="U19" s="80"/>
      <c r="V19" s="80"/>
    </row>
    <row r="20" spans="1:22" ht="15">
      <c r="A20" s="80" t="s">
        <v>683</v>
      </c>
      <c r="B20" s="80">
        <v>3</v>
      </c>
      <c r="C20" s="80"/>
      <c r="D20" s="80"/>
      <c r="E20" s="80"/>
      <c r="F20" s="80"/>
      <c r="G20" s="80"/>
      <c r="H20" s="80"/>
      <c r="I20" s="80"/>
      <c r="J20" s="80"/>
      <c r="K20" s="80"/>
      <c r="L20" s="80"/>
      <c r="M20" s="80"/>
      <c r="N20" s="80"/>
      <c r="O20" s="80"/>
      <c r="P20" s="80"/>
      <c r="Q20" s="80"/>
      <c r="R20" s="80"/>
      <c r="S20" s="80"/>
      <c r="T20" s="80"/>
      <c r="U20" s="80"/>
      <c r="V20" s="80"/>
    </row>
    <row r="21" spans="1:22" ht="15">
      <c r="A21" s="80" t="s">
        <v>680</v>
      </c>
      <c r="B21" s="80">
        <v>2</v>
      </c>
      <c r="C21" s="80"/>
      <c r="D21" s="80"/>
      <c r="E21" s="80"/>
      <c r="F21" s="80"/>
      <c r="G21" s="80"/>
      <c r="H21" s="80"/>
      <c r="I21" s="80"/>
      <c r="J21" s="80"/>
      <c r="K21" s="80"/>
      <c r="L21" s="80"/>
      <c r="M21" s="80"/>
      <c r="N21" s="80"/>
      <c r="O21" s="80"/>
      <c r="P21" s="80"/>
      <c r="Q21" s="80"/>
      <c r="R21" s="80"/>
      <c r="S21" s="80"/>
      <c r="T21" s="80"/>
      <c r="U21" s="80"/>
      <c r="V21" s="80"/>
    </row>
    <row r="22" spans="1:22" ht="15">
      <c r="A22" s="80" t="s">
        <v>687</v>
      </c>
      <c r="B22" s="80">
        <v>1</v>
      </c>
      <c r="C22" s="80"/>
      <c r="D22" s="80"/>
      <c r="E22" s="80"/>
      <c r="F22" s="80"/>
      <c r="G22" s="80"/>
      <c r="H22" s="80"/>
      <c r="I22" s="80"/>
      <c r="J22" s="80"/>
      <c r="K22" s="80"/>
      <c r="L22" s="80"/>
      <c r="M22" s="80"/>
      <c r="N22" s="80"/>
      <c r="O22" s="80"/>
      <c r="P22" s="80"/>
      <c r="Q22" s="80"/>
      <c r="R22" s="80"/>
      <c r="S22" s="80"/>
      <c r="T22" s="80"/>
      <c r="U22" s="80"/>
      <c r="V22" s="80"/>
    </row>
    <row r="23" spans="1:22" ht="15">
      <c r="A23" s="80" t="s">
        <v>682</v>
      </c>
      <c r="B23" s="80">
        <v>1</v>
      </c>
      <c r="C23" s="80"/>
      <c r="D23" s="80"/>
      <c r="E23" s="80"/>
      <c r="F23" s="80"/>
      <c r="G23" s="80"/>
      <c r="H23" s="80"/>
      <c r="I23" s="80"/>
      <c r="J23" s="80"/>
      <c r="K23" s="80"/>
      <c r="L23" s="80"/>
      <c r="M23" s="80"/>
      <c r="N23" s="80"/>
      <c r="O23" s="80"/>
      <c r="P23" s="80"/>
      <c r="Q23" s="80"/>
      <c r="R23" s="80"/>
      <c r="S23" s="80"/>
      <c r="T23" s="80"/>
      <c r="U23" s="80"/>
      <c r="V23" s="80"/>
    </row>
    <row r="24" spans="1:22" ht="15">
      <c r="A24" s="80" t="s">
        <v>689</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2803</v>
      </c>
      <c r="B27" s="13" t="s">
        <v>2734</v>
      </c>
      <c r="C27" s="13" t="s">
        <v>2809</v>
      </c>
      <c r="D27" s="13" t="s">
        <v>2745</v>
      </c>
      <c r="E27" s="13" t="s">
        <v>2812</v>
      </c>
      <c r="F27" s="13" t="s">
        <v>2749</v>
      </c>
      <c r="G27" s="13" t="s">
        <v>2814</v>
      </c>
      <c r="H27" s="13" t="s">
        <v>2751</v>
      </c>
      <c r="I27" s="13" t="s">
        <v>2815</v>
      </c>
      <c r="J27" s="13" t="s">
        <v>2754</v>
      </c>
      <c r="K27" s="13" t="s">
        <v>2816</v>
      </c>
      <c r="L27" s="13" t="s">
        <v>2760</v>
      </c>
      <c r="M27" s="13" t="s">
        <v>2820</v>
      </c>
      <c r="N27" s="13" t="s">
        <v>2762</v>
      </c>
      <c r="O27" s="13" t="s">
        <v>2825</v>
      </c>
      <c r="P27" s="13" t="s">
        <v>2764</v>
      </c>
      <c r="Q27" s="13" t="s">
        <v>2826</v>
      </c>
      <c r="R27" s="13" t="s">
        <v>2771</v>
      </c>
      <c r="S27" s="13" t="s">
        <v>2836</v>
      </c>
      <c r="T27" s="13" t="s">
        <v>2773</v>
      </c>
      <c r="U27" s="13" t="s">
        <v>2837</v>
      </c>
      <c r="V27" s="13" t="s">
        <v>2775</v>
      </c>
    </row>
    <row r="28" spans="1:22" ht="15">
      <c r="A28" s="80" t="s">
        <v>707</v>
      </c>
      <c r="B28" s="80">
        <v>123</v>
      </c>
      <c r="C28" s="80" t="s">
        <v>707</v>
      </c>
      <c r="D28" s="80">
        <v>63</v>
      </c>
      <c r="E28" s="80" t="s">
        <v>699</v>
      </c>
      <c r="F28" s="80">
        <v>4</v>
      </c>
      <c r="G28" s="80" t="s">
        <v>706</v>
      </c>
      <c r="H28" s="80">
        <v>22</v>
      </c>
      <c r="I28" s="80" t="s">
        <v>2804</v>
      </c>
      <c r="J28" s="80">
        <v>20</v>
      </c>
      <c r="K28" s="80" t="s">
        <v>699</v>
      </c>
      <c r="L28" s="80">
        <v>9</v>
      </c>
      <c r="M28" s="80" t="s">
        <v>2807</v>
      </c>
      <c r="N28" s="80">
        <v>9</v>
      </c>
      <c r="O28" s="80" t="s">
        <v>707</v>
      </c>
      <c r="P28" s="80">
        <v>1</v>
      </c>
      <c r="Q28" s="80" t="s">
        <v>707</v>
      </c>
      <c r="R28" s="80">
        <v>8</v>
      </c>
      <c r="S28" s="80" t="s">
        <v>706</v>
      </c>
      <c r="T28" s="80">
        <v>6</v>
      </c>
      <c r="U28" s="80" t="s">
        <v>2838</v>
      </c>
      <c r="V28" s="80">
        <v>4</v>
      </c>
    </row>
    <row r="29" spans="1:22" ht="15">
      <c r="A29" s="80" t="s">
        <v>706</v>
      </c>
      <c r="B29" s="80">
        <v>43</v>
      </c>
      <c r="C29" s="80" t="s">
        <v>2810</v>
      </c>
      <c r="D29" s="80">
        <v>3</v>
      </c>
      <c r="E29" s="80" t="s">
        <v>2810</v>
      </c>
      <c r="F29" s="80">
        <v>2</v>
      </c>
      <c r="G29" s="80" t="s">
        <v>707</v>
      </c>
      <c r="H29" s="80">
        <v>22</v>
      </c>
      <c r="I29" s="80" t="s">
        <v>2805</v>
      </c>
      <c r="J29" s="80">
        <v>20</v>
      </c>
      <c r="K29" s="80" t="s">
        <v>482</v>
      </c>
      <c r="L29" s="80">
        <v>8</v>
      </c>
      <c r="M29" s="80" t="s">
        <v>2350</v>
      </c>
      <c r="N29" s="80">
        <v>9</v>
      </c>
      <c r="O29" s="80"/>
      <c r="P29" s="80"/>
      <c r="Q29" s="80" t="s">
        <v>2827</v>
      </c>
      <c r="R29" s="80">
        <v>5</v>
      </c>
      <c r="S29" s="80" t="s">
        <v>2806</v>
      </c>
      <c r="T29" s="80">
        <v>6</v>
      </c>
      <c r="U29" s="80" t="s">
        <v>2839</v>
      </c>
      <c r="V29" s="80">
        <v>4</v>
      </c>
    </row>
    <row r="30" spans="1:22" ht="15">
      <c r="A30" s="80" t="s">
        <v>699</v>
      </c>
      <c r="B30" s="80">
        <v>23</v>
      </c>
      <c r="C30" s="80" t="s">
        <v>2811</v>
      </c>
      <c r="D30" s="80">
        <v>1</v>
      </c>
      <c r="E30" s="80" t="s">
        <v>707</v>
      </c>
      <c r="F30" s="80">
        <v>2</v>
      </c>
      <c r="G30" s="80"/>
      <c r="H30" s="80"/>
      <c r="I30" s="80" t="s">
        <v>707</v>
      </c>
      <c r="J30" s="80">
        <v>1</v>
      </c>
      <c r="K30" s="80" t="s">
        <v>707</v>
      </c>
      <c r="L30" s="80">
        <v>6</v>
      </c>
      <c r="M30" s="80" t="s">
        <v>706</v>
      </c>
      <c r="N30" s="80">
        <v>9</v>
      </c>
      <c r="O30" s="80"/>
      <c r="P30" s="80"/>
      <c r="Q30" s="80" t="s">
        <v>2828</v>
      </c>
      <c r="R30" s="80">
        <v>4</v>
      </c>
      <c r="S30" s="80" t="s">
        <v>707</v>
      </c>
      <c r="T30" s="80">
        <v>6</v>
      </c>
      <c r="U30" s="80" t="s">
        <v>2840</v>
      </c>
      <c r="V30" s="80">
        <v>4</v>
      </c>
    </row>
    <row r="31" spans="1:22" ht="15">
      <c r="A31" s="80" t="s">
        <v>2804</v>
      </c>
      <c r="B31" s="80">
        <v>20</v>
      </c>
      <c r="C31" s="80" t="s">
        <v>2298</v>
      </c>
      <c r="D31" s="80">
        <v>1</v>
      </c>
      <c r="E31" s="80" t="s">
        <v>2813</v>
      </c>
      <c r="F31" s="80">
        <v>1</v>
      </c>
      <c r="G31" s="80"/>
      <c r="H31" s="80"/>
      <c r="I31" s="80"/>
      <c r="J31" s="80"/>
      <c r="K31" s="80" t="s">
        <v>2312</v>
      </c>
      <c r="L31" s="80">
        <v>1</v>
      </c>
      <c r="M31" s="80" t="s">
        <v>2808</v>
      </c>
      <c r="N31" s="80">
        <v>9</v>
      </c>
      <c r="O31" s="80"/>
      <c r="P31" s="80"/>
      <c r="Q31" s="80" t="s">
        <v>2829</v>
      </c>
      <c r="R31" s="80">
        <v>4</v>
      </c>
      <c r="S31" s="80"/>
      <c r="T31" s="80"/>
      <c r="U31" s="80" t="s">
        <v>2841</v>
      </c>
      <c r="V31" s="80">
        <v>1</v>
      </c>
    </row>
    <row r="32" spans="1:22" ht="15">
      <c r="A32" s="80" t="s">
        <v>2805</v>
      </c>
      <c r="B32" s="80">
        <v>20</v>
      </c>
      <c r="C32" s="80"/>
      <c r="D32" s="80"/>
      <c r="E32" s="80" t="s">
        <v>706</v>
      </c>
      <c r="F32" s="80">
        <v>1</v>
      </c>
      <c r="G32" s="80"/>
      <c r="H32" s="80"/>
      <c r="I32" s="80"/>
      <c r="J32" s="80"/>
      <c r="K32" s="80" t="s">
        <v>2817</v>
      </c>
      <c r="L32" s="80">
        <v>1</v>
      </c>
      <c r="M32" s="80" t="s">
        <v>2821</v>
      </c>
      <c r="N32" s="80">
        <v>9</v>
      </c>
      <c r="O32" s="80"/>
      <c r="P32" s="80"/>
      <c r="Q32" s="80" t="s">
        <v>2830</v>
      </c>
      <c r="R32" s="80">
        <v>3</v>
      </c>
      <c r="S32" s="80"/>
      <c r="T32" s="80"/>
      <c r="U32" s="80" t="s">
        <v>2842</v>
      </c>
      <c r="V32" s="80">
        <v>1</v>
      </c>
    </row>
    <row r="33" spans="1:22" ht="15">
      <c r="A33" s="80" t="s">
        <v>2806</v>
      </c>
      <c r="B33" s="80">
        <v>15</v>
      </c>
      <c r="C33" s="80"/>
      <c r="D33" s="80"/>
      <c r="E33" s="80"/>
      <c r="F33" s="80"/>
      <c r="G33" s="80"/>
      <c r="H33" s="80"/>
      <c r="I33" s="80"/>
      <c r="J33" s="80"/>
      <c r="K33" s="80" t="s">
        <v>2818</v>
      </c>
      <c r="L33" s="80">
        <v>1</v>
      </c>
      <c r="M33" s="80" t="s">
        <v>699</v>
      </c>
      <c r="N33" s="80">
        <v>9</v>
      </c>
      <c r="O33" s="80"/>
      <c r="P33" s="80"/>
      <c r="Q33" s="80" t="s">
        <v>2831</v>
      </c>
      <c r="R33" s="80">
        <v>3</v>
      </c>
      <c r="S33" s="80"/>
      <c r="T33" s="80"/>
      <c r="U33" s="80" t="s">
        <v>707</v>
      </c>
      <c r="V33" s="80">
        <v>1</v>
      </c>
    </row>
    <row r="34" spans="1:22" ht="15">
      <c r="A34" s="80" t="s">
        <v>482</v>
      </c>
      <c r="B34" s="80">
        <v>10</v>
      </c>
      <c r="C34" s="80"/>
      <c r="D34" s="80"/>
      <c r="E34" s="80"/>
      <c r="F34" s="80"/>
      <c r="G34" s="80"/>
      <c r="H34" s="80"/>
      <c r="I34" s="80"/>
      <c r="J34" s="80"/>
      <c r="K34" s="80" t="s">
        <v>2819</v>
      </c>
      <c r="L34" s="80">
        <v>1</v>
      </c>
      <c r="M34" s="80" t="s">
        <v>2822</v>
      </c>
      <c r="N34" s="80">
        <v>9</v>
      </c>
      <c r="O34" s="80"/>
      <c r="P34" s="80"/>
      <c r="Q34" s="80" t="s">
        <v>2832</v>
      </c>
      <c r="R34" s="80">
        <v>2</v>
      </c>
      <c r="S34" s="80"/>
      <c r="T34" s="80"/>
      <c r="U34" s="80"/>
      <c r="V34" s="80"/>
    </row>
    <row r="35" spans="1:22" ht="15">
      <c r="A35" s="80" t="s">
        <v>2807</v>
      </c>
      <c r="B35" s="80">
        <v>9</v>
      </c>
      <c r="C35" s="80"/>
      <c r="D35" s="80"/>
      <c r="E35" s="80"/>
      <c r="F35" s="80"/>
      <c r="G35" s="80"/>
      <c r="H35" s="80"/>
      <c r="I35" s="80"/>
      <c r="J35" s="80"/>
      <c r="K35" s="80"/>
      <c r="L35" s="80"/>
      <c r="M35" s="80" t="s">
        <v>2823</v>
      </c>
      <c r="N35" s="80">
        <v>9</v>
      </c>
      <c r="O35" s="80"/>
      <c r="P35" s="80"/>
      <c r="Q35" s="80" t="s">
        <v>2833</v>
      </c>
      <c r="R35" s="80">
        <v>2</v>
      </c>
      <c r="S35" s="80"/>
      <c r="T35" s="80"/>
      <c r="U35" s="80"/>
      <c r="V35" s="80"/>
    </row>
    <row r="36" spans="1:22" ht="15">
      <c r="A36" s="80" t="s">
        <v>2350</v>
      </c>
      <c r="B36" s="80">
        <v>9</v>
      </c>
      <c r="C36" s="80"/>
      <c r="D36" s="80"/>
      <c r="E36" s="80"/>
      <c r="F36" s="80"/>
      <c r="G36" s="80"/>
      <c r="H36" s="80"/>
      <c r="I36" s="80"/>
      <c r="J36" s="80"/>
      <c r="K36" s="80"/>
      <c r="L36" s="80"/>
      <c r="M36" s="80" t="s">
        <v>2824</v>
      </c>
      <c r="N36" s="80">
        <v>9</v>
      </c>
      <c r="O36" s="80"/>
      <c r="P36" s="80"/>
      <c r="Q36" s="80" t="s">
        <v>2834</v>
      </c>
      <c r="R36" s="80">
        <v>2</v>
      </c>
      <c r="S36" s="80"/>
      <c r="T36" s="80"/>
      <c r="U36" s="80"/>
      <c r="V36" s="80"/>
    </row>
    <row r="37" spans="1:22" ht="15">
      <c r="A37" s="80" t="s">
        <v>2808</v>
      </c>
      <c r="B37" s="80">
        <v>9</v>
      </c>
      <c r="C37" s="80"/>
      <c r="D37" s="80"/>
      <c r="E37" s="80"/>
      <c r="F37" s="80"/>
      <c r="G37" s="80"/>
      <c r="H37" s="80"/>
      <c r="I37" s="80"/>
      <c r="J37" s="80"/>
      <c r="K37" s="80"/>
      <c r="L37" s="80"/>
      <c r="M37" s="80" t="s">
        <v>2806</v>
      </c>
      <c r="N37" s="80">
        <v>9</v>
      </c>
      <c r="O37" s="80"/>
      <c r="P37" s="80"/>
      <c r="Q37" s="80" t="s">
        <v>2835</v>
      </c>
      <c r="R37" s="80">
        <v>2</v>
      </c>
      <c r="S37" s="80"/>
      <c r="T37" s="80"/>
      <c r="U37" s="80"/>
      <c r="V37" s="80"/>
    </row>
    <row r="40" spans="1:22" ht="15" customHeight="1">
      <c r="A40" s="80" t="s">
        <v>2848</v>
      </c>
      <c r="B40" s="80" t="s">
        <v>2734</v>
      </c>
      <c r="C40" s="13" t="s">
        <v>2849</v>
      </c>
      <c r="D40" s="13" t="s">
        <v>2745</v>
      </c>
      <c r="E40" s="13" t="s">
        <v>2850</v>
      </c>
      <c r="F40" s="13" t="s">
        <v>2749</v>
      </c>
      <c r="G40" s="13" t="s">
        <v>2851</v>
      </c>
      <c r="H40" s="13" t="s">
        <v>2751</v>
      </c>
      <c r="I40" s="13" t="s">
        <v>2852</v>
      </c>
      <c r="J40" s="13" t="s">
        <v>2754</v>
      </c>
      <c r="K40" s="13" t="s">
        <v>2853</v>
      </c>
      <c r="L40" s="13" t="s">
        <v>2760</v>
      </c>
      <c r="M40" s="13" t="s">
        <v>2854</v>
      </c>
      <c r="N40" s="13" t="s">
        <v>2762</v>
      </c>
      <c r="O40" s="13" t="s">
        <v>2855</v>
      </c>
      <c r="P40" s="13" t="s">
        <v>2764</v>
      </c>
      <c r="Q40" s="13" t="s">
        <v>2856</v>
      </c>
      <c r="R40" s="13" t="s">
        <v>2771</v>
      </c>
      <c r="S40" s="13" t="s">
        <v>2857</v>
      </c>
      <c r="T40" s="13" t="s">
        <v>2773</v>
      </c>
      <c r="U40" s="13" t="s">
        <v>2858</v>
      </c>
      <c r="V40" s="13" t="s">
        <v>2775</v>
      </c>
    </row>
    <row r="41" spans="1:22" ht="15">
      <c r="A41" s="80"/>
      <c r="B41" s="80"/>
      <c r="C41" s="88" t="s">
        <v>2271</v>
      </c>
      <c r="D41" s="88">
        <v>63</v>
      </c>
      <c r="E41" s="88" t="s">
        <v>699</v>
      </c>
      <c r="F41" s="88">
        <v>76</v>
      </c>
      <c r="G41" s="88" t="s">
        <v>2299</v>
      </c>
      <c r="H41" s="88">
        <v>23</v>
      </c>
      <c r="I41" s="88" t="s">
        <v>2309</v>
      </c>
      <c r="J41" s="88">
        <v>20</v>
      </c>
      <c r="K41" s="88" t="s">
        <v>2271</v>
      </c>
      <c r="L41" s="88">
        <v>17</v>
      </c>
      <c r="M41" s="88" t="s">
        <v>2323</v>
      </c>
      <c r="N41" s="88">
        <v>18</v>
      </c>
      <c r="O41" s="88" t="s">
        <v>2394</v>
      </c>
      <c r="P41" s="88">
        <v>6</v>
      </c>
      <c r="Q41" s="88" t="s">
        <v>2271</v>
      </c>
      <c r="R41" s="88">
        <v>8</v>
      </c>
      <c r="S41" s="88" t="s">
        <v>2391</v>
      </c>
      <c r="T41" s="88">
        <v>6</v>
      </c>
      <c r="U41" s="88" t="s">
        <v>2370</v>
      </c>
      <c r="V41" s="88">
        <v>8</v>
      </c>
    </row>
    <row r="42" spans="1:22" ht="15">
      <c r="A42" s="81"/>
      <c r="B42" s="81"/>
      <c r="C42" s="88" t="s">
        <v>2273</v>
      </c>
      <c r="D42" s="88">
        <v>61</v>
      </c>
      <c r="E42" s="88" t="s">
        <v>2272</v>
      </c>
      <c r="F42" s="88">
        <v>76</v>
      </c>
      <c r="G42" s="88" t="s">
        <v>2300</v>
      </c>
      <c r="H42" s="88">
        <v>22</v>
      </c>
      <c r="I42" s="88" t="s">
        <v>2310</v>
      </c>
      <c r="J42" s="88">
        <v>20</v>
      </c>
      <c r="K42" s="88" t="s">
        <v>2293</v>
      </c>
      <c r="L42" s="88">
        <v>17</v>
      </c>
      <c r="M42" s="88" t="s">
        <v>2347</v>
      </c>
      <c r="N42" s="88">
        <v>9</v>
      </c>
      <c r="O42" s="88" t="s">
        <v>2395</v>
      </c>
      <c r="P42" s="88">
        <v>6</v>
      </c>
      <c r="Q42" s="88" t="s">
        <v>2420</v>
      </c>
      <c r="R42" s="88">
        <v>5</v>
      </c>
      <c r="S42" s="88" t="s">
        <v>2392</v>
      </c>
      <c r="T42" s="88">
        <v>6</v>
      </c>
      <c r="U42" s="88" t="s">
        <v>2422</v>
      </c>
      <c r="V42" s="88">
        <v>4</v>
      </c>
    </row>
    <row r="43" spans="1:22" ht="15">
      <c r="A43" s="81" t="s">
        <v>2879</v>
      </c>
      <c r="B43" s="81"/>
      <c r="C43" s="88" t="s">
        <v>2274</v>
      </c>
      <c r="D43" s="88">
        <v>60</v>
      </c>
      <c r="E43" s="88" t="s">
        <v>2277</v>
      </c>
      <c r="F43" s="88">
        <v>42</v>
      </c>
      <c r="G43" s="88" t="s">
        <v>2301</v>
      </c>
      <c r="H43" s="88">
        <v>22</v>
      </c>
      <c r="I43" s="88" t="s">
        <v>2311</v>
      </c>
      <c r="J43" s="88">
        <v>20</v>
      </c>
      <c r="K43" s="88" t="s">
        <v>2332</v>
      </c>
      <c r="L43" s="88">
        <v>14</v>
      </c>
      <c r="M43" s="88" t="s">
        <v>2348</v>
      </c>
      <c r="N43" s="88">
        <v>9</v>
      </c>
      <c r="O43" s="88" t="s">
        <v>2396</v>
      </c>
      <c r="P43" s="88">
        <v>6</v>
      </c>
      <c r="Q43" s="88" t="s">
        <v>2445</v>
      </c>
      <c r="R43" s="88">
        <v>4</v>
      </c>
      <c r="S43" s="88" t="s">
        <v>2275</v>
      </c>
      <c r="T43" s="88">
        <v>6</v>
      </c>
      <c r="U43" s="88" t="s">
        <v>2423</v>
      </c>
      <c r="V43" s="88">
        <v>4</v>
      </c>
    </row>
    <row r="44" spans="1:22" ht="15">
      <c r="A44" s="81"/>
      <c r="B44" s="81"/>
      <c r="C44" s="88" t="s">
        <v>2292</v>
      </c>
      <c r="D44" s="88">
        <v>29</v>
      </c>
      <c r="E44" s="88" t="s">
        <v>2271</v>
      </c>
      <c r="F44" s="88">
        <v>42</v>
      </c>
      <c r="G44" s="88" t="s">
        <v>2302</v>
      </c>
      <c r="H44" s="88">
        <v>22</v>
      </c>
      <c r="I44" s="88" t="s">
        <v>2312</v>
      </c>
      <c r="J44" s="88">
        <v>20</v>
      </c>
      <c r="K44" s="88" t="s">
        <v>2340</v>
      </c>
      <c r="L44" s="88">
        <v>10</v>
      </c>
      <c r="M44" s="88" t="s">
        <v>2349</v>
      </c>
      <c r="N44" s="88">
        <v>9</v>
      </c>
      <c r="O44" s="88" t="s">
        <v>2397</v>
      </c>
      <c r="P44" s="88">
        <v>6</v>
      </c>
      <c r="Q44" s="88" t="s">
        <v>2444</v>
      </c>
      <c r="R44" s="88">
        <v>4</v>
      </c>
      <c r="S44" s="88" t="s">
        <v>2331</v>
      </c>
      <c r="T44" s="88">
        <v>6</v>
      </c>
      <c r="U44" s="88" t="s">
        <v>2424</v>
      </c>
      <c r="V44" s="88">
        <v>4</v>
      </c>
    </row>
    <row r="45" spans="1:22" ht="15">
      <c r="A45" s="81"/>
      <c r="B45" s="81"/>
      <c r="C45" s="88" t="s">
        <v>2295</v>
      </c>
      <c r="D45" s="88">
        <v>27</v>
      </c>
      <c r="E45" s="88" t="s">
        <v>2278</v>
      </c>
      <c r="F45" s="88">
        <v>38</v>
      </c>
      <c r="G45" s="88" t="s">
        <v>2303</v>
      </c>
      <c r="H45" s="88">
        <v>22</v>
      </c>
      <c r="I45" s="88" t="s">
        <v>2297</v>
      </c>
      <c r="J45" s="88">
        <v>20</v>
      </c>
      <c r="K45" s="88" t="s">
        <v>2296</v>
      </c>
      <c r="L45" s="88">
        <v>9</v>
      </c>
      <c r="M45" s="88" t="s">
        <v>2275</v>
      </c>
      <c r="N45" s="88">
        <v>9</v>
      </c>
      <c r="O45" s="88" t="s">
        <v>2398</v>
      </c>
      <c r="P45" s="88">
        <v>6</v>
      </c>
      <c r="Q45" s="88" t="s">
        <v>2493</v>
      </c>
      <c r="R45" s="88">
        <v>3</v>
      </c>
      <c r="S45" s="88" t="s">
        <v>2271</v>
      </c>
      <c r="T45" s="88">
        <v>6</v>
      </c>
      <c r="U45" s="88" t="s">
        <v>2425</v>
      </c>
      <c r="V45" s="88">
        <v>4</v>
      </c>
    </row>
    <row r="46" spans="1:22" ht="15">
      <c r="A46" s="81" t="s">
        <v>2734</v>
      </c>
      <c r="B46" s="81"/>
      <c r="C46" s="88" t="s">
        <v>2298</v>
      </c>
      <c r="D46" s="88">
        <v>24</v>
      </c>
      <c r="E46" s="88" t="s">
        <v>2279</v>
      </c>
      <c r="F46" s="88">
        <v>38</v>
      </c>
      <c r="G46" s="88" t="s">
        <v>2304</v>
      </c>
      <c r="H46" s="88">
        <v>22</v>
      </c>
      <c r="I46" s="88" t="s">
        <v>2313</v>
      </c>
      <c r="J46" s="88">
        <v>20</v>
      </c>
      <c r="K46" s="88" t="s">
        <v>2342</v>
      </c>
      <c r="L46" s="88">
        <v>9</v>
      </c>
      <c r="M46" s="88" t="s">
        <v>2350</v>
      </c>
      <c r="N46" s="88">
        <v>9</v>
      </c>
      <c r="O46" s="88" t="s">
        <v>2399</v>
      </c>
      <c r="P46" s="88">
        <v>6</v>
      </c>
      <c r="Q46" s="88" t="s">
        <v>2492</v>
      </c>
      <c r="R46" s="88">
        <v>3</v>
      </c>
      <c r="S46" s="88"/>
      <c r="T46" s="88"/>
      <c r="U46" s="88" t="s">
        <v>2426</v>
      </c>
      <c r="V46" s="88">
        <v>4</v>
      </c>
    </row>
    <row r="47" spans="1:22" ht="15">
      <c r="A47" s="81"/>
      <c r="B47" s="81"/>
      <c r="C47" s="88" t="s">
        <v>2325</v>
      </c>
      <c r="D47" s="88">
        <v>17</v>
      </c>
      <c r="E47" s="88" t="s">
        <v>2280</v>
      </c>
      <c r="F47" s="88">
        <v>38</v>
      </c>
      <c r="G47" s="88" t="s">
        <v>2305</v>
      </c>
      <c r="H47" s="88">
        <v>22</v>
      </c>
      <c r="I47" s="88" t="s">
        <v>2314</v>
      </c>
      <c r="J47" s="88">
        <v>20</v>
      </c>
      <c r="K47" s="88" t="s">
        <v>2379</v>
      </c>
      <c r="L47" s="88">
        <v>7</v>
      </c>
      <c r="M47" s="88" t="s">
        <v>2351</v>
      </c>
      <c r="N47" s="88">
        <v>9</v>
      </c>
      <c r="O47" s="88" t="s">
        <v>2400</v>
      </c>
      <c r="P47" s="88">
        <v>6</v>
      </c>
      <c r="Q47" s="88" t="s">
        <v>2658</v>
      </c>
      <c r="R47" s="88">
        <v>2</v>
      </c>
      <c r="S47" s="88"/>
      <c r="T47" s="88"/>
      <c r="U47" s="88" t="s">
        <v>2427</v>
      </c>
      <c r="V47" s="88">
        <v>4</v>
      </c>
    </row>
    <row r="48" spans="1:22" ht="15">
      <c r="A48" s="81"/>
      <c r="B48" s="81"/>
      <c r="C48" s="88" t="s">
        <v>2324</v>
      </c>
      <c r="D48" s="88">
        <v>17</v>
      </c>
      <c r="E48" s="88" t="s">
        <v>2281</v>
      </c>
      <c r="F48" s="88">
        <v>38</v>
      </c>
      <c r="G48" s="88" t="s">
        <v>2306</v>
      </c>
      <c r="H48" s="88">
        <v>22</v>
      </c>
      <c r="I48" s="88" t="s">
        <v>699</v>
      </c>
      <c r="J48" s="88">
        <v>20</v>
      </c>
      <c r="K48" s="88" t="s">
        <v>2380</v>
      </c>
      <c r="L48" s="88">
        <v>7</v>
      </c>
      <c r="M48" s="88" t="s">
        <v>2352</v>
      </c>
      <c r="N48" s="88">
        <v>9</v>
      </c>
      <c r="O48" s="88" t="s">
        <v>699</v>
      </c>
      <c r="P48" s="88">
        <v>6</v>
      </c>
      <c r="Q48" s="88" t="s">
        <v>2659</v>
      </c>
      <c r="R48" s="88">
        <v>2</v>
      </c>
      <c r="S48" s="88"/>
      <c r="T48" s="88"/>
      <c r="U48" s="88" t="s">
        <v>2428</v>
      </c>
      <c r="V48" s="88">
        <v>4</v>
      </c>
    </row>
    <row r="49" spans="1:22" ht="15">
      <c r="A49" s="81" t="s">
        <v>2880</v>
      </c>
      <c r="B49" s="81"/>
      <c r="C49" s="88" t="s">
        <v>564</v>
      </c>
      <c r="D49" s="88">
        <v>16</v>
      </c>
      <c r="E49" s="88" t="s">
        <v>2276</v>
      </c>
      <c r="F49" s="88">
        <v>38</v>
      </c>
      <c r="G49" s="88" t="s">
        <v>2307</v>
      </c>
      <c r="H49" s="88">
        <v>22</v>
      </c>
      <c r="I49" s="88" t="s">
        <v>2308</v>
      </c>
      <c r="J49" s="88">
        <v>20</v>
      </c>
      <c r="K49" s="88" t="s">
        <v>699</v>
      </c>
      <c r="L49" s="88">
        <v>7</v>
      </c>
      <c r="M49" s="88" t="s">
        <v>2296</v>
      </c>
      <c r="N49" s="88">
        <v>9</v>
      </c>
      <c r="O49" s="88" t="s">
        <v>2401</v>
      </c>
      <c r="P49" s="88">
        <v>6</v>
      </c>
      <c r="Q49" s="88" t="s">
        <v>2630</v>
      </c>
      <c r="R49" s="88">
        <v>2</v>
      </c>
      <c r="S49" s="88"/>
      <c r="T49" s="88"/>
      <c r="U49" s="88" t="s">
        <v>2429</v>
      </c>
      <c r="V49" s="88">
        <v>4</v>
      </c>
    </row>
    <row r="50" spans="1:22" ht="15">
      <c r="A50" s="81"/>
      <c r="B50" s="81"/>
      <c r="C50" s="88" t="s">
        <v>2327</v>
      </c>
      <c r="D50" s="88">
        <v>16</v>
      </c>
      <c r="E50" s="88" t="s">
        <v>2282</v>
      </c>
      <c r="F50" s="88">
        <v>38</v>
      </c>
      <c r="G50" s="88" t="s">
        <v>2275</v>
      </c>
      <c r="H50" s="88">
        <v>22</v>
      </c>
      <c r="I50" s="88" t="s">
        <v>2315</v>
      </c>
      <c r="J50" s="88">
        <v>20</v>
      </c>
      <c r="K50" s="88" t="s">
        <v>2381</v>
      </c>
      <c r="L50" s="88">
        <v>7</v>
      </c>
      <c r="M50" s="88" t="s">
        <v>2353</v>
      </c>
      <c r="N50" s="88">
        <v>9</v>
      </c>
      <c r="O50" s="88" t="s">
        <v>2402</v>
      </c>
      <c r="P50" s="88">
        <v>6</v>
      </c>
      <c r="Q50" s="88" t="s">
        <v>2583</v>
      </c>
      <c r="R50" s="88">
        <v>2</v>
      </c>
      <c r="S50" s="88"/>
      <c r="T50" s="88"/>
      <c r="U50" s="88" t="s">
        <v>2430</v>
      </c>
      <c r="V50" s="88">
        <v>4</v>
      </c>
    </row>
    <row r="52" spans="1:19" ht="15" customHeight="1">
      <c r="A52" s="13" t="s">
        <v>2745</v>
      </c>
      <c r="B52" s="13" t="s">
        <v>2881</v>
      </c>
      <c r="C52" s="13" t="s">
        <v>2749</v>
      </c>
      <c r="D52" s="13" t="s">
        <v>2892</v>
      </c>
      <c r="E52" s="13" t="s">
        <v>2751</v>
      </c>
      <c r="F52" s="13" t="s">
        <v>2903</v>
      </c>
      <c r="G52" s="13" t="s">
        <v>2754</v>
      </c>
      <c r="H52" s="13" t="s">
        <v>2914</v>
      </c>
      <c r="I52" s="13" t="s">
        <v>2760</v>
      </c>
      <c r="J52" s="13" t="s">
        <v>2925</v>
      </c>
      <c r="K52" s="13" t="s">
        <v>2762</v>
      </c>
      <c r="L52" s="13" t="s">
        <v>2936</v>
      </c>
      <c r="M52" s="13" t="s">
        <v>2764</v>
      </c>
      <c r="N52" s="13" t="s">
        <v>2947</v>
      </c>
      <c r="O52" s="13" t="s">
        <v>2771</v>
      </c>
      <c r="P52" s="13" t="s">
        <v>2958</v>
      </c>
      <c r="Q52" s="13" t="s">
        <v>2773</v>
      </c>
      <c r="R52" s="13" t="s">
        <v>2963</v>
      </c>
      <c r="S52" s="13" t="s">
        <v>2775</v>
      </c>
    </row>
    <row r="53" spans="1:19" ht="15">
      <c r="A53" s="80">
        <v>60</v>
      </c>
      <c r="B53" s="88" t="s">
        <v>2882</v>
      </c>
      <c r="C53" s="88">
        <v>38</v>
      </c>
      <c r="D53" s="88" t="s">
        <v>2893</v>
      </c>
      <c r="E53" s="88">
        <v>22</v>
      </c>
      <c r="F53" s="88" t="s">
        <v>2904</v>
      </c>
      <c r="G53" s="88">
        <v>20</v>
      </c>
      <c r="H53" s="88" t="s">
        <v>2915</v>
      </c>
      <c r="I53" s="88">
        <v>9</v>
      </c>
      <c r="J53" s="88" t="s">
        <v>2926</v>
      </c>
      <c r="K53" s="88">
        <v>9</v>
      </c>
      <c r="L53" s="88" t="s">
        <v>2937</v>
      </c>
      <c r="M53" s="88">
        <v>6</v>
      </c>
      <c r="N53" s="88" t="s">
        <v>2948</v>
      </c>
      <c r="O53" s="88">
        <v>2</v>
      </c>
      <c r="P53" s="88" t="s">
        <v>2959</v>
      </c>
      <c r="Q53" s="88">
        <v>6</v>
      </c>
      <c r="R53" s="88" t="s">
        <v>2964</v>
      </c>
      <c r="S53" s="88">
        <v>4</v>
      </c>
    </row>
    <row r="54" spans="1:19" ht="15">
      <c r="A54" s="80">
        <v>60</v>
      </c>
      <c r="B54" s="88" t="s">
        <v>2883</v>
      </c>
      <c r="C54" s="88">
        <v>38</v>
      </c>
      <c r="D54" s="88" t="s">
        <v>2894</v>
      </c>
      <c r="E54" s="88">
        <v>22</v>
      </c>
      <c r="F54" s="88" t="s">
        <v>2905</v>
      </c>
      <c r="G54" s="88">
        <v>20</v>
      </c>
      <c r="H54" s="88" t="s">
        <v>2916</v>
      </c>
      <c r="I54" s="88">
        <v>7</v>
      </c>
      <c r="J54" s="88" t="s">
        <v>2927</v>
      </c>
      <c r="K54" s="88">
        <v>9</v>
      </c>
      <c r="L54" s="88" t="s">
        <v>2938</v>
      </c>
      <c r="M54" s="88">
        <v>6</v>
      </c>
      <c r="N54" s="88" t="s">
        <v>2949</v>
      </c>
      <c r="O54" s="88">
        <v>2</v>
      </c>
      <c r="P54" s="88" t="s">
        <v>2960</v>
      </c>
      <c r="Q54" s="88">
        <v>6</v>
      </c>
      <c r="R54" s="88" t="s">
        <v>2965</v>
      </c>
      <c r="S54" s="88">
        <v>4</v>
      </c>
    </row>
    <row r="55" spans="1:19" ht="15">
      <c r="A55" s="80">
        <v>17</v>
      </c>
      <c r="B55" s="88" t="s">
        <v>2884</v>
      </c>
      <c r="C55" s="88">
        <v>38</v>
      </c>
      <c r="D55" s="88" t="s">
        <v>2895</v>
      </c>
      <c r="E55" s="88">
        <v>22</v>
      </c>
      <c r="F55" s="88" t="s">
        <v>2906</v>
      </c>
      <c r="G55" s="88">
        <v>20</v>
      </c>
      <c r="H55" s="88" t="s">
        <v>2917</v>
      </c>
      <c r="I55" s="88">
        <v>7</v>
      </c>
      <c r="J55" s="88" t="s">
        <v>2928</v>
      </c>
      <c r="K55" s="88">
        <v>9</v>
      </c>
      <c r="L55" s="88" t="s">
        <v>2939</v>
      </c>
      <c r="M55" s="88">
        <v>6</v>
      </c>
      <c r="N55" s="88" t="s">
        <v>2950</v>
      </c>
      <c r="O55" s="88">
        <v>2</v>
      </c>
      <c r="P55" s="88" t="s">
        <v>2961</v>
      </c>
      <c r="Q55" s="88">
        <v>6</v>
      </c>
      <c r="R55" s="88" t="s">
        <v>2966</v>
      </c>
      <c r="S55" s="88">
        <v>4</v>
      </c>
    </row>
    <row r="56" spans="1:19" ht="15">
      <c r="A56" s="80">
        <v>16</v>
      </c>
      <c r="B56" s="88" t="s">
        <v>2885</v>
      </c>
      <c r="C56" s="88">
        <v>38</v>
      </c>
      <c r="D56" s="88" t="s">
        <v>2896</v>
      </c>
      <c r="E56" s="88">
        <v>22</v>
      </c>
      <c r="F56" s="88" t="s">
        <v>2907</v>
      </c>
      <c r="G56" s="88">
        <v>20</v>
      </c>
      <c r="H56" s="88" t="s">
        <v>2918</v>
      </c>
      <c r="I56" s="88">
        <v>7</v>
      </c>
      <c r="J56" s="88" t="s">
        <v>2929</v>
      </c>
      <c r="K56" s="88">
        <v>9</v>
      </c>
      <c r="L56" s="88" t="s">
        <v>2940</v>
      </c>
      <c r="M56" s="88">
        <v>6</v>
      </c>
      <c r="N56" s="88" t="s">
        <v>2951</v>
      </c>
      <c r="O56" s="88">
        <v>2</v>
      </c>
      <c r="P56" s="88" t="s">
        <v>2962</v>
      </c>
      <c r="Q56" s="88">
        <v>6</v>
      </c>
      <c r="R56" s="88" t="s">
        <v>2967</v>
      </c>
      <c r="S56" s="88">
        <v>4</v>
      </c>
    </row>
    <row r="57" spans="1:19" ht="15">
      <c r="A57" s="80">
        <v>16</v>
      </c>
      <c r="B57" s="88" t="s">
        <v>2886</v>
      </c>
      <c r="C57" s="88">
        <v>38</v>
      </c>
      <c r="D57" s="88" t="s">
        <v>2897</v>
      </c>
      <c r="E57" s="88">
        <v>22</v>
      </c>
      <c r="F57" s="88" t="s">
        <v>2908</v>
      </c>
      <c r="G57" s="88">
        <v>20</v>
      </c>
      <c r="H57" s="88" t="s">
        <v>2919</v>
      </c>
      <c r="I57" s="88">
        <v>7</v>
      </c>
      <c r="J57" s="88" t="s">
        <v>2930</v>
      </c>
      <c r="K57" s="88">
        <v>9</v>
      </c>
      <c r="L57" s="88" t="s">
        <v>2941</v>
      </c>
      <c r="M57" s="88">
        <v>6</v>
      </c>
      <c r="N57" s="88" t="s">
        <v>2952</v>
      </c>
      <c r="O57" s="88">
        <v>2</v>
      </c>
      <c r="P57" s="88"/>
      <c r="Q57" s="88"/>
      <c r="R57" s="88" t="s">
        <v>2968</v>
      </c>
      <c r="S57" s="88">
        <v>4</v>
      </c>
    </row>
    <row r="58" spans="1:19" ht="15">
      <c r="A58" s="80">
        <v>16</v>
      </c>
      <c r="B58" s="88" t="s">
        <v>2887</v>
      </c>
      <c r="C58" s="88">
        <v>38</v>
      </c>
      <c r="D58" s="88" t="s">
        <v>2898</v>
      </c>
      <c r="E58" s="88">
        <v>22</v>
      </c>
      <c r="F58" s="88" t="s">
        <v>2909</v>
      </c>
      <c r="G58" s="88">
        <v>20</v>
      </c>
      <c r="H58" s="88" t="s">
        <v>2920</v>
      </c>
      <c r="I58" s="88">
        <v>7</v>
      </c>
      <c r="J58" s="88" t="s">
        <v>2931</v>
      </c>
      <c r="K58" s="88">
        <v>9</v>
      </c>
      <c r="L58" s="88" t="s">
        <v>2942</v>
      </c>
      <c r="M58" s="88">
        <v>6</v>
      </c>
      <c r="N58" s="88" t="s">
        <v>2953</v>
      </c>
      <c r="O58" s="88">
        <v>2</v>
      </c>
      <c r="P58" s="88"/>
      <c r="Q58" s="88"/>
      <c r="R58" s="88" t="s">
        <v>2969</v>
      </c>
      <c r="S58" s="88">
        <v>4</v>
      </c>
    </row>
    <row r="59" spans="1:19" ht="15">
      <c r="A59" s="80">
        <v>16</v>
      </c>
      <c r="B59" s="88" t="s">
        <v>2888</v>
      </c>
      <c r="C59" s="88">
        <v>38</v>
      </c>
      <c r="D59" s="88" t="s">
        <v>2899</v>
      </c>
      <c r="E59" s="88">
        <v>22</v>
      </c>
      <c r="F59" s="88" t="s">
        <v>2910</v>
      </c>
      <c r="G59" s="88">
        <v>20</v>
      </c>
      <c r="H59" s="88" t="s">
        <v>2921</v>
      </c>
      <c r="I59" s="88">
        <v>7</v>
      </c>
      <c r="J59" s="88" t="s">
        <v>2932</v>
      </c>
      <c r="K59" s="88">
        <v>9</v>
      </c>
      <c r="L59" s="88" t="s">
        <v>2943</v>
      </c>
      <c r="M59" s="88">
        <v>6</v>
      </c>
      <c r="N59" s="88" t="s">
        <v>2954</v>
      </c>
      <c r="O59" s="88">
        <v>2</v>
      </c>
      <c r="P59" s="88"/>
      <c r="Q59" s="88"/>
      <c r="R59" s="88" t="s">
        <v>2970</v>
      </c>
      <c r="S59" s="88">
        <v>4</v>
      </c>
    </row>
    <row r="60" spans="1:19" ht="15">
      <c r="A60" s="80">
        <v>16</v>
      </c>
      <c r="B60" s="88" t="s">
        <v>2889</v>
      </c>
      <c r="C60" s="88">
        <v>38</v>
      </c>
      <c r="D60" s="88" t="s">
        <v>2900</v>
      </c>
      <c r="E60" s="88">
        <v>22</v>
      </c>
      <c r="F60" s="88" t="s">
        <v>2911</v>
      </c>
      <c r="G60" s="88">
        <v>20</v>
      </c>
      <c r="H60" s="88" t="s">
        <v>2922</v>
      </c>
      <c r="I60" s="88">
        <v>7</v>
      </c>
      <c r="J60" s="88" t="s">
        <v>2933</v>
      </c>
      <c r="K60" s="88">
        <v>9</v>
      </c>
      <c r="L60" s="88" t="s">
        <v>2944</v>
      </c>
      <c r="M60" s="88">
        <v>6</v>
      </c>
      <c r="N60" s="88" t="s">
        <v>2955</v>
      </c>
      <c r="O60" s="88">
        <v>2</v>
      </c>
      <c r="P60" s="88"/>
      <c r="Q60" s="88"/>
      <c r="R60" s="88" t="s">
        <v>2971</v>
      </c>
      <c r="S60" s="88">
        <v>4</v>
      </c>
    </row>
    <row r="61" spans="1:19" ht="15">
      <c r="A61" s="80">
        <v>16</v>
      </c>
      <c r="B61" s="88" t="s">
        <v>2890</v>
      </c>
      <c r="C61" s="88">
        <v>38</v>
      </c>
      <c r="D61" s="88" t="s">
        <v>2901</v>
      </c>
      <c r="E61" s="88">
        <v>22</v>
      </c>
      <c r="F61" s="88" t="s">
        <v>2912</v>
      </c>
      <c r="G61" s="88">
        <v>20</v>
      </c>
      <c r="H61" s="88" t="s">
        <v>2923</v>
      </c>
      <c r="I61" s="88">
        <v>7</v>
      </c>
      <c r="J61" s="88" t="s">
        <v>2934</v>
      </c>
      <c r="K61" s="88">
        <v>9</v>
      </c>
      <c r="L61" s="88" t="s">
        <v>2945</v>
      </c>
      <c r="M61" s="88">
        <v>6</v>
      </c>
      <c r="N61" s="88" t="s">
        <v>2956</v>
      </c>
      <c r="O61" s="88">
        <v>2</v>
      </c>
      <c r="P61" s="88"/>
      <c r="Q61" s="88"/>
      <c r="R61" s="88" t="s">
        <v>2972</v>
      </c>
      <c r="S61" s="88">
        <v>4</v>
      </c>
    </row>
    <row r="62" spans="1:19" ht="15">
      <c r="A62" s="80">
        <v>16</v>
      </c>
      <c r="B62" s="88" t="s">
        <v>2891</v>
      </c>
      <c r="C62" s="88">
        <v>38</v>
      </c>
      <c r="D62" s="88" t="s">
        <v>2902</v>
      </c>
      <c r="E62" s="88">
        <v>22</v>
      </c>
      <c r="F62" s="88" t="s">
        <v>2913</v>
      </c>
      <c r="G62" s="88">
        <v>20</v>
      </c>
      <c r="H62" s="88" t="s">
        <v>2924</v>
      </c>
      <c r="I62" s="88">
        <v>7</v>
      </c>
      <c r="J62" s="88" t="s">
        <v>2935</v>
      </c>
      <c r="K62" s="88">
        <v>9</v>
      </c>
      <c r="L62" s="88" t="s">
        <v>2946</v>
      </c>
      <c r="M62" s="88">
        <v>6</v>
      </c>
      <c r="N62" s="88" t="s">
        <v>2957</v>
      </c>
      <c r="O62" s="88">
        <v>2</v>
      </c>
      <c r="P62" s="88"/>
      <c r="Q62" s="88"/>
      <c r="R62" s="88" t="s">
        <v>2973</v>
      </c>
      <c r="S62" s="88">
        <v>4</v>
      </c>
    </row>
    <row r="65" spans="1:22" ht="15" customHeight="1">
      <c r="A65" s="80" t="s">
        <v>2994</v>
      </c>
      <c r="B65" s="80" t="s">
        <v>2734</v>
      </c>
      <c r="C65" s="80" t="s">
        <v>2996</v>
      </c>
      <c r="D65" s="80" t="s">
        <v>2745</v>
      </c>
      <c r="E65" s="80" t="s">
        <v>2997</v>
      </c>
      <c r="F65" s="80" t="s">
        <v>2749</v>
      </c>
      <c r="G65" s="80" t="s">
        <v>3000</v>
      </c>
      <c r="H65" s="80" t="s">
        <v>2751</v>
      </c>
      <c r="I65" s="80" t="s">
        <v>3002</v>
      </c>
      <c r="J65" s="80" t="s">
        <v>2754</v>
      </c>
      <c r="K65" s="80" t="s">
        <v>3004</v>
      </c>
      <c r="L65" s="80" t="s">
        <v>2760</v>
      </c>
      <c r="M65" s="80" t="s">
        <v>3006</v>
      </c>
      <c r="N65" s="80" t="s">
        <v>2762</v>
      </c>
      <c r="O65" s="80" t="s">
        <v>3008</v>
      </c>
      <c r="P65" s="80" t="s">
        <v>2764</v>
      </c>
      <c r="Q65" s="80" t="s">
        <v>3010</v>
      </c>
      <c r="R65" s="80" t="s">
        <v>2771</v>
      </c>
      <c r="S65" s="80" t="s">
        <v>3012</v>
      </c>
      <c r="T65" s="80" t="s">
        <v>2773</v>
      </c>
      <c r="U65" s="80" t="s">
        <v>3015</v>
      </c>
      <c r="V65" s="80" t="s">
        <v>2775</v>
      </c>
    </row>
    <row r="66" spans="1:22" ht="15">
      <c r="A66" s="80"/>
      <c r="B66" s="80"/>
      <c r="C66" s="80"/>
      <c r="D66" s="80"/>
      <c r="E66" s="80"/>
      <c r="F66" s="80"/>
      <c r="G66" s="80"/>
      <c r="H66" s="80"/>
      <c r="I66" s="80"/>
      <c r="J66" s="80"/>
      <c r="K66" s="80"/>
      <c r="L66" s="80"/>
      <c r="M66" s="80"/>
      <c r="N66" s="80"/>
      <c r="O66" s="80"/>
      <c r="P66" s="80"/>
      <c r="Q66" s="80"/>
      <c r="R66" s="80"/>
      <c r="S66" s="80"/>
      <c r="T66" s="80"/>
      <c r="U66" s="80"/>
      <c r="V66" s="80"/>
    </row>
    <row r="68" spans="1:22" ht="15" customHeight="1">
      <c r="A68" s="13" t="s">
        <v>2995</v>
      </c>
      <c r="B68" s="13" t="s">
        <v>2734</v>
      </c>
      <c r="C68" s="13" t="s">
        <v>2998</v>
      </c>
      <c r="D68" s="13" t="s">
        <v>2745</v>
      </c>
      <c r="E68" s="13" t="s">
        <v>2999</v>
      </c>
      <c r="F68" s="13" t="s">
        <v>2749</v>
      </c>
      <c r="G68" s="13" t="s">
        <v>3001</v>
      </c>
      <c r="H68" s="13" t="s">
        <v>2751</v>
      </c>
      <c r="I68" s="13" t="s">
        <v>3003</v>
      </c>
      <c r="J68" s="13" t="s">
        <v>2754</v>
      </c>
      <c r="K68" s="13" t="s">
        <v>3005</v>
      </c>
      <c r="L68" s="13" t="s">
        <v>2760</v>
      </c>
      <c r="M68" s="80" t="s">
        <v>3007</v>
      </c>
      <c r="N68" s="80" t="s">
        <v>2762</v>
      </c>
      <c r="O68" s="13" t="s">
        <v>3009</v>
      </c>
      <c r="P68" s="13" t="s">
        <v>2764</v>
      </c>
      <c r="Q68" s="13" t="s">
        <v>3011</v>
      </c>
      <c r="R68" s="13" t="s">
        <v>2771</v>
      </c>
      <c r="S68" s="80" t="s">
        <v>3014</v>
      </c>
      <c r="T68" s="80" t="s">
        <v>2773</v>
      </c>
      <c r="U68" s="13" t="s">
        <v>3016</v>
      </c>
      <c r="V68" s="13" t="s">
        <v>2775</v>
      </c>
    </row>
    <row r="69" spans="1:22" ht="15">
      <c r="A69" s="80" t="s">
        <v>513</v>
      </c>
      <c r="B69" s="80">
        <v>38</v>
      </c>
      <c r="C69" s="80" t="s">
        <v>564</v>
      </c>
      <c r="D69" s="80">
        <v>16</v>
      </c>
      <c r="E69" s="80" t="s">
        <v>513</v>
      </c>
      <c r="F69" s="80">
        <v>38</v>
      </c>
      <c r="G69" s="80" t="s">
        <v>527</v>
      </c>
      <c r="H69" s="80">
        <v>22</v>
      </c>
      <c r="I69" s="80" t="s">
        <v>534</v>
      </c>
      <c r="J69" s="80">
        <v>20</v>
      </c>
      <c r="K69" s="80" t="s">
        <v>525</v>
      </c>
      <c r="L69" s="80">
        <v>7</v>
      </c>
      <c r="M69" s="80"/>
      <c r="N69" s="80"/>
      <c r="O69" s="80" t="s">
        <v>532</v>
      </c>
      <c r="P69" s="80">
        <v>6</v>
      </c>
      <c r="Q69" s="80" t="s">
        <v>3013</v>
      </c>
      <c r="R69" s="80">
        <v>1</v>
      </c>
      <c r="S69" s="80"/>
      <c r="T69" s="80"/>
      <c r="U69" s="80" t="s">
        <v>528</v>
      </c>
      <c r="V69" s="80">
        <v>4</v>
      </c>
    </row>
    <row r="70" spans="1:22" ht="15">
      <c r="A70" s="80" t="s">
        <v>527</v>
      </c>
      <c r="B70" s="80">
        <v>22</v>
      </c>
      <c r="C70" s="80" t="s">
        <v>473</v>
      </c>
      <c r="D70" s="80">
        <v>11</v>
      </c>
      <c r="E70" s="80"/>
      <c r="F70" s="80"/>
      <c r="G70" s="80" t="s">
        <v>526</v>
      </c>
      <c r="H70" s="80">
        <v>22</v>
      </c>
      <c r="I70" s="80"/>
      <c r="J70" s="80"/>
      <c r="K70" s="80" t="s">
        <v>524</v>
      </c>
      <c r="L70" s="80">
        <v>7</v>
      </c>
      <c r="M70" s="80"/>
      <c r="N70" s="80"/>
      <c r="O70" s="80" t="s">
        <v>531</v>
      </c>
      <c r="P70" s="80">
        <v>6</v>
      </c>
      <c r="Q70" s="80"/>
      <c r="R70" s="80"/>
      <c r="S70" s="80"/>
      <c r="T70" s="80"/>
      <c r="U70" s="80"/>
      <c r="V70" s="80"/>
    </row>
    <row r="71" spans="1:22" ht="15">
      <c r="A71" s="80" t="s">
        <v>526</v>
      </c>
      <c r="B71" s="80">
        <v>22</v>
      </c>
      <c r="C71" s="80" t="s">
        <v>567</v>
      </c>
      <c r="D71" s="80">
        <v>11</v>
      </c>
      <c r="E71" s="80"/>
      <c r="F71" s="80"/>
      <c r="G71" s="80" t="s">
        <v>583</v>
      </c>
      <c r="H71" s="80">
        <v>1</v>
      </c>
      <c r="I71" s="80"/>
      <c r="J71" s="80"/>
      <c r="K71" s="80" t="s">
        <v>581</v>
      </c>
      <c r="L71" s="80">
        <v>3</v>
      </c>
      <c r="M71" s="80"/>
      <c r="N71" s="80"/>
      <c r="O71" s="80"/>
      <c r="P71" s="80"/>
      <c r="Q71" s="80"/>
      <c r="R71" s="80"/>
      <c r="S71" s="80"/>
      <c r="T71" s="80"/>
      <c r="U71" s="80"/>
      <c r="V71" s="80"/>
    </row>
    <row r="72" spans="1:22" ht="15">
      <c r="A72" s="80" t="s">
        <v>534</v>
      </c>
      <c r="B72" s="80">
        <v>20</v>
      </c>
      <c r="C72" s="80" t="s">
        <v>569</v>
      </c>
      <c r="D72" s="80">
        <v>9</v>
      </c>
      <c r="E72" s="80"/>
      <c r="F72" s="80"/>
      <c r="G72" s="80" t="s">
        <v>582</v>
      </c>
      <c r="H72" s="80">
        <v>1</v>
      </c>
      <c r="I72" s="80"/>
      <c r="J72" s="80"/>
      <c r="K72" s="80" t="s">
        <v>580</v>
      </c>
      <c r="L72" s="80">
        <v>3</v>
      </c>
      <c r="M72" s="80"/>
      <c r="N72" s="80"/>
      <c r="O72" s="80"/>
      <c r="P72" s="80"/>
      <c r="Q72" s="80"/>
      <c r="R72" s="80"/>
      <c r="S72" s="80"/>
      <c r="T72" s="80"/>
      <c r="U72" s="80"/>
      <c r="V72" s="80"/>
    </row>
    <row r="73" spans="1:22" ht="15">
      <c r="A73" s="80" t="s">
        <v>564</v>
      </c>
      <c r="B73" s="80">
        <v>16</v>
      </c>
      <c r="C73" s="80" t="s">
        <v>475</v>
      </c>
      <c r="D73" s="80">
        <v>8</v>
      </c>
      <c r="E73" s="80"/>
      <c r="F73" s="80"/>
      <c r="G73" s="80"/>
      <c r="H73" s="80"/>
      <c r="I73" s="80"/>
      <c r="J73" s="80"/>
      <c r="K73" s="80" t="s">
        <v>484</v>
      </c>
      <c r="L73" s="80">
        <v>3</v>
      </c>
      <c r="M73" s="80"/>
      <c r="N73" s="80"/>
      <c r="O73" s="80"/>
      <c r="P73" s="80"/>
      <c r="Q73" s="80"/>
      <c r="R73" s="80"/>
      <c r="S73" s="80"/>
      <c r="T73" s="80"/>
      <c r="U73" s="80"/>
      <c r="V73" s="80"/>
    </row>
    <row r="74" spans="1:22" ht="15">
      <c r="A74" s="80" t="s">
        <v>567</v>
      </c>
      <c r="B74" s="80">
        <v>11</v>
      </c>
      <c r="C74" s="80" t="s">
        <v>568</v>
      </c>
      <c r="D74" s="80">
        <v>8</v>
      </c>
      <c r="E74" s="80"/>
      <c r="F74" s="80"/>
      <c r="G74" s="80"/>
      <c r="H74" s="80"/>
      <c r="I74" s="80"/>
      <c r="J74" s="80"/>
      <c r="K74" s="80" t="s">
        <v>483</v>
      </c>
      <c r="L74" s="80">
        <v>3</v>
      </c>
      <c r="M74" s="80"/>
      <c r="N74" s="80"/>
      <c r="O74" s="80"/>
      <c r="P74" s="80"/>
      <c r="Q74" s="80"/>
      <c r="R74" s="80"/>
      <c r="S74" s="80"/>
      <c r="T74" s="80"/>
      <c r="U74" s="80"/>
      <c r="V74" s="80"/>
    </row>
    <row r="75" spans="1:22" ht="15">
      <c r="A75" s="80" t="s">
        <v>473</v>
      </c>
      <c r="B75" s="80">
        <v>11</v>
      </c>
      <c r="C75" s="80" t="s">
        <v>539</v>
      </c>
      <c r="D75" s="80">
        <v>4</v>
      </c>
      <c r="E75" s="80"/>
      <c r="F75" s="80"/>
      <c r="G75" s="80"/>
      <c r="H75" s="80"/>
      <c r="I75" s="80"/>
      <c r="J75" s="80"/>
      <c r="K75" s="80" t="s">
        <v>522</v>
      </c>
      <c r="L75" s="80">
        <v>2</v>
      </c>
      <c r="M75" s="80"/>
      <c r="N75" s="80"/>
      <c r="O75" s="80"/>
      <c r="P75" s="80"/>
      <c r="Q75" s="80"/>
      <c r="R75" s="80"/>
      <c r="S75" s="80"/>
      <c r="T75" s="80"/>
      <c r="U75" s="80"/>
      <c r="V75" s="80"/>
    </row>
    <row r="76" spans="1:22" ht="15">
      <c r="A76" s="80" t="s">
        <v>569</v>
      </c>
      <c r="B76" s="80">
        <v>9</v>
      </c>
      <c r="C76" s="80" t="s">
        <v>549</v>
      </c>
      <c r="D76" s="80">
        <v>2</v>
      </c>
      <c r="E76" s="80"/>
      <c r="F76" s="80"/>
      <c r="G76" s="80"/>
      <c r="H76" s="80"/>
      <c r="I76" s="80"/>
      <c r="J76" s="80"/>
      <c r="K76" s="80" t="s">
        <v>521</v>
      </c>
      <c r="L76" s="80">
        <v>2</v>
      </c>
      <c r="M76" s="80"/>
      <c r="N76" s="80"/>
      <c r="O76" s="80"/>
      <c r="P76" s="80"/>
      <c r="Q76" s="80"/>
      <c r="R76" s="80"/>
      <c r="S76" s="80"/>
      <c r="T76" s="80"/>
      <c r="U76" s="80"/>
      <c r="V76" s="80"/>
    </row>
    <row r="77" spans="1:22" ht="15">
      <c r="A77" s="80" t="s">
        <v>475</v>
      </c>
      <c r="B77" s="80">
        <v>8</v>
      </c>
      <c r="C77" s="80" t="s">
        <v>550</v>
      </c>
      <c r="D77" s="80">
        <v>2</v>
      </c>
      <c r="E77" s="80"/>
      <c r="F77" s="80"/>
      <c r="G77" s="80"/>
      <c r="H77" s="80"/>
      <c r="I77" s="80"/>
      <c r="J77" s="80"/>
      <c r="K77" s="80"/>
      <c r="L77" s="80"/>
      <c r="M77" s="80"/>
      <c r="N77" s="80"/>
      <c r="O77" s="80"/>
      <c r="P77" s="80"/>
      <c r="Q77" s="80"/>
      <c r="R77" s="80"/>
      <c r="S77" s="80"/>
      <c r="T77" s="80"/>
      <c r="U77" s="80"/>
      <c r="V77" s="80"/>
    </row>
    <row r="78" spans="1:22" ht="15">
      <c r="A78" s="80" t="s">
        <v>568</v>
      </c>
      <c r="B78" s="80">
        <v>8</v>
      </c>
      <c r="C78" s="80" t="s">
        <v>548</v>
      </c>
      <c r="D78" s="80">
        <v>2</v>
      </c>
      <c r="E78" s="80"/>
      <c r="F78" s="80"/>
      <c r="G78" s="80"/>
      <c r="H78" s="80"/>
      <c r="I78" s="80"/>
      <c r="J78" s="80"/>
      <c r="K78" s="80"/>
      <c r="L78" s="80"/>
      <c r="M78" s="80"/>
      <c r="N78" s="80"/>
      <c r="O78" s="80"/>
      <c r="P78" s="80"/>
      <c r="Q78" s="80"/>
      <c r="R78" s="80"/>
      <c r="S78" s="80"/>
      <c r="T78" s="80"/>
      <c r="U78" s="80"/>
      <c r="V78" s="80"/>
    </row>
    <row r="81" spans="1:22" ht="15" customHeight="1">
      <c r="A81" s="13" t="s">
        <v>3026</v>
      </c>
      <c r="B81" s="13" t="s">
        <v>2734</v>
      </c>
      <c r="C81" s="13" t="s">
        <v>3027</v>
      </c>
      <c r="D81" s="13" t="s">
        <v>2745</v>
      </c>
      <c r="E81" s="13" t="s">
        <v>3028</v>
      </c>
      <c r="F81" s="13" t="s">
        <v>2749</v>
      </c>
      <c r="G81" s="13" t="s">
        <v>3029</v>
      </c>
      <c r="H81" s="13" t="s">
        <v>2751</v>
      </c>
      <c r="I81" s="13" t="s">
        <v>3030</v>
      </c>
      <c r="J81" s="13" t="s">
        <v>2754</v>
      </c>
      <c r="K81" s="13" t="s">
        <v>3031</v>
      </c>
      <c r="L81" s="13" t="s">
        <v>2760</v>
      </c>
      <c r="M81" s="13" t="s">
        <v>3032</v>
      </c>
      <c r="N81" s="13" t="s">
        <v>2762</v>
      </c>
      <c r="O81" s="13" t="s">
        <v>3033</v>
      </c>
      <c r="P81" s="13" t="s">
        <v>2764</v>
      </c>
      <c r="Q81" s="13" t="s">
        <v>3034</v>
      </c>
      <c r="R81" s="13" t="s">
        <v>2771</v>
      </c>
      <c r="S81" s="13" t="s">
        <v>3035</v>
      </c>
      <c r="T81" s="13" t="s">
        <v>2773</v>
      </c>
      <c r="U81" s="13" t="s">
        <v>3036</v>
      </c>
      <c r="V81" s="13" t="s">
        <v>2775</v>
      </c>
    </row>
    <row r="82" spans="1:22" ht="15">
      <c r="A82" s="118" t="s">
        <v>369</v>
      </c>
      <c r="B82" s="80">
        <v>491600</v>
      </c>
      <c r="C82" s="118" t="s">
        <v>536</v>
      </c>
      <c r="D82" s="80">
        <v>450859</v>
      </c>
      <c r="E82" s="118" t="s">
        <v>381</v>
      </c>
      <c r="F82" s="80">
        <v>181210</v>
      </c>
      <c r="G82" s="118" t="s">
        <v>526</v>
      </c>
      <c r="H82" s="80">
        <v>253784</v>
      </c>
      <c r="I82" s="118" t="s">
        <v>495</v>
      </c>
      <c r="J82" s="80">
        <v>145756</v>
      </c>
      <c r="K82" s="118" t="s">
        <v>494</v>
      </c>
      <c r="L82" s="80">
        <v>383218</v>
      </c>
      <c r="M82" s="118" t="s">
        <v>369</v>
      </c>
      <c r="N82" s="80">
        <v>491600</v>
      </c>
      <c r="O82" s="118" t="s">
        <v>531</v>
      </c>
      <c r="P82" s="80">
        <v>380832</v>
      </c>
      <c r="Q82" s="118" t="s">
        <v>372</v>
      </c>
      <c r="R82" s="80">
        <v>9161</v>
      </c>
      <c r="S82" s="118" t="s">
        <v>497</v>
      </c>
      <c r="T82" s="80">
        <v>100111</v>
      </c>
      <c r="U82" s="118" t="s">
        <v>528</v>
      </c>
      <c r="V82" s="80">
        <v>233577</v>
      </c>
    </row>
    <row r="83" spans="1:22" ht="15">
      <c r="A83" s="118" t="s">
        <v>536</v>
      </c>
      <c r="B83" s="80">
        <v>450859</v>
      </c>
      <c r="C83" s="118" t="s">
        <v>572</v>
      </c>
      <c r="D83" s="80">
        <v>163319</v>
      </c>
      <c r="E83" s="118" t="s">
        <v>378</v>
      </c>
      <c r="F83" s="80">
        <v>104320</v>
      </c>
      <c r="G83" s="118" t="s">
        <v>481</v>
      </c>
      <c r="H83" s="80">
        <v>36761</v>
      </c>
      <c r="I83" s="118" t="s">
        <v>464</v>
      </c>
      <c r="J83" s="80">
        <v>48332</v>
      </c>
      <c r="K83" s="118" t="s">
        <v>581</v>
      </c>
      <c r="L83" s="80">
        <v>337625</v>
      </c>
      <c r="M83" s="118" t="s">
        <v>368</v>
      </c>
      <c r="N83" s="80">
        <v>97618</v>
      </c>
      <c r="O83" s="118" t="s">
        <v>532</v>
      </c>
      <c r="P83" s="80">
        <v>97817</v>
      </c>
      <c r="Q83" s="118" t="s">
        <v>489</v>
      </c>
      <c r="R83" s="80">
        <v>2193</v>
      </c>
      <c r="S83" s="118" t="s">
        <v>388</v>
      </c>
      <c r="T83" s="80">
        <v>39644</v>
      </c>
      <c r="U83" s="118" t="s">
        <v>517</v>
      </c>
      <c r="V83" s="80">
        <v>3038</v>
      </c>
    </row>
    <row r="84" spans="1:22" ht="15">
      <c r="A84" s="118" t="s">
        <v>494</v>
      </c>
      <c r="B84" s="80">
        <v>383218</v>
      </c>
      <c r="C84" s="118" t="s">
        <v>562</v>
      </c>
      <c r="D84" s="80">
        <v>85588</v>
      </c>
      <c r="E84" s="118" t="s">
        <v>461</v>
      </c>
      <c r="F84" s="80">
        <v>83228</v>
      </c>
      <c r="G84" s="118" t="s">
        <v>510</v>
      </c>
      <c r="H84" s="80">
        <v>28239</v>
      </c>
      <c r="I84" s="118" t="s">
        <v>511</v>
      </c>
      <c r="J84" s="80">
        <v>21062</v>
      </c>
      <c r="K84" s="118" t="s">
        <v>486</v>
      </c>
      <c r="L84" s="80">
        <v>125310</v>
      </c>
      <c r="M84" s="118" t="s">
        <v>364</v>
      </c>
      <c r="N84" s="80">
        <v>71692</v>
      </c>
      <c r="O84" s="118" t="s">
        <v>417</v>
      </c>
      <c r="P84" s="80">
        <v>63406</v>
      </c>
      <c r="Q84" s="118" t="s">
        <v>405</v>
      </c>
      <c r="R84" s="80">
        <v>2030</v>
      </c>
      <c r="S84" s="118" t="s">
        <v>498</v>
      </c>
      <c r="T84" s="80">
        <v>15557</v>
      </c>
      <c r="U84" s="118" t="s">
        <v>516</v>
      </c>
      <c r="V84" s="80">
        <v>849</v>
      </c>
    </row>
    <row r="85" spans="1:22" ht="15">
      <c r="A85" s="118" t="s">
        <v>531</v>
      </c>
      <c r="B85" s="80">
        <v>380832</v>
      </c>
      <c r="C85" s="118" t="s">
        <v>557</v>
      </c>
      <c r="D85" s="80">
        <v>71924</v>
      </c>
      <c r="E85" s="118" t="s">
        <v>514</v>
      </c>
      <c r="F85" s="80">
        <v>68468</v>
      </c>
      <c r="G85" s="118" t="s">
        <v>452</v>
      </c>
      <c r="H85" s="80">
        <v>12640</v>
      </c>
      <c r="I85" s="118" t="s">
        <v>467</v>
      </c>
      <c r="J85" s="80">
        <v>20236</v>
      </c>
      <c r="K85" s="118" t="s">
        <v>376</v>
      </c>
      <c r="L85" s="80">
        <v>27641</v>
      </c>
      <c r="M85" s="118" t="s">
        <v>366</v>
      </c>
      <c r="N85" s="80">
        <v>71280</v>
      </c>
      <c r="O85" s="118" t="s">
        <v>414</v>
      </c>
      <c r="P85" s="80">
        <v>46388</v>
      </c>
      <c r="Q85" s="118" t="s">
        <v>377</v>
      </c>
      <c r="R85" s="80">
        <v>1477</v>
      </c>
      <c r="S85" s="118" t="s">
        <v>399</v>
      </c>
      <c r="T85" s="80">
        <v>12742</v>
      </c>
      <c r="U85" s="118" t="s">
        <v>403</v>
      </c>
      <c r="V85" s="80">
        <v>494</v>
      </c>
    </row>
    <row r="86" spans="1:22" ht="15">
      <c r="A86" s="118" t="s">
        <v>581</v>
      </c>
      <c r="B86" s="80">
        <v>337625</v>
      </c>
      <c r="C86" s="118" t="s">
        <v>474</v>
      </c>
      <c r="D86" s="80">
        <v>63581</v>
      </c>
      <c r="E86" s="118" t="s">
        <v>430</v>
      </c>
      <c r="F86" s="80">
        <v>65637</v>
      </c>
      <c r="G86" s="118" t="s">
        <v>425</v>
      </c>
      <c r="H86" s="80">
        <v>9680</v>
      </c>
      <c r="I86" s="118" t="s">
        <v>465</v>
      </c>
      <c r="J86" s="80">
        <v>11089</v>
      </c>
      <c r="K86" s="118" t="s">
        <v>394</v>
      </c>
      <c r="L86" s="80">
        <v>23430</v>
      </c>
      <c r="M86" s="118" t="s">
        <v>367</v>
      </c>
      <c r="N86" s="80">
        <v>65110</v>
      </c>
      <c r="O86" s="118" t="s">
        <v>409</v>
      </c>
      <c r="P86" s="80">
        <v>27442</v>
      </c>
      <c r="Q86" s="118" t="s">
        <v>515</v>
      </c>
      <c r="R86" s="80">
        <v>858</v>
      </c>
      <c r="S86" s="118" t="s">
        <v>518</v>
      </c>
      <c r="T86" s="80">
        <v>213</v>
      </c>
      <c r="U86" s="118" t="s">
        <v>402</v>
      </c>
      <c r="V86" s="80">
        <v>309</v>
      </c>
    </row>
    <row r="87" spans="1:22" ht="15">
      <c r="A87" s="118" t="s">
        <v>526</v>
      </c>
      <c r="B87" s="80">
        <v>253784</v>
      </c>
      <c r="C87" s="118" t="s">
        <v>578</v>
      </c>
      <c r="D87" s="80">
        <v>58593</v>
      </c>
      <c r="E87" s="118" t="s">
        <v>438</v>
      </c>
      <c r="F87" s="80">
        <v>45669</v>
      </c>
      <c r="G87" s="118" t="s">
        <v>422</v>
      </c>
      <c r="H87" s="80">
        <v>8571</v>
      </c>
      <c r="I87" s="118" t="s">
        <v>466</v>
      </c>
      <c r="J87" s="80">
        <v>9911</v>
      </c>
      <c r="K87" s="118" t="s">
        <v>524</v>
      </c>
      <c r="L87" s="80">
        <v>8846</v>
      </c>
      <c r="M87" s="118" t="s">
        <v>365</v>
      </c>
      <c r="N87" s="80">
        <v>19892</v>
      </c>
      <c r="O87" s="118" t="s">
        <v>418</v>
      </c>
      <c r="P87" s="80">
        <v>2841</v>
      </c>
      <c r="Q87" s="118" t="s">
        <v>456</v>
      </c>
      <c r="R87" s="80">
        <v>321</v>
      </c>
      <c r="S87" s="118" t="s">
        <v>375</v>
      </c>
      <c r="T87" s="80">
        <v>27</v>
      </c>
      <c r="U87" s="118"/>
      <c r="V87" s="80"/>
    </row>
    <row r="88" spans="1:22" ht="15">
      <c r="A88" s="118" t="s">
        <v>520</v>
      </c>
      <c r="B88" s="80">
        <v>240288</v>
      </c>
      <c r="C88" s="118" t="s">
        <v>544</v>
      </c>
      <c r="D88" s="80">
        <v>51854</v>
      </c>
      <c r="E88" s="118" t="s">
        <v>450</v>
      </c>
      <c r="F88" s="80">
        <v>43438</v>
      </c>
      <c r="G88" s="118" t="s">
        <v>582</v>
      </c>
      <c r="H88" s="80">
        <v>7158</v>
      </c>
      <c r="I88" s="118" t="s">
        <v>472</v>
      </c>
      <c r="J88" s="80">
        <v>5493</v>
      </c>
      <c r="K88" s="118" t="s">
        <v>483</v>
      </c>
      <c r="L88" s="80">
        <v>6579</v>
      </c>
      <c r="M88" s="118" t="s">
        <v>363</v>
      </c>
      <c r="N88" s="80">
        <v>12653</v>
      </c>
      <c r="O88" s="118" t="s">
        <v>416</v>
      </c>
      <c r="P88" s="80">
        <v>1087</v>
      </c>
      <c r="Q88" s="118" t="s">
        <v>455</v>
      </c>
      <c r="R88" s="80">
        <v>67</v>
      </c>
      <c r="S88" s="118"/>
      <c r="T88" s="80"/>
      <c r="U88" s="118"/>
      <c r="V88" s="80"/>
    </row>
    <row r="89" spans="1:22" ht="15">
      <c r="A89" s="118" t="s">
        <v>528</v>
      </c>
      <c r="B89" s="80">
        <v>233577</v>
      </c>
      <c r="C89" s="118" t="s">
        <v>551</v>
      </c>
      <c r="D89" s="80">
        <v>43860</v>
      </c>
      <c r="E89" s="118" t="s">
        <v>433</v>
      </c>
      <c r="F89" s="80">
        <v>39719</v>
      </c>
      <c r="G89" s="118" t="s">
        <v>437</v>
      </c>
      <c r="H89" s="80">
        <v>6678</v>
      </c>
      <c r="I89" s="118" t="s">
        <v>534</v>
      </c>
      <c r="J89" s="80">
        <v>3951</v>
      </c>
      <c r="K89" s="118" t="s">
        <v>485</v>
      </c>
      <c r="L89" s="80">
        <v>6465</v>
      </c>
      <c r="M89" s="118" t="s">
        <v>370</v>
      </c>
      <c r="N89" s="80">
        <v>9077</v>
      </c>
      <c r="O89" s="118" t="s">
        <v>419</v>
      </c>
      <c r="P89" s="80">
        <v>782</v>
      </c>
      <c r="Q89" s="118"/>
      <c r="R89" s="80"/>
      <c r="S89" s="118"/>
      <c r="T89" s="80"/>
      <c r="U89" s="118"/>
      <c r="V89" s="80"/>
    </row>
    <row r="90" spans="1:22" ht="15">
      <c r="A90" s="118" t="s">
        <v>529</v>
      </c>
      <c r="B90" s="80">
        <v>189125</v>
      </c>
      <c r="C90" s="118" t="s">
        <v>549</v>
      </c>
      <c r="D90" s="80">
        <v>29362</v>
      </c>
      <c r="E90" s="118" t="s">
        <v>379</v>
      </c>
      <c r="F90" s="80">
        <v>37774</v>
      </c>
      <c r="G90" s="118" t="s">
        <v>401</v>
      </c>
      <c r="H90" s="80">
        <v>6369</v>
      </c>
      <c r="I90" s="118" t="s">
        <v>477</v>
      </c>
      <c r="J90" s="80">
        <v>2563</v>
      </c>
      <c r="K90" s="118" t="s">
        <v>397</v>
      </c>
      <c r="L90" s="80">
        <v>5979</v>
      </c>
      <c r="M90" s="118" t="s">
        <v>371</v>
      </c>
      <c r="N90" s="80">
        <v>4979</v>
      </c>
      <c r="O90" s="118"/>
      <c r="P90" s="80"/>
      <c r="Q90" s="118"/>
      <c r="R90" s="80"/>
      <c r="S90" s="118"/>
      <c r="T90" s="80"/>
      <c r="U90" s="118"/>
      <c r="V90" s="80"/>
    </row>
    <row r="91" spans="1:22" ht="15">
      <c r="A91" s="118" t="s">
        <v>381</v>
      </c>
      <c r="B91" s="80">
        <v>181210</v>
      </c>
      <c r="C91" s="118" t="s">
        <v>554</v>
      </c>
      <c r="D91" s="80">
        <v>29140</v>
      </c>
      <c r="E91" s="118" t="s">
        <v>445</v>
      </c>
      <c r="F91" s="80">
        <v>30254</v>
      </c>
      <c r="G91" s="118" t="s">
        <v>413</v>
      </c>
      <c r="H91" s="80">
        <v>6067</v>
      </c>
      <c r="I91" s="118" t="s">
        <v>476</v>
      </c>
      <c r="J91" s="80">
        <v>1824</v>
      </c>
      <c r="K91" s="118" t="s">
        <v>390</v>
      </c>
      <c r="L91" s="80">
        <v>4829</v>
      </c>
      <c r="M91" s="118"/>
      <c r="N91" s="80"/>
      <c r="O91" s="118"/>
      <c r="P91" s="80"/>
      <c r="Q91" s="118"/>
      <c r="R91" s="80"/>
      <c r="S91" s="118"/>
      <c r="T91" s="80"/>
      <c r="U91" s="118"/>
      <c r="V91" s="80"/>
    </row>
  </sheetData>
  <hyperlinks>
    <hyperlink ref="A2" r:id="rId1" display="https://interactive.aljazeera.com/aje/2020/saving-the-nile/index.html"/>
    <hyperlink ref="A3" r:id="rId2" display="https://ejerciciosdedatos.blogspot.com/2020/06/entrevista-jose-luis-huacles-unocc.html"/>
    <hyperlink ref="A4" r:id="rId3" display="https://gijn.org/2020/06/11/data-journalism-top-10-black-lives-matter-protests-police-shootings-questions-on-covid-19-research-site-russian-orphans/"/>
    <hyperlink ref="A5" r:id="rId4" display="https://twitter.com/_danielmariani/status/1274701756069556225"/>
    <hyperlink ref="A6" r:id="rId5" display="https://twitter.com/_fiquemsabendo/status/1275156603893878784"/>
    <hyperlink ref="A7" r:id="rId6" display="https://docs.google.com/document/d/14OZElNMTJyQult42sorX5bMkhGnxgTcAlRo9kKHYoqw/edit"/>
    <hyperlink ref="A8" r:id="rId7" display="https://twitter.com/basole/status/1274853316758036481"/>
    <hyperlink ref="A9" r:id="rId8" display="https://twitter.com/hatr/status/1275294646349041664"/>
    <hyperlink ref="A10" r:id="rId9" display="https://twitter.com/BJTC_UK/status/1275335232539983872"/>
    <hyperlink ref="A11" r:id="rId10" display="https://dansmonlabo.com/2020/06/01/jai-repris-la-chasse-aux-cliches-dans-les-medias-et-voila-ce-que-jai-appris-1969/"/>
    <hyperlink ref="C2" r:id="rId11" display="https://twitter.com/_danielmariani/status/1274701756069556225"/>
    <hyperlink ref="C3" r:id="rId12" display="https://twitter.com/_fiquemsabendo/status/1275156603893878784"/>
    <hyperlink ref="C4" r:id="rId13" display="https://twitter.com/i/web/status/1275260122881802240"/>
    <hyperlink ref="C5" r:id="rId14" display="https://twitter.com/i/web/status/1274865131990790146"/>
    <hyperlink ref="C6" r:id="rId15" display="https://twitter.com/i/web/status/1274910369551724547"/>
    <hyperlink ref="C7" r:id="rId16" display="https://twitter.com/i/web/status/1274925539954958337"/>
    <hyperlink ref="C8" r:id="rId17" display="https://twitter.com/i/web/status/1275027326720450560"/>
    <hyperlink ref="C9" r:id="rId18" display="https://twitter.com/i/web/status/1275054330006196226"/>
    <hyperlink ref="C10" r:id="rId19" display="https://twitter.com/i/web/status/1275050043129692160"/>
    <hyperlink ref="C11" r:id="rId20" display="https://twitter.com/i/web/status/1275067751967502336"/>
    <hyperlink ref="E2" r:id="rId21" display="https://www.civilservicejobs.service.gov.uk/csr/jobs.cgi?jcode=1670513"/>
    <hyperlink ref="E3" r:id="rId22" display="http://puntofisso.net/newsletter/"/>
    <hyperlink ref="G2" r:id="rId23" display="https://interactive.aljazeera.com/aje/2020/saving-the-nile/index.html"/>
    <hyperlink ref="I2" r:id="rId24" display="https://knightcenter.utexas.edu/JC/DATA0620.html"/>
    <hyperlink ref="K2" r:id="rId25" display="https://datajournalism.com/register"/>
    <hyperlink ref="K3" r:id="rId26" display="https://pointer.kro-ncrv.nl/artikelen/het-verhaal-achter-een-identiteitsroof#lang=en"/>
    <hyperlink ref="K4" r:id="rId27" display="https://datajournalism.com/listen"/>
    <hyperlink ref="K5" r:id="rId28" display="https://datajournalism.com/read/longreads/data-journalism-a-guide-for-editors"/>
    <hyperlink ref="Q2" r:id="rId29" display="https://youtu.be/_tALUcBBeB0"/>
    <hyperlink ref="Q3" r:id="rId30" display="https://www.instagram.com/p/CBwMEuqFhG4/"/>
    <hyperlink ref="Q4" r:id="rId31" display="https://www.instagram.com/p/CBwTzp0BUki/?igshid=9gpbtba4lceq"/>
    <hyperlink ref="Q5" r:id="rId32" display="https://www.instagram.com/p/CBxFn7zJ1Vg/?igshid=17591pzd81ibu"/>
    <hyperlink ref="Q6" r:id="rId33" display="https://www.instagram.com/p/CBvuVmGp6wd/?igshid=1sknq4nindyf3"/>
    <hyperlink ref="Q7" r:id="rId34" display="https://twitter.com/hatr/status/1275294646349041664"/>
    <hyperlink ref="S2" r:id="rId35" display="https://twitter.com/basole/status/1274853316758036481"/>
    <hyperlink ref="U2" r:id="rId36" display="https://interaktiv.tagesspiegel.de/lab/wie-die-coronakrise-den-arbeitsmarkt-getroffen-hat/"/>
  </hyperlinks>
  <printOptions/>
  <pageMargins left="0.7" right="0.7" top="0.75" bottom="0.75" header="0.3" footer="0.3"/>
  <pageSetup orientation="portrait" paperSize="9"/>
  <tableParts>
    <tablePart r:id="rId41"/>
    <tablePart r:id="rId43"/>
    <tablePart r:id="rId42"/>
    <tablePart r:id="rId38"/>
    <tablePart r:id="rId44"/>
    <tablePart r:id="rId40"/>
    <tablePart r:id="rId39"/>
    <tablePart r:id="rId3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3465B-7AB4-469E-B0AC-6E0A5AED007D}">
  <dimension ref="A25:B37"/>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26" t="s">
        <v>3137</v>
      </c>
      <c r="B25" t="s">
        <v>3136</v>
      </c>
    </row>
    <row r="26" spans="1:2" ht="15">
      <c r="A26" s="127" t="s">
        <v>2421</v>
      </c>
      <c r="B26" s="3">
        <v>210</v>
      </c>
    </row>
    <row r="27" spans="1:2" ht="15">
      <c r="A27" s="128" t="s">
        <v>3139</v>
      </c>
      <c r="B27" s="3">
        <v>210</v>
      </c>
    </row>
    <row r="28" spans="1:2" ht="15">
      <c r="A28" s="129" t="s">
        <v>3140</v>
      </c>
      <c r="B28" s="3">
        <v>1</v>
      </c>
    </row>
    <row r="29" spans="1:2" ht="15">
      <c r="A29" s="129" t="s">
        <v>3141</v>
      </c>
      <c r="B29" s="3">
        <v>2</v>
      </c>
    </row>
    <row r="30" spans="1:2" ht="15">
      <c r="A30" s="129" t="s">
        <v>3142</v>
      </c>
      <c r="B30" s="3">
        <v>1</v>
      </c>
    </row>
    <row r="31" spans="1:2" ht="15">
      <c r="A31" s="129" t="s">
        <v>3143</v>
      </c>
      <c r="B31" s="3">
        <v>1</v>
      </c>
    </row>
    <row r="32" spans="1:2" ht="15">
      <c r="A32" s="129" t="s">
        <v>3144</v>
      </c>
      <c r="B32" s="3">
        <v>3</v>
      </c>
    </row>
    <row r="33" spans="1:2" ht="15">
      <c r="A33" s="129" t="s">
        <v>3145</v>
      </c>
      <c r="B33" s="3">
        <v>1</v>
      </c>
    </row>
    <row r="34" spans="1:2" ht="15">
      <c r="A34" s="129" t="s">
        <v>3146</v>
      </c>
      <c r="B34" s="3">
        <v>1</v>
      </c>
    </row>
    <row r="35" spans="1:2" ht="15">
      <c r="A35" s="129" t="s">
        <v>3147</v>
      </c>
      <c r="B35" s="3">
        <v>149</v>
      </c>
    </row>
    <row r="36" spans="1:2" ht="15">
      <c r="A36" s="129" t="s">
        <v>3148</v>
      </c>
      <c r="B36" s="3">
        <v>51</v>
      </c>
    </row>
    <row r="37" spans="1:2" ht="15">
      <c r="A37" s="127" t="s">
        <v>3138</v>
      </c>
      <c r="B37" s="3">
        <v>210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1181</v>
      </c>
      <c r="AE2" s="13" t="s">
        <v>1182</v>
      </c>
      <c r="AF2" s="13" t="s">
        <v>1183</v>
      </c>
      <c r="AG2" s="13" t="s">
        <v>1184</v>
      </c>
      <c r="AH2" s="13" t="s">
        <v>1185</v>
      </c>
      <c r="AI2" s="13" t="s">
        <v>1186</v>
      </c>
      <c r="AJ2" s="13" t="s">
        <v>1187</v>
      </c>
      <c r="AK2" s="13" t="s">
        <v>1188</v>
      </c>
      <c r="AL2" s="13" t="s">
        <v>1189</v>
      </c>
      <c r="AM2" s="13" t="s">
        <v>1190</v>
      </c>
      <c r="AN2" s="13" t="s">
        <v>1191</v>
      </c>
      <c r="AO2" s="13" t="s">
        <v>1192</v>
      </c>
      <c r="AP2" s="13" t="s">
        <v>1193</v>
      </c>
      <c r="AQ2" s="13" t="s">
        <v>1194</v>
      </c>
      <c r="AR2" s="13" t="s">
        <v>1195</v>
      </c>
      <c r="AS2" s="13" t="s">
        <v>1196</v>
      </c>
      <c r="AT2" s="13" t="s">
        <v>343</v>
      </c>
      <c r="AU2" s="13" t="s">
        <v>1197</v>
      </c>
      <c r="AV2" s="13" t="s">
        <v>1198</v>
      </c>
      <c r="AW2" s="13" t="s">
        <v>1199</v>
      </c>
      <c r="AX2" s="13" t="s">
        <v>1200</v>
      </c>
      <c r="AY2" s="13" t="s">
        <v>1201</v>
      </c>
      <c r="AZ2" s="13" t="s">
        <v>1202</v>
      </c>
      <c r="BA2" s="13" t="s">
        <v>2258</v>
      </c>
      <c r="BB2" s="121" t="s">
        <v>2678</v>
      </c>
      <c r="BC2" s="121" t="s">
        <v>2679</v>
      </c>
      <c r="BD2" s="121" t="s">
        <v>2680</v>
      </c>
      <c r="BE2" s="121" t="s">
        <v>2681</v>
      </c>
      <c r="BF2" s="121" t="s">
        <v>2682</v>
      </c>
      <c r="BG2" s="121" t="s">
        <v>2683</v>
      </c>
      <c r="BH2" s="121" t="s">
        <v>2684</v>
      </c>
      <c r="BI2" s="121" t="s">
        <v>2685</v>
      </c>
      <c r="BJ2" s="121" t="s">
        <v>2687</v>
      </c>
      <c r="BK2" s="121" t="s">
        <v>3057</v>
      </c>
      <c r="BL2" s="121" t="s">
        <v>3063</v>
      </c>
      <c r="BM2" s="121" t="s">
        <v>3064</v>
      </c>
      <c r="BN2" s="121" t="s">
        <v>3066</v>
      </c>
      <c r="BO2" s="121" t="s">
        <v>3069</v>
      </c>
      <c r="BP2" s="121" t="s">
        <v>3076</v>
      </c>
      <c r="BQ2" s="121" t="s">
        <v>3082</v>
      </c>
      <c r="BR2" s="121" t="s">
        <v>3107</v>
      </c>
      <c r="BS2" s="121" t="s">
        <v>3114</v>
      </c>
      <c r="BT2" s="121" t="s">
        <v>3132</v>
      </c>
      <c r="BU2" s="3"/>
      <c r="BV2" s="3"/>
    </row>
    <row r="3" spans="1:74" ht="15" customHeight="1">
      <c r="A3" s="66" t="s">
        <v>518</v>
      </c>
      <c r="B3" s="67"/>
      <c r="C3" s="67"/>
      <c r="D3" s="68">
        <v>100</v>
      </c>
      <c r="E3" s="70"/>
      <c r="F3" s="104" t="str">
        <f>HYPERLINK("http://pbs.twimg.com/profile_images/1103253061131292673/FMnT8x8x_normal.png")</f>
        <v>http://pbs.twimg.com/profile_images/1103253061131292673/FMnT8x8x_normal.png</v>
      </c>
      <c r="G3" s="67"/>
      <c r="H3" s="71" t="s">
        <v>518</v>
      </c>
      <c r="I3" s="72"/>
      <c r="J3" s="72"/>
      <c r="K3" s="71" t="s">
        <v>2225</v>
      </c>
      <c r="L3" s="75">
        <v>1</v>
      </c>
      <c r="M3" s="76">
        <v>9377.583984375</v>
      </c>
      <c r="N3" s="76">
        <v>6429.99267578125</v>
      </c>
      <c r="O3" s="77"/>
      <c r="P3" s="78"/>
      <c r="Q3" s="78"/>
      <c r="R3" s="48"/>
      <c r="S3" s="48">
        <v>0</v>
      </c>
      <c r="T3" s="48">
        <v>1</v>
      </c>
      <c r="U3" s="49">
        <v>0</v>
      </c>
      <c r="V3" s="49">
        <v>0.111111</v>
      </c>
      <c r="W3" s="49">
        <v>0</v>
      </c>
      <c r="X3" s="49">
        <v>0.585365</v>
      </c>
      <c r="Y3" s="49">
        <v>0</v>
      </c>
      <c r="Z3" s="49">
        <v>0</v>
      </c>
      <c r="AA3" s="73">
        <v>3</v>
      </c>
      <c r="AB3" s="73"/>
      <c r="AC3" s="74"/>
      <c r="AD3" s="80" t="s">
        <v>1421</v>
      </c>
      <c r="AE3" s="88" t="s">
        <v>1644</v>
      </c>
      <c r="AF3" s="80">
        <v>188</v>
      </c>
      <c r="AG3" s="80">
        <v>345</v>
      </c>
      <c r="AH3" s="80">
        <v>213</v>
      </c>
      <c r="AI3" s="80">
        <v>678</v>
      </c>
      <c r="AJ3" s="80"/>
      <c r="AK3" s="80" t="s">
        <v>1857</v>
      </c>
      <c r="AL3" s="80" t="s">
        <v>2001</v>
      </c>
      <c r="AM3" s="85" t="str">
        <f>HYPERLINK("https://t.co/jqVVOb3XZR")</f>
        <v>https://t.co/jqVVOb3XZR</v>
      </c>
      <c r="AN3" s="80"/>
      <c r="AO3" s="82">
        <v>43523.43461805556</v>
      </c>
      <c r="AP3" s="85" t="str">
        <f>HYPERLINK("https://pbs.twimg.com/profile_banners/1100703553067368449/1572447783")</f>
        <v>https://pbs.twimg.com/profile_banners/1100703553067368449/1572447783</v>
      </c>
      <c r="AQ3" s="80" t="b">
        <v>1</v>
      </c>
      <c r="AR3" s="80" t="b">
        <v>0</v>
      </c>
      <c r="AS3" s="80" t="b">
        <v>0</v>
      </c>
      <c r="AT3" s="80"/>
      <c r="AU3" s="80">
        <v>14</v>
      </c>
      <c r="AV3" s="80"/>
      <c r="AW3" s="80" t="b">
        <v>0</v>
      </c>
      <c r="AX3" s="80" t="s">
        <v>2002</v>
      </c>
      <c r="AY3" s="85" t="str">
        <f>HYPERLINK("https://twitter.com/datavislisboa")</f>
        <v>https://twitter.com/datavislisboa</v>
      </c>
      <c r="AZ3" s="80" t="s">
        <v>66</v>
      </c>
      <c r="BA3" s="80" t="str">
        <f>REPLACE(INDEX(GroupVertices[Group],MATCH(Vertices[[#This Row],[Vertex]],GroupVertices[Vertex],0)),1,1,"")</f>
        <v>9</v>
      </c>
      <c r="BB3" s="48">
        <v>1</v>
      </c>
      <c r="BC3" s="49">
        <v>16.666666666666668</v>
      </c>
      <c r="BD3" s="48">
        <v>0</v>
      </c>
      <c r="BE3" s="49">
        <v>0</v>
      </c>
      <c r="BF3" s="48">
        <v>0</v>
      </c>
      <c r="BG3" s="49">
        <v>0</v>
      </c>
      <c r="BH3" s="48">
        <v>5</v>
      </c>
      <c r="BI3" s="49">
        <v>83.33333333333333</v>
      </c>
      <c r="BJ3" s="48">
        <v>6</v>
      </c>
      <c r="BK3" s="48"/>
      <c r="BL3" s="48"/>
      <c r="BM3" s="48"/>
      <c r="BN3" s="48"/>
      <c r="BO3" s="48" t="s">
        <v>698</v>
      </c>
      <c r="BP3" s="48" t="s">
        <v>698</v>
      </c>
      <c r="BQ3" s="125" t="s">
        <v>3083</v>
      </c>
      <c r="BR3" s="125" t="s">
        <v>3083</v>
      </c>
      <c r="BS3" s="125" t="s">
        <v>2983</v>
      </c>
      <c r="BT3" s="125" t="s">
        <v>2983</v>
      </c>
      <c r="BU3" s="3"/>
      <c r="BV3" s="3"/>
    </row>
    <row r="4" spans="1:77" ht="15">
      <c r="A4" s="66" t="s">
        <v>497</v>
      </c>
      <c r="B4" s="67"/>
      <c r="C4" s="67"/>
      <c r="D4" s="68">
        <v>205.26315789473682</v>
      </c>
      <c r="E4" s="70"/>
      <c r="F4" s="104" t="str">
        <f>HYPERLINK("http://pbs.twimg.com/profile_images/1069593505553633281/hoG3VcMt_normal.jpg")</f>
        <v>http://pbs.twimg.com/profile_images/1069593505553633281/hoG3VcMt_normal.jpg</v>
      </c>
      <c r="G4" s="67"/>
      <c r="H4" s="71" t="s">
        <v>497</v>
      </c>
      <c r="I4" s="72"/>
      <c r="J4" s="72"/>
      <c r="K4" s="71" t="s">
        <v>2003</v>
      </c>
      <c r="L4" s="75">
        <v>94.39560952825782</v>
      </c>
      <c r="M4" s="76">
        <v>9370.53515625</v>
      </c>
      <c r="N4" s="76">
        <v>5244.58837890625</v>
      </c>
      <c r="O4" s="77"/>
      <c r="P4" s="78"/>
      <c r="Q4" s="78"/>
      <c r="R4" s="90"/>
      <c r="S4" s="48">
        <v>6</v>
      </c>
      <c r="T4" s="48">
        <v>1</v>
      </c>
      <c r="U4" s="49">
        <v>20</v>
      </c>
      <c r="V4" s="49">
        <v>0.2</v>
      </c>
      <c r="W4" s="49">
        <v>0</v>
      </c>
      <c r="X4" s="49">
        <v>3.073163</v>
      </c>
      <c r="Y4" s="49">
        <v>0</v>
      </c>
      <c r="Z4" s="49">
        <v>0</v>
      </c>
      <c r="AA4" s="73">
        <v>4</v>
      </c>
      <c r="AB4" s="73"/>
      <c r="AC4" s="74"/>
      <c r="AD4" s="80" t="s">
        <v>1203</v>
      </c>
      <c r="AE4" s="88" t="s">
        <v>1422</v>
      </c>
      <c r="AF4" s="80">
        <v>4292</v>
      </c>
      <c r="AG4" s="80">
        <v>55164</v>
      </c>
      <c r="AH4" s="80">
        <v>100111</v>
      </c>
      <c r="AI4" s="80">
        <v>3727</v>
      </c>
      <c r="AJ4" s="80"/>
      <c r="AK4" s="80" t="s">
        <v>1645</v>
      </c>
      <c r="AL4" s="80" t="s">
        <v>1858</v>
      </c>
      <c r="AM4" s="85" t="str">
        <f>HYPERLINK("https://t.co/WViz9fwKgb")</f>
        <v>https://t.co/WViz9fwKgb</v>
      </c>
      <c r="AN4" s="80"/>
      <c r="AO4" s="82">
        <v>39925.517592592594</v>
      </c>
      <c r="AP4" s="85" t="str">
        <f>HYPERLINK("https://pbs.twimg.com/profile_banners/34255829/1571082229")</f>
        <v>https://pbs.twimg.com/profile_banners/34255829/1571082229</v>
      </c>
      <c r="AQ4" s="80" t="b">
        <v>0</v>
      </c>
      <c r="AR4" s="80" t="b">
        <v>0</v>
      </c>
      <c r="AS4" s="80" t="b">
        <v>0</v>
      </c>
      <c r="AT4" s="80"/>
      <c r="AU4" s="80">
        <v>3271</v>
      </c>
      <c r="AV4" s="85" t="str">
        <f>HYPERLINK("http://abs.twimg.com/images/themes/theme9/bg.gif")</f>
        <v>http://abs.twimg.com/images/themes/theme9/bg.gif</v>
      </c>
      <c r="AW4" s="80" t="b">
        <v>1</v>
      </c>
      <c r="AX4" s="80" t="s">
        <v>2002</v>
      </c>
      <c r="AY4" s="85" t="str">
        <f>HYPERLINK("https://twitter.com/albertocairo")</f>
        <v>https://twitter.com/albertocairo</v>
      </c>
      <c r="AZ4" s="80" t="s">
        <v>66</v>
      </c>
      <c r="BA4" s="80" t="str">
        <f>REPLACE(INDEX(GroupVertices[Group],MATCH(Vertices[[#This Row],[Vertex]],GroupVertices[Vertex],0)),1,1,"")</f>
        <v>9</v>
      </c>
      <c r="BB4" s="48">
        <v>1</v>
      </c>
      <c r="BC4" s="49">
        <v>16.666666666666668</v>
      </c>
      <c r="BD4" s="48">
        <v>0</v>
      </c>
      <c r="BE4" s="49">
        <v>0</v>
      </c>
      <c r="BF4" s="48">
        <v>0</v>
      </c>
      <c r="BG4" s="49">
        <v>0</v>
      </c>
      <c r="BH4" s="48">
        <v>5</v>
      </c>
      <c r="BI4" s="49">
        <v>83.33333333333333</v>
      </c>
      <c r="BJ4" s="48">
        <v>6</v>
      </c>
      <c r="BK4" s="48" t="s">
        <v>2730</v>
      </c>
      <c r="BL4" s="48" t="s">
        <v>2730</v>
      </c>
      <c r="BM4" s="48" t="s">
        <v>676</v>
      </c>
      <c r="BN4" s="48" t="s">
        <v>676</v>
      </c>
      <c r="BO4" s="48" t="s">
        <v>698</v>
      </c>
      <c r="BP4" s="48" t="s">
        <v>698</v>
      </c>
      <c r="BQ4" s="125" t="s">
        <v>3083</v>
      </c>
      <c r="BR4" s="125" t="s">
        <v>3083</v>
      </c>
      <c r="BS4" s="125" t="s">
        <v>2983</v>
      </c>
      <c r="BT4" s="125" t="s">
        <v>2983</v>
      </c>
      <c r="BU4" s="2"/>
      <c r="BV4" s="3"/>
      <c r="BW4" s="3"/>
      <c r="BX4" s="3"/>
      <c r="BY4" s="3"/>
    </row>
    <row r="5" spans="1:77" ht="15">
      <c r="A5" s="66" t="s">
        <v>363</v>
      </c>
      <c r="B5" s="67"/>
      <c r="C5" s="67"/>
      <c r="D5" s="68">
        <v>100</v>
      </c>
      <c r="E5" s="70"/>
      <c r="F5" s="104" t="str">
        <f>HYPERLINK("http://pbs.twimg.com/profile_images/1247422970613526530/94grK6Rm_normal.jpg")</f>
        <v>http://pbs.twimg.com/profile_images/1247422970613526530/94grK6Rm_normal.jpg</v>
      </c>
      <c r="G5" s="67"/>
      <c r="H5" s="71" t="s">
        <v>363</v>
      </c>
      <c r="I5" s="72"/>
      <c r="J5" s="72"/>
      <c r="K5" s="71" t="s">
        <v>2004</v>
      </c>
      <c r="L5" s="75">
        <v>1</v>
      </c>
      <c r="M5" s="76">
        <v>5880.51611328125</v>
      </c>
      <c r="N5" s="76">
        <v>788.99365234375</v>
      </c>
      <c r="O5" s="77"/>
      <c r="P5" s="78"/>
      <c r="Q5" s="78"/>
      <c r="R5" s="90"/>
      <c r="S5" s="48">
        <v>0</v>
      </c>
      <c r="T5" s="48">
        <v>1</v>
      </c>
      <c r="U5" s="49">
        <v>0</v>
      </c>
      <c r="V5" s="49">
        <v>0.066667</v>
      </c>
      <c r="W5" s="49">
        <v>0</v>
      </c>
      <c r="X5" s="49">
        <v>0.569619</v>
      </c>
      <c r="Y5" s="49">
        <v>0</v>
      </c>
      <c r="Z5" s="49">
        <v>0</v>
      </c>
      <c r="AA5" s="73">
        <v>5</v>
      </c>
      <c r="AB5" s="73"/>
      <c r="AC5" s="74"/>
      <c r="AD5" s="80" t="s">
        <v>1204</v>
      </c>
      <c r="AE5" s="88" t="s">
        <v>1423</v>
      </c>
      <c r="AF5" s="80">
        <v>2796</v>
      </c>
      <c r="AG5" s="80">
        <v>921</v>
      </c>
      <c r="AH5" s="80">
        <v>12653</v>
      </c>
      <c r="AI5" s="80">
        <v>2069</v>
      </c>
      <c r="AJ5" s="80"/>
      <c r="AK5" s="80" t="s">
        <v>1646</v>
      </c>
      <c r="AL5" s="80"/>
      <c r="AM5" s="80"/>
      <c r="AN5" s="80"/>
      <c r="AO5" s="82">
        <v>42346.4396412037</v>
      </c>
      <c r="AP5" s="85" t="str">
        <f>HYPERLINK("https://pbs.twimg.com/profile_banners/4495716078/1449572725")</f>
        <v>https://pbs.twimg.com/profile_banners/4495716078/1449572725</v>
      </c>
      <c r="AQ5" s="80" t="b">
        <v>1</v>
      </c>
      <c r="AR5" s="80" t="b">
        <v>0</v>
      </c>
      <c r="AS5" s="80" t="b">
        <v>1</v>
      </c>
      <c r="AT5" s="80"/>
      <c r="AU5" s="80">
        <v>95</v>
      </c>
      <c r="AV5" s="85" t="str">
        <f>HYPERLINK("http://abs.twimg.com/images/themes/theme1/bg.png")</f>
        <v>http://abs.twimg.com/images/themes/theme1/bg.png</v>
      </c>
      <c r="AW5" s="80" t="b">
        <v>0</v>
      </c>
      <c r="AX5" s="80" t="s">
        <v>2002</v>
      </c>
      <c r="AY5" s="85" t="str">
        <f>HYPERLINK("https://twitter.com/mijinkim33")</f>
        <v>https://twitter.com/mijinkim33</v>
      </c>
      <c r="AZ5" s="80" t="s">
        <v>66</v>
      </c>
      <c r="BA5" s="80" t="str">
        <f>REPLACE(INDEX(GroupVertices[Group],MATCH(Vertices[[#This Row],[Vertex]],GroupVertices[Vertex],0)),1,1,"")</f>
        <v>6</v>
      </c>
      <c r="BB5" s="48">
        <v>2</v>
      </c>
      <c r="BC5" s="49">
        <v>5.714285714285714</v>
      </c>
      <c r="BD5" s="48">
        <v>0</v>
      </c>
      <c r="BE5" s="49">
        <v>0</v>
      </c>
      <c r="BF5" s="48">
        <v>0</v>
      </c>
      <c r="BG5" s="49">
        <v>0</v>
      </c>
      <c r="BH5" s="48">
        <v>33</v>
      </c>
      <c r="BI5" s="49">
        <v>94.28571428571429</v>
      </c>
      <c r="BJ5" s="48">
        <v>35</v>
      </c>
      <c r="BK5" s="48"/>
      <c r="BL5" s="48"/>
      <c r="BM5" s="48"/>
      <c r="BN5" s="48"/>
      <c r="BO5" s="48" t="s">
        <v>693</v>
      </c>
      <c r="BP5" s="48" t="s">
        <v>693</v>
      </c>
      <c r="BQ5" s="125" t="s">
        <v>2865</v>
      </c>
      <c r="BR5" s="125" t="s">
        <v>2865</v>
      </c>
      <c r="BS5" s="125" t="s">
        <v>2980</v>
      </c>
      <c r="BT5" s="125" t="s">
        <v>2980</v>
      </c>
      <c r="BU5" s="2"/>
      <c r="BV5" s="3"/>
      <c r="BW5" s="3"/>
      <c r="BX5" s="3"/>
      <c r="BY5" s="3"/>
    </row>
    <row r="6" spans="1:77" ht="15">
      <c r="A6" s="66" t="s">
        <v>370</v>
      </c>
      <c r="B6" s="67"/>
      <c r="C6" s="67"/>
      <c r="D6" s="68">
        <v>394.7368421052632</v>
      </c>
      <c r="E6" s="70"/>
      <c r="F6" s="104" t="str">
        <f>HYPERLINK("http://pbs.twimg.com/profile_images/589754835395678208/4Iq5fqZr_normal.jpg")</f>
        <v>http://pbs.twimg.com/profile_images/589754835395678208/4Iq5fqZr_normal.jpg</v>
      </c>
      <c r="G6" s="67"/>
      <c r="H6" s="71" t="s">
        <v>370</v>
      </c>
      <c r="I6" s="72"/>
      <c r="J6" s="72"/>
      <c r="K6" s="71" t="s">
        <v>2005</v>
      </c>
      <c r="L6" s="75">
        <v>262.5077066791219</v>
      </c>
      <c r="M6" s="76">
        <v>4946.42578125</v>
      </c>
      <c r="N6" s="76">
        <v>1069.2615966796875</v>
      </c>
      <c r="O6" s="77"/>
      <c r="P6" s="78"/>
      <c r="Q6" s="78"/>
      <c r="R6" s="90"/>
      <c r="S6" s="48">
        <v>9</v>
      </c>
      <c r="T6" s="48">
        <v>1</v>
      </c>
      <c r="U6" s="49">
        <v>56</v>
      </c>
      <c r="V6" s="49">
        <v>0.125</v>
      </c>
      <c r="W6" s="49">
        <v>0</v>
      </c>
      <c r="X6" s="49">
        <v>4.443027</v>
      </c>
      <c r="Y6" s="49">
        <v>0</v>
      </c>
      <c r="Z6" s="49">
        <v>0</v>
      </c>
      <c r="AA6" s="73">
        <v>6</v>
      </c>
      <c r="AB6" s="73"/>
      <c r="AC6" s="74"/>
      <c r="AD6" s="80" t="s">
        <v>1205</v>
      </c>
      <c r="AE6" s="88" t="s">
        <v>1424</v>
      </c>
      <c r="AF6" s="80">
        <v>4285</v>
      </c>
      <c r="AG6" s="80">
        <v>1723</v>
      </c>
      <c r="AH6" s="80">
        <v>9077</v>
      </c>
      <c r="AI6" s="80">
        <v>4255</v>
      </c>
      <c r="AJ6" s="80"/>
      <c r="AK6" s="80" t="s">
        <v>1647</v>
      </c>
      <c r="AL6" s="80" t="s">
        <v>1859</v>
      </c>
      <c r="AM6" s="85" t="str">
        <f>HYPERLINK("http://t.co/fUF0QSqjfj")</f>
        <v>http://t.co/fUF0QSqjfj</v>
      </c>
      <c r="AN6" s="80"/>
      <c r="AO6" s="82">
        <v>42113.48136574074</v>
      </c>
      <c r="AP6" s="85" t="str">
        <f>HYPERLINK("https://pbs.twimg.com/profile_banners/3163856761/1478182401")</f>
        <v>https://pbs.twimg.com/profile_banners/3163856761/1478182401</v>
      </c>
      <c r="AQ6" s="80" t="b">
        <v>0</v>
      </c>
      <c r="AR6" s="80" t="b">
        <v>0</v>
      </c>
      <c r="AS6" s="80" t="b">
        <v>1</v>
      </c>
      <c r="AT6" s="80"/>
      <c r="AU6" s="80">
        <v>282</v>
      </c>
      <c r="AV6" s="85" t="str">
        <f>HYPERLINK("http://abs.twimg.com/images/themes/theme1/bg.png")</f>
        <v>http://abs.twimg.com/images/themes/theme1/bg.png</v>
      </c>
      <c r="AW6" s="80" t="b">
        <v>0</v>
      </c>
      <c r="AX6" s="80" t="s">
        <v>2002</v>
      </c>
      <c r="AY6" s="85" t="str">
        <f>HYPERLINK("https://twitter.com/e2d3org")</f>
        <v>https://twitter.com/e2d3org</v>
      </c>
      <c r="AZ6" s="80" t="s">
        <v>66</v>
      </c>
      <c r="BA6" s="80" t="str">
        <f>REPLACE(INDEX(GroupVertices[Group],MATCH(Vertices[[#This Row],[Vertex]],GroupVertices[Vertex],0)),1,1,"")</f>
        <v>6</v>
      </c>
      <c r="BB6" s="48">
        <v>2</v>
      </c>
      <c r="BC6" s="49">
        <v>5.714285714285714</v>
      </c>
      <c r="BD6" s="48">
        <v>0</v>
      </c>
      <c r="BE6" s="49">
        <v>0</v>
      </c>
      <c r="BF6" s="48">
        <v>0</v>
      </c>
      <c r="BG6" s="49">
        <v>0</v>
      </c>
      <c r="BH6" s="48">
        <v>33</v>
      </c>
      <c r="BI6" s="49">
        <v>94.28571428571429</v>
      </c>
      <c r="BJ6" s="48">
        <v>35</v>
      </c>
      <c r="BK6" s="48"/>
      <c r="BL6" s="48"/>
      <c r="BM6" s="48"/>
      <c r="BN6" s="48"/>
      <c r="BO6" s="48" t="s">
        <v>3070</v>
      </c>
      <c r="BP6" s="48" t="s">
        <v>3070</v>
      </c>
      <c r="BQ6" s="125" t="s">
        <v>2865</v>
      </c>
      <c r="BR6" s="125" t="s">
        <v>2865</v>
      </c>
      <c r="BS6" s="125" t="s">
        <v>2980</v>
      </c>
      <c r="BT6" s="125" t="s">
        <v>2980</v>
      </c>
      <c r="BU6" s="2"/>
      <c r="BV6" s="3"/>
      <c r="BW6" s="3"/>
      <c r="BX6" s="3"/>
      <c r="BY6" s="3"/>
    </row>
    <row r="7" spans="1:77" ht="15">
      <c r="A7" s="66" t="s">
        <v>364</v>
      </c>
      <c r="B7" s="67"/>
      <c r="C7" s="67"/>
      <c r="D7" s="68">
        <v>100</v>
      </c>
      <c r="E7" s="70"/>
      <c r="F7" s="104" t="str">
        <f>HYPERLINK("http://pbs.twimg.com/profile_images/1266134298429517824/Gxv_xYd7_normal.jpg")</f>
        <v>http://pbs.twimg.com/profile_images/1266134298429517824/Gxv_xYd7_normal.jpg</v>
      </c>
      <c r="G7" s="67"/>
      <c r="H7" s="71" t="s">
        <v>364</v>
      </c>
      <c r="I7" s="72"/>
      <c r="J7" s="72"/>
      <c r="K7" s="71" t="s">
        <v>2006</v>
      </c>
      <c r="L7" s="75">
        <v>1</v>
      </c>
      <c r="M7" s="76">
        <v>5807.11181640625</v>
      </c>
      <c r="N7" s="76">
        <v>1524.9873046875</v>
      </c>
      <c r="O7" s="77"/>
      <c r="P7" s="78"/>
      <c r="Q7" s="78"/>
      <c r="R7" s="90"/>
      <c r="S7" s="48">
        <v>0</v>
      </c>
      <c r="T7" s="48">
        <v>1</v>
      </c>
      <c r="U7" s="49">
        <v>0</v>
      </c>
      <c r="V7" s="49">
        <v>0.066667</v>
      </c>
      <c r="W7" s="49">
        <v>0</v>
      </c>
      <c r="X7" s="49">
        <v>0.569619</v>
      </c>
      <c r="Y7" s="49">
        <v>0</v>
      </c>
      <c r="Z7" s="49">
        <v>0</v>
      </c>
      <c r="AA7" s="73">
        <v>7</v>
      </c>
      <c r="AB7" s="73"/>
      <c r="AC7" s="74"/>
      <c r="AD7" s="80" t="s">
        <v>1206</v>
      </c>
      <c r="AE7" s="88" t="s">
        <v>1425</v>
      </c>
      <c r="AF7" s="80">
        <v>0</v>
      </c>
      <c r="AG7" s="80">
        <v>667</v>
      </c>
      <c r="AH7" s="80">
        <v>71692</v>
      </c>
      <c r="AI7" s="80">
        <v>11563</v>
      </c>
      <c r="AJ7" s="80"/>
      <c r="AK7" s="80" t="s">
        <v>1648</v>
      </c>
      <c r="AL7" s="80"/>
      <c r="AM7" s="80"/>
      <c r="AN7" s="80"/>
      <c r="AO7" s="82">
        <v>43979.93480324074</v>
      </c>
      <c r="AP7" s="85" t="str">
        <f>HYPERLINK("https://pbs.twimg.com/profile_banners/1266133633389060097/1590708060")</f>
        <v>https://pbs.twimg.com/profile_banners/1266133633389060097/1590708060</v>
      </c>
      <c r="AQ7" s="80" t="b">
        <v>1</v>
      </c>
      <c r="AR7" s="80" t="b">
        <v>0</v>
      </c>
      <c r="AS7" s="80" t="b">
        <v>0</v>
      </c>
      <c r="AT7" s="80"/>
      <c r="AU7" s="80">
        <v>24</v>
      </c>
      <c r="AV7" s="80"/>
      <c r="AW7" s="80" t="b">
        <v>0</v>
      </c>
      <c r="AX7" s="80" t="s">
        <v>2002</v>
      </c>
      <c r="AY7" s="85" t="str">
        <f>HYPERLINK("https://twitter.com/codegnuts")</f>
        <v>https://twitter.com/codegnuts</v>
      </c>
      <c r="AZ7" s="80" t="s">
        <v>66</v>
      </c>
      <c r="BA7" s="80" t="str">
        <f>REPLACE(INDEX(GroupVertices[Group],MATCH(Vertices[[#This Row],[Vertex]],GroupVertices[Vertex],0)),1,1,"")</f>
        <v>6</v>
      </c>
      <c r="BB7" s="48">
        <v>2</v>
      </c>
      <c r="BC7" s="49">
        <v>5.714285714285714</v>
      </c>
      <c r="BD7" s="48">
        <v>0</v>
      </c>
      <c r="BE7" s="49">
        <v>0</v>
      </c>
      <c r="BF7" s="48">
        <v>0</v>
      </c>
      <c r="BG7" s="49">
        <v>0</v>
      </c>
      <c r="BH7" s="48">
        <v>33</v>
      </c>
      <c r="BI7" s="49">
        <v>94.28571428571429</v>
      </c>
      <c r="BJ7" s="48">
        <v>35</v>
      </c>
      <c r="BK7" s="48"/>
      <c r="BL7" s="48"/>
      <c r="BM7" s="48"/>
      <c r="BN7" s="48"/>
      <c r="BO7" s="48" t="s">
        <v>693</v>
      </c>
      <c r="BP7" s="48" t="s">
        <v>693</v>
      </c>
      <c r="BQ7" s="125" t="s">
        <v>2865</v>
      </c>
      <c r="BR7" s="125" t="s">
        <v>2865</v>
      </c>
      <c r="BS7" s="125" t="s">
        <v>2980</v>
      </c>
      <c r="BT7" s="125" t="s">
        <v>2980</v>
      </c>
      <c r="BU7" s="2"/>
      <c r="BV7" s="3"/>
      <c r="BW7" s="3"/>
      <c r="BX7" s="3"/>
      <c r="BY7" s="3"/>
    </row>
    <row r="8" spans="1:77" ht="15">
      <c r="A8" s="66" t="s">
        <v>365</v>
      </c>
      <c r="B8" s="67"/>
      <c r="C8" s="67"/>
      <c r="D8" s="68">
        <v>100</v>
      </c>
      <c r="E8" s="70"/>
      <c r="F8" s="104" t="str">
        <f>HYPERLINK("http://pbs.twimg.com/profile_images/1272605555497078785/WLzdWQ-o_normal.jpg")</f>
        <v>http://pbs.twimg.com/profile_images/1272605555497078785/WLzdWQ-o_normal.jpg</v>
      </c>
      <c r="G8" s="67"/>
      <c r="H8" s="71" t="s">
        <v>365</v>
      </c>
      <c r="I8" s="72"/>
      <c r="J8" s="72"/>
      <c r="K8" s="71" t="s">
        <v>2007</v>
      </c>
      <c r="L8" s="75">
        <v>1</v>
      </c>
      <c r="M8" s="76">
        <v>4486.1015625</v>
      </c>
      <c r="N8" s="76">
        <v>1921.3463134765625</v>
      </c>
      <c r="O8" s="77"/>
      <c r="P8" s="78"/>
      <c r="Q8" s="78"/>
      <c r="R8" s="90"/>
      <c r="S8" s="48">
        <v>0</v>
      </c>
      <c r="T8" s="48">
        <v>1</v>
      </c>
      <c r="U8" s="49">
        <v>0</v>
      </c>
      <c r="V8" s="49">
        <v>0.066667</v>
      </c>
      <c r="W8" s="49">
        <v>0</v>
      </c>
      <c r="X8" s="49">
        <v>0.569619</v>
      </c>
      <c r="Y8" s="49">
        <v>0</v>
      </c>
      <c r="Z8" s="49">
        <v>0</v>
      </c>
      <c r="AA8" s="73">
        <v>8</v>
      </c>
      <c r="AB8" s="73"/>
      <c r="AC8" s="74"/>
      <c r="AD8" s="80" t="s">
        <v>1207</v>
      </c>
      <c r="AE8" s="88" t="s">
        <v>1426</v>
      </c>
      <c r="AF8" s="80">
        <v>1</v>
      </c>
      <c r="AG8" s="80">
        <v>178</v>
      </c>
      <c r="AH8" s="80">
        <v>19892</v>
      </c>
      <c r="AI8" s="80">
        <v>0</v>
      </c>
      <c r="AJ8" s="80"/>
      <c r="AK8" s="80" t="s">
        <v>1649</v>
      </c>
      <c r="AL8" s="80"/>
      <c r="AM8" s="80"/>
      <c r="AN8" s="80"/>
      <c r="AO8" s="82">
        <v>43788.81476851852</v>
      </c>
      <c r="AP8" s="85" t="str">
        <f>HYPERLINK("https://pbs.twimg.com/profile_banners/1196874000837816320/1577825239")</f>
        <v>https://pbs.twimg.com/profile_banners/1196874000837816320/1577825239</v>
      </c>
      <c r="AQ8" s="80" t="b">
        <v>1</v>
      </c>
      <c r="AR8" s="80" t="b">
        <v>0</v>
      </c>
      <c r="AS8" s="80" t="b">
        <v>0</v>
      </c>
      <c r="AT8" s="80"/>
      <c r="AU8" s="80">
        <v>11</v>
      </c>
      <c r="AV8" s="80"/>
      <c r="AW8" s="80" t="b">
        <v>0</v>
      </c>
      <c r="AX8" s="80" t="s">
        <v>2002</v>
      </c>
      <c r="AY8" s="85" t="str">
        <f>HYPERLINK("https://twitter.com/nodequotesbot")</f>
        <v>https://twitter.com/nodequotesbot</v>
      </c>
      <c r="AZ8" s="80" t="s">
        <v>66</v>
      </c>
      <c r="BA8" s="80" t="str">
        <f>REPLACE(INDEX(GroupVertices[Group],MATCH(Vertices[[#This Row],[Vertex]],GroupVertices[Vertex],0)),1,1,"")</f>
        <v>6</v>
      </c>
      <c r="BB8" s="48">
        <v>2</v>
      </c>
      <c r="BC8" s="49">
        <v>5.714285714285714</v>
      </c>
      <c r="BD8" s="48">
        <v>0</v>
      </c>
      <c r="BE8" s="49">
        <v>0</v>
      </c>
      <c r="BF8" s="48">
        <v>0</v>
      </c>
      <c r="BG8" s="49">
        <v>0</v>
      </c>
      <c r="BH8" s="48">
        <v>33</v>
      </c>
      <c r="BI8" s="49">
        <v>94.28571428571429</v>
      </c>
      <c r="BJ8" s="48">
        <v>35</v>
      </c>
      <c r="BK8" s="48"/>
      <c r="BL8" s="48"/>
      <c r="BM8" s="48"/>
      <c r="BN8" s="48"/>
      <c r="BO8" s="48" t="s">
        <v>693</v>
      </c>
      <c r="BP8" s="48" t="s">
        <v>693</v>
      </c>
      <c r="BQ8" s="125" t="s">
        <v>2865</v>
      </c>
      <c r="BR8" s="125" t="s">
        <v>2865</v>
      </c>
      <c r="BS8" s="125" t="s">
        <v>2980</v>
      </c>
      <c r="BT8" s="125" t="s">
        <v>2980</v>
      </c>
      <c r="BU8" s="2"/>
      <c r="BV8" s="3"/>
      <c r="BW8" s="3"/>
      <c r="BX8" s="3"/>
      <c r="BY8" s="3"/>
    </row>
    <row r="9" spans="1:77" ht="15">
      <c r="A9" s="66" t="s">
        <v>366</v>
      </c>
      <c r="B9" s="67"/>
      <c r="C9" s="67"/>
      <c r="D9" s="68">
        <v>100</v>
      </c>
      <c r="E9" s="70"/>
      <c r="F9" s="104" t="str">
        <f>HYPERLINK("http://pbs.twimg.com/profile_images/1263711283196633089/mckc1xGI_normal.jpg")</f>
        <v>http://pbs.twimg.com/profile_images/1263711283196633089/mckc1xGI_normal.jpg</v>
      </c>
      <c r="G9" s="67"/>
      <c r="H9" s="71" t="s">
        <v>366</v>
      </c>
      <c r="I9" s="72"/>
      <c r="J9" s="72"/>
      <c r="K9" s="71" t="s">
        <v>2008</v>
      </c>
      <c r="L9" s="75">
        <v>1</v>
      </c>
      <c r="M9" s="76">
        <v>5229.52197265625</v>
      </c>
      <c r="N9" s="76">
        <v>1994.020263671875</v>
      </c>
      <c r="O9" s="77"/>
      <c r="P9" s="78"/>
      <c r="Q9" s="78"/>
      <c r="R9" s="90"/>
      <c r="S9" s="48">
        <v>0</v>
      </c>
      <c r="T9" s="48">
        <v>1</v>
      </c>
      <c r="U9" s="49">
        <v>0</v>
      </c>
      <c r="V9" s="49">
        <v>0.066667</v>
      </c>
      <c r="W9" s="49">
        <v>0</v>
      </c>
      <c r="X9" s="49">
        <v>0.569619</v>
      </c>
      <c r="Y9" s="49">
        <v>0</v>
      </c>
      <c r="Z9" s="49">
        <v>0</v>
      </c>
      <c r="AA9" s="73">
        <v>9</v>
      </c>
      <c r="AB9" s="73"/>
      <c r="AC9" s="74"/>
      <c r="AD9" s="80" t="s">
        <v>1208</v>
      </c>
      <c r="AE9" s="88" t="s">
        <v>1427</v>
      </c>
      <c r="AF9" s="80">
        <v>1</v>
      </c>
      <c r="AG9" s="80">
        <v>327</v>
      </c>
      <c r="AH9" s="80">
        <v>71280</v>
      </c>
      <c r="AI9" s="80">
        <v>5525</v>
      </c>
      <c r="AJ9" s="80"/>
      <c r="AK9" s="80" t="s">
        <v>1650</v>
      </c>
      <c r="AL9" s="80"/>
      <c r="AM9" s="80"/>
      <c r="AN9" s="80"/>
      <c r="AO9" s="82">
        <v>43750.16159722222</v>
      </c>
      <c r="AP9" s="85" t="str">
        <f>HYPERLINK("https://pbs.twimg.com/profile_banners/1182866592138350592/1590398965")</f>
        <v>https://pbs.twimg.com/profile_banners/1182866592138350592/1590398965</v>
      </c>
      <c r="AQ9" s="80" t="b">
        <v>1</v>
      </c>
      <c r="AR9" s="80" t="b">
        <v>0</v>
      </c>
      <c r="AS9" s="80" t="b">
        <v>0</v>
      </c>
      <c r="AT9" s="80"/>
      <c r="AU9" s="80">
        <v>24</v>
      </c>
      <c r="AV9" s="80"/>
      <c r="AW9" s="80" t="b">
        <v>0</v>
      </c>
      <c r="AX9" s="80" t="s">
        <v>2002</v>
      </c>
      <c r="AY9" s="85" t="str">
        <f>HYPERLINK("https://twitter.com/theinfernobot")</f>
        <v>https://twitter.com/theinfernobot</v>
      </c>
      <c r="AZ9" s="80" t="s">
        <v>66</v>
      </c>
      <c r="BA9" s="80" t="str">
        <f>REPLACE(INDEX(GroupVertices[Group],MATCH(Vertices[[#This Row],[Vertex]],GroupVertices[Vertex],0)),1,1,"")</f>
        <v>6</v>
      </c>
      <c r="BB9" s="48">
        <v>2</v>
      </c>
      <c r="BC9" s="49">
        <v>5.714285714285714</v>
      </c>
      <c r="BD9" s="48">
        <v>0</v>
      </c>
      <c r="BE9" s="49">
        <v>0</v>
      </c>
      <c r="BF9" s="48">
        <v>0</v>
      </c>
      <c r="BG9" s="49">
        <v>0</v>
      </c>
      <c r="BH9" s="48">
        <v>33</v>
      </c>
      <c r="BI9" s="49">
        <v>94.28571428571429</v>
      </c>
      <c r="BJ9" s="48">
        <v>35</v>
      </c>
      <c r="BK9" s="48"/>
      <c r="BL9" s="48"/>
      <c r="BM9" s="48"/>
      <c r="BN9" s="48"/>
      <c r="BO9" s="48" t="s">
        <v>693</v>
      </c>
      <c r="BP9" s="48" t="s">
        <v>693</v>
      </c>
      <c r="BQ9" s="125" t="s">
        <v>2865</v>
      </c>
      <c r="BR9" s="125" t="s">
        <v>2865</v>
      </c>
      <c r="BS9" s="125" t="s">
        <v>2980</v>
      </c>
      <c r="BT9" s="125" t="s">
        <v>2980</v>
      </c>
      <c r="BU9" s="2"/>
      <c r="BV9" s="3"/>
      <c r="BW9" s="3"/>
      <c r="BX9" s="3"/>
      <c r="BY9" s="3"/>
    </row>
    <row r="10" spans="1:77" ht="15">
      <c r="A10" s="66" t="s">
        <v>367</v>
      </c>
      <c r="B10" s="67"/>
      <c r="C10" s="67"/>
      <c r="D10" s="68">
        <v>100</v>
      </c>
      <c r="E10" s="70"/>
      <c r="F10" s="104" t="str">
        <f>HYPERLINK("http://pbs.twimg.com/profile_images/1039966314960437248/yKL_4LvX_normal.jpg")</f>
        <v>http://pbs.twimg.com/profile_images/1039966314960437248/yKL_4LvX_normal.jpg</v>
      </c>
      <c r="G10" s="67"/>
      <c r="H10" s="71" t="s">
        <v>367</v>
      </c>
      <c r="I10" s="72"/>
      <c r="J10" s="72"/>
      <c r="K10" s="71" t="s">
        <v>2009</v>
      </c>
      <c r="L10" s="75">
        <v>1</v>
      </c>
      <c r="M10" s="76">
        <v>4663.33154296875</v>
      </c>
      <c r="N10" s="76">
        <v>155.33128356933594</v>
      </c>
      <c r="O10" s="77"/>
      <c r="P10" s="78"/>
      <c r="Q10" s="78"/>
      <c r="R10" s="90"/>
      <c r="S10" s="48">
        <v>0</v>
      </c>
      <c r="T10" s="48">
        <v>1</v>
      </c>
      <c r="U10" s="49">
        <v>0</v>
      </c>
      <c r="V10" s="49">
        <v>0.066667</v>
      </c>
      <c r="W10" s="49">
        <v>0</v>
      </c>
      <c r="X10" s="49">
        <v>0.569619</v>
      </c>
      <c r="Y10" s="49">
        <v>0</v>
      </c>
      <c r="Z10" s="49">
        <v>0</v>
      </c>
      <c r="AA10" s="73">
        <v>10</v>
      </c>
      <c r="AB10" s="73"/>
      <c r="AC10" s="74"/>
      <c r="AD10" s="80" t="s">
        <v>1209</v>
      </c>
      <c r="AE10" s="88" t="s">
        <v>1428</v>
      </c>
      <c r="AF10" s="80">
        <v>4164</v>
      </c>
      <c r="AG10" s="80">
        <v>3677</v>
      </c>
      <c r="AH10" s="80">
        <v>65110</v>
      </c>
      <c r="AI10" s="80">
        <v>7300</v>
      </c>
      <c r="AJ10" s="80"/>
      <c r="AK10" s="80" t="s">
        <v>1651</v>
      </c>
      <c r="AL10" s="80" t="s">
        <v>1860</v>
      </c>
      <c r="AM10" s="80"/>
      <c r="AN10" s="80"/>
      <c r="AO10" s="82">
        <v>43355.830046296294</v>
      </c>
      <c r="AP10" s="80"/>
      <c r="AQ10" s="80" t="b">
        <v>0</v>
      </c>
      <c r="AR10" s="80" t="b">
        <v>0</v>
      </c>
      <c r="AS10" s="80" t="b">
        <v>0</v>
      </c>
      <c r="AT10" s="80"/>
      <c r="AU10" s="80">
        <v>48</v>
      </c>
      <c r="AV10" s="85" t="str">
        <f>HYPERLINK("http://abs.twimg.com/images/themes/theme1/bg.png")</f>
        <v>http://abs.twimg.com/images/themes/theme1/bg.png</v>
      </c>
      <c r="AW10" s="80" t="b">
        <v>0</v>
      </c>
      <c r="AX10" s="80" t="s">
        <v>2002</v>
      </c>
      <c r="AY10" s="85" t="str">
        <f>HYPERLINK("https://twitter.com/markj_ohnson")</f>
        <v>https://twitter.com/markj_ohnson</v>
      </c>
      <c r="AZ10" s="80" t="s">
        <v>66</v>
      </c>
      <c r="BA10" s="80" t="str">
        <f>REPLACE(INDEX(GroupVertices[Group],MATCH(Vertices[[#This Row],[Vertex]],GroupVertices[Vertex],0)),1,1,"")</f>
        <v>6</v>
      </c>
      <c r="BB10" s="48">
        <v>2</v>
      </c>
      <c r="BC10" s="49">
        <v>5.714285714285714</v>
      </c>
      <c r="BD10" s="48">
        <v>0</v>
      </c>
      <c r="BE10" s="49">
        <v>0</v>
      </c>
      <c r="BF10" s="48">
        <v>0</v>
      </c>
      <c r="BG10" s="49">
        <v>0</v>
      </c>
      <c r="BH10" s="48">
        <v>33</v>
      </c>
      <c r="BI10" s="49">
        <v>94.28571428571429</v>
      </c>
      <c r="BJ10" s="48">
        <v>35</v>
      </c>
      <c r="BK10" s="48"/>
      <c r="BL10" s="48"/>
      <c r="BM10" s="48"/>
      <c r="BN10" s="48"/>
      <c r="BO10" s="48" t="s">
        <v>693</v>
      </c>
      <c r="BP10" s="48" t="s">
        <v>693</v>
      </c>
      <c r="BQ10" s="125" t="s">
        <v>2865</v>
      </c>
      <c r="BR10" s="125" t="s">
        <v>2865</v>
      </c>
      <c r="BS10" s="125" t="s">
        <v>2980</v>
      </c>
      <c r="BT10" s="125" t="s">
        <v>2980</v>
      </c>
      <c r="BU10" s="2"/>
      <c r="BV10" s="3"/>
      <c r="BW10" s="3"/>
      <c r="BX10" s="3"/>
      <c r="BY10" s="3"/>
    </row>
    <row r="11" spans="1:77" ht="15">
      <c r="A11" s="66" t="s">
        <v>368</v>
      </c>
      <c r="B11" s="67"/>
      <c r="C11" s="67"/>
      <c r="D11" s="68">
        <v>100</v>
      </c>
      <c r="E11" s="70"/>
      <c r="F11" s="104" t="str">
        <f>HYPERLINK("http://pbs.twimg.com/profile_images/1031997097690759170/psuwWLYh_normal.jpg")</f>
        <v>http://pbs.twimg.com/profile_images/1031997097690759170/psuwWLYh_normal.jpg</v>
      </c>
      <c r="G11" s="67"/>
      <c r="H11" s="71" t="s">
        <v>368</v>
      </c>
      <c r="I11" s="72"/>
      <c r="J11" s="72"/>
      <c r="K11" s="71" t="s">
        <v>2010</v>
      </c>
      <c r="L11" s="75">
        <v>1</v>
      </c>
      <c r="M11" s="76">
        <v>4085.73828125</v>
      </c>
      <c r="N11" s="76">
        <v>613.5307006835938</v>
      </c>
      <c r="O11" s="77"/>
      <c r="P11" s="78"/>
      <c r="Q11" s="78"/>
      <c r="R11" s="90"/>
      <c r="S11" s="48">
        <v>0</v>
      </c>
      <c r="T11" s="48">
        <v>1</v>
      </c>
      <c r="U11" s="49">
        <v>0</v>
      </c>
      <c r="V11" s="49">
        <v>0.066667</v>
      </c>
      <c r="W11" s="49">
        <v>0</v>
      </c>
      <c r="X11" s="49">
        <v>0.569619</v>
      </c>
      <c r="Y11" s="49">
        <v>0</v>
      </c>
      <c r="Z11" s="49">
        <v>0</v>
      </c>
      <c r="AA11" s="73">
        <v>11</v>
      </c>
      <c r="AB11" s="73"/>
      <c r="AC11" s="74"/>
      <c r="AD11" s="80" t="s">
        <v>1210</v>
      </c>
      <c r="AE11" s="88" t="s">
        <v>1429</v>
      </c>
      <c r="AF11" s="80">
        <v>924</v>
      </c>
      <c r="AG11" s="80">
        <v>1467</v>
      </c>
      <c r="AH11" s="80">
        <v>97618</v>
      </c>
      <c r="AI11" s="80">
        <v>312</v>
      </c>
      <c r="AJ11" s="80"/>
      <c r="AK11" s="80"/>
      <c r="AL11" s="80"/>
      <c r="AM11" s="80"/>
      <c r="AN11" s="80"/>
      <c r="AO11" s="82">
        <v>42971.45072916667</v>
      </c>
      <c r="AP11" s="85" t="str">
        <f>HYPERLINK("https://pbs.twimg.com/profile_banners/900671288687177728/1503572523")</f>
        <v>https://pbs.twimg.com/profile_banners/900671288687177728/1503572523</v>
      </c>
      <c r="AQ11" s="80" t="b">
        <v>1</v>
      </c>
      <c r="AR11" s="80" t="b">
        <v>0</v>
      </c>
      <c r="AS11" s="80" t="b">
        <v>0</v>
      </c>
      <c r="AT11" s="80"/>
      <c r="AU11" s="80">
        <v>52</v>
      </c>
      <c r="AV11" s="80"/>
      <c r="AW11" s="80" t="b">
        <v>0</v>
      </c>
      <c r="AX11" s="80" t="s">
        <v>2002</v>
      </c>
      <c r="AY11" s="85" t="str">
        <f>HYPERLINK("https://twitter.com/digitalsphere33")</f>
        <v>https://twitter.com/digitalsphere33</v>
      </c>
      <c r="AZ11" s="80" t="s">
        <v>66</v>
      </c>
      <c r="BA11" s="80" t="str">
        <f>REPLACE(INDEX(GroupVertices[Group],MATCH(Vertices[[#This Row],[Vertex]],GroupVertices[Vertex],0)),1,1,"")</f>
        <v>6</v>
      </c>
      <c r="BB11" s="48">
        <v>2</v>
      </c>
      <c r="BC11" s="49">
        <v>5.714285714285714</v>
      </c>
      <c r="BD11" s="48">
        <v>0</v>
      </c>
      <c r="BE11" s="49">
        <v>0</v>
      </c>
      <c r="BF11" s="48">
        <v>0</v>
      </c>
      <c r="BG11" s="49">
        <v>0</v>
      </c>
      <c r="BH11" s="48">
        <v>33</v>
      </c>
      <c r="BI11" s="49">
        <v>94.28571428571429</v>
      </c>
      <c r="BJ11" s="48">
        <v>35</v>
      </c>
      <c r="BK11" s="48"/>
      <c r="BL11" s="48"/>
      <c r="BM11" s="48"/>
      <c r="BN11" s="48"/>
      <c r="BO11" s="48" t="s">
        <v>693</v>
      </c>
      <c r="BP11" s="48" t="s">
        <v>693</v>
      </c>
      <c r="BQ11" s="125" t="s">
        <v>2865</v>
      </c>
      <c r="BR11" s="125" t="s">
        <v>2865</v>
      </c>
      <c r="BS11" s="125" t="s">
        <v>2980</v>
      </c>
      <c r="BT11" s="125" t="s">
        <v>2980</v>
      </c>
      <c r="BU11" s="2"/>
      <c r="BV11" s="3"/>
      <c r="BW11" s="3"/>
      <c r="BX11" s="3"/>
      <c r="BY11" s="3"/>
    </row>
    <row r="12" spans="1:77" ht="15">
      <c r="A12" s="66" t="s">
        <v>369</v>
      </c>
      <c r="B12" s="67"/>
      <c r="C12" s="67"/>
      <c r="D12" s="68">
        <v>100</v>
      </c>
      <c r="E12" s="70"/>
      <c r="F12" s="104" t="str">
        <f>HYPERLINK("http://pbs.twimg.com/profile_images/885513954818220033/gf3Ci4dO_normal.jpg")</f>
        <v>http://pbs.twimg.com/profile_images/885513954818220033/gf3Ci4dO_normal.jpg</v>
      </c>
      <c r="G12" s="67"/>
      <c r="H12" s="71" t="s">
        <v>369</v>
      </c>
      <c r="I12" s="72"/>
      <c r="J12" s="72"/>
      <c r="K12" s="71" t="s">
        <v>2011</v>
      </c>
      <c r="L12" s="75">
        <v>1</v>
      </c>
      <c r="M12" s="76">
        <v>5406.75341796875</v>
      </c>
      <c r="N12" s="76">
        <v>217.17523193359375</v>
      </c>
      <c r="O12" s="77"/>
      <c r="P12" s="78"/>
      <c r="Q12" s="78"/>
      <c r="R12" s="90"/>
      <c r="S12" s="48">
        <v>0</v>
      </c>
      <c r="T12" s="48">
        <v>1</v>
      </c>
      <c r="U12" s="49">
        <v>0</v>
      </c>
      <c r="V12" s="49">
        <v>0.066667</v>
      </c>
      <c r="W12" s="49">
        <v>0</v>
      </c>
      <c r="X12" s="49">
        <v>0.569619</v>
      </c>
      <c r="Y12" s="49">
        <v>0</v>
      </c>
      <c r="Z12" s="49">
        <v>0</v>
      </c>
      <c r="AA12" s="73">
        <v>12</v>
      </c>
      <c r="AB12" s="73"/>
      <c r="AC12" s="74"/>
      <c r="AD12" s="80" t="s">
        <v>1211</v>
      </c>
      <c r="AE12" s="88" t="s">
        <v>1430</v>
      </c>
      <c r="AF12" s="80">
        <v>1</v>
      </c>
      <c r="AG12" s="80">
        <v>2645</v>
      </c>
      <c r="AH12" s="80">
        <v>491600</v>
      </c>
      <c r="AI12" s="80">
        <v>84398</v>
      </c>
      <c r="AJ12" s="80"/>
      <c r="AK12" s="80" t="s">
        <v>1652</v>
      </c>
      <c r="AL12" s="80" t="s">
        <v>1861</v>
      </c>
      <c r="AM12" s="80"/>
      <c r="AN12" s="80"/>
      <c r="AO12" s="82">
        <v>42929.623020833336</v>
      </c>
      <c r="AP12" s="85" t="str">
        <f>HYPERLINK("https://pbs.twimg.com/profile_banners/885513434569355265/1499969529")</f>
        <v>https://pbs.twimg.com/profile_banners/885513434569355265/1499969529</v>
      </c>
      <c r="AQ12" s="80" t="b">
        <v>0</v>
      </c>
      <c r="AR12" s="80" t="b">
        <v>0</v>
      </c>
      <c r="AS12" s="80" t="b">
        <v>0</v>
      </c>
      <c r="AT12" s="80"/>
      <c r="AU12" s="80">
        <v>69</v>
      </c>
      <c r="AV12" s="85" t="str">
        <f>HYPERLINK("http://abs.twimg.com/images/themes/theme1/bg.png")</f>
        <v>http://abs.twimg.com/images/themes/theme1/bg.png</v>
      </c>
      <c r="AW12" s="80" t="b">
        <v>0</v>
      </c>
      <c r="AX12" s="80" t="s">
        <v>2002</v>
      </c>
      <c r="AY12" s="85" t="str">
        <f>HYPERLINK("https://twitter.com/taieb_bot")</f>
        <v>https://twitter.com/taieb_bot</v>
      </c>
      <c r="AZ12" s="80" t="s">
        <v>66</v>
      </c>
      <c r="BA12" s="80" t="str">
        <f>REPLACE(INDEX(GroupVertices[Group],MATCH(Vertices[[#This Row],[Vertex]],GroupVertices[Vertex],0)),1,1,"")</f>
        <v>6</v>
      </c>
      <c r="BB12" s="48">
        <v>2</v>
      </c>
      <c r="BC12" s="49">
        <v>5.714285714285714</v>
      </c>
      <c r="BD12" s="48">
        <v>0</v>
      </c>
      <c r="BE12" s="49">
        <v>0</v>
      </c>
      <c r="BF12" s="48">
        <v>0</v>
      </c>
      <c r="BG12" s="49">
        <v>0</v>
      </c>
      <c r="BH12" s="48">
        <v>33</v>
      </c>
      <c r="BI12" s="49">
        <v>94.28571428571429</v>
      </c>
      <c r="BJ12" s="48">
        <v>35</v>
      </c>
      <c r="BK12" s="48"/>
      <c r="BL12" s="48"/>
      <c r="BM12" s="48"/>
      <c r="BN12" s="48"/>
      <c r="BO12" s="48" t="s">
        <v>693</v>
      </c>
      <c r="BP12" s="48" t="s">
        <v>693</v>
      </c>
      <c r="BQ12" s="125" t="s">
        <v>2865</v>
      </c>
      <c r="BR12" s="125" t="s">
        <v>2865</v>
      </c>
      <c r="BS12" s="125" t="s">
        <v>2980</v>
      </c>
      <c r="BT12" s="125" t="s">
        <v>2980</v>
      </c>
      <c r="BU12" s="2"/>
      <c r="BV12" s="3"/>
      <c r="BW12" s="3"/>
      <c r="BX12" s="3"/>
      <c r="BY12" s="3"/>
    </row>
    <row r="13" spans="1:77" ht="15">
      <c r="A13" s="66" t="s">
        <v>371</v>
      </c>
      <c r="B13" s="67"/>
      <c r="C13" s="67"/>
      <c r="D13" s="68">
        <v>100</v>
      </c>
      <c r="E13" s="70"/>
      <c r="F13" s="104" t="str">
        <f>HYPERLINK("http://pbs.twimg.com/profile_images/1200295317385564161/97PctBj3_normal.jpg")</f>
        <v>http://pbs.twimg.com/profile_images/1200295317385564161/97PctBj3_normal.jpg</v>
      </c>
      <c r="G13" s="67"/>
      <c r="H13" s="71" t="s">
        <v>371</v>
      </c>
      <c r="I13" s="72"/>
      <c r="J13" s="72"/>
      <c r="K13" s="71" t="s">
        <v>2012</v>
      </c>
      <c r="L13" s="75">
        <v>1</v>
      </c>
      <c r="M13" s="76">
        <v>4012.337646484375</v>
      </c>
      <c r="N13" s="76">
        <v>1349.5286865234375</v>
      </c>
      <c r="O13" s="77"/>
      <c r="P13" s="78"/>
      <c r="Q13" s="78"/>
      <c r="R13" s="90"/>
      <c r="S13" s="48">
        <v>0</v>
      </c>
      <c r="T13" s="48">
        <v>1</v>
      </c>
      <c r="U13" s="49">
        <v>0</v>
      </c>
      <c r="V13" s="49">
        <v>0.066667</v>
      </c>
      <c r="W13" s="49">
        <v>0</v>
      </c>
      <c r="X13" s="49">
        <v>0.569619</v>
      </c>
      <c r="Y13" s="49">
        <v>0</v>
      </c>
      <c r="Z13" s="49">
        <v>0</v>
      </c>
      <c r="AA13" s="73">
        <v>13</v>
      </c>
      <c r="AB13" s="73"/>
      <c r="AC13" s="74"/>
      <c r="AD13" s="80" t="s">
        <v>1212</v>
      </c>
      <c r="AE13" s="88" t="s">
        <v>1431</v>
      </c>
      <c r="AF13" s="80">
        <v>228</v>
      </c>
      <c r="AG13" s="80">
        <v>281</v>
      </c>
      <c r="AH13" s="80">
        <v>4979</v>
      </c>
      <c r="AI13" s="80">
        <v>315</v>
      </c>
      <c r="AJ13" s="80"/>
      <c r="AK13" s="80" t="s">
        <v>1653</v>
      </c>
      <c r="AL13" s="80" t="s">
        <v>1862</v>
      </c>
      <c r="AM13" s="85" t="str">
        <f>HYPERLINK("https://t.co/42fwhS6kdT")</f>
        <v>https://t.co/42fwhS6kdT</v>
      </c>
      <c r="AN13" s="80"/>
      <c r="AO13" s="82">
        <v>39876.417719907404</v>
      </c>
      <c r="AP13" s="85" t="str">
        <f>HYPERLINK("https://pbs.twimg.com/profile_banners/22753886/1575007680")</f>
        <v>https://pbs.twimg.com/profile_banners/22753886/1575007680</v>
      </c>
      <c r="AQ13" s="80" t="b">
        <v>1</v>
      </c>
      <c r="AR13" s="80" t="b">
        <v>0</v>
      </c>
      <c r="AS13" s="80" t="b">
        <v>0</v>
      </c>
      <c r="AT13" s="80"/>
      <c r="AU13" s="80">
        <v>22</v>
      </c>
      <c r="AV13" s="85" t="str">
        <f>HYPERLINK("http://abs.twimg.com/images/themes/theme1/bg.png")</f>
        <v>http://abs.twimg.com/images/themes/theme1/bg.png</v>
      </c>
      <c r="AW13" s="80" t="b">
        <v>0</v>
      </c>
      <c r="AX13" s="80" t="s">
        <v>2002</v>
      </c>
      <c r="AY13" s="85" t="str">
        <f>HYPERLINK("https://twitter.com/dashboarddr")</f>
        <v>https://twitter.com/dashboarddr</v>
      </c>
      <c r="AZ13" s="80" t="s">
        <v>66</v>
      </c>
      <c r="BA13" s="80" t="str">
        <f>REPLACE(INDEX(GroupVertices[Group],MATCH(Vertices[[#This Row],[Vertex]],GroupVertices[Vertex],0)),1,1,"")</f>
        <v>6</v>
      </c>
      <c r="BB13" s="48">
        <v>2</v>
      </c>
      <c r="BC13" s="49">
        <v>5.714285714285714</v>
      </c>
      <c r="BD13" s="48">
        <v>0</v>
      </c>
      <c r="BE13" s="49">
        <v>0</v>
      </c>
      <c r="BF13" s="48">
        <v>0</v>
      </c>
      <c r="BG13" s="49">
        <v>0</v>
      </c>
      <c r="BH13" s="48">
        <v>33</v>
      </c>
      <c r="BI13" s="49">
        <v>94.28571428571429</v>
      </c>
      <c r="BJ13" s="48">
        <v>35</v>
      </c>
      <c r="BK13" s="48"/>
      <c r="BL13" s="48"/>
      <c r="BM13" s="48"/>
      <c r="BN13" s="48"/>
      <c r="BO13" s="48" t="s">
        <v>693</v>
      </c>
      <c r="BP13" s="48" t="s">
        <v>693</v>
      </c>
      <c r="BQ13" s="125" t="s">
        <v>2865</v>
      </c>
      <c r="BR13" s="125" t="s">
        <v>2865</v>
      </c>
      <c r="BS13" s="125" t="s">
        <v>2980</v>
      </c>
      <c r="BT13" s="125" t="s">
        <v>2980</v>
      </c>
      <c r="BU13" s="2"/>
      <c r="BV13" s="3"/>
      <c r="BW13" s="3"/>
      <c r="BX13" s="3"/>
      <c r="BY13" s="3"/>
    </row>
    <row r="14" spans="1:77" ht="15">
      <c r="A14" s="66" t="s">
        <v>372</v>
      </c>
      <c r="B14" s="67"/>
      <c r="C14" s="67"/>
      <c r="D14" s="68">
        <v>100</v>
      </c>
      <c r="E14" s="70"/>
      <c r="F14" s="104" t="str">
        <f>HYPERLINK("http://pbs.twimg.com/profile_images/1136324548435927041/lEiM18Gx_normal.png")</f>
        <v>http://pbs.twimg.com/profile_images/1136324548435927041/lEiM18Gx_normal.png</v>
      </c>
      <c r="G14" s="67"/>
      <c r="H14" s="71" t="s">
        <v>372</v>
      </c>
      <c r="I14" s="72"/>
      <c r="J14" s="72"/>
      <c r="K14" s="71" t="s">
        <v>2013</v>
      </c>
      <c r="L14" s="75">
        <v>1</v>
      </c>
      <c r="M14" s="76">
        <v>8130.82177734375</v>
      </c>
      <c r="N14" s="76">
        <v>5353.5107421875</v>
      </c>
      <c r="O14" s="77"/>
      <c r="P14" s="78"/>
      <c r="Q14" s="78"/>
      <c r="R14" s="90"/>
      <c r="S14" s="48">
        <v>1</v>
      </c>
      <c r="T14" s="48">
        <v>1</v>
      </c>
      <c r="U14" s="49">
        <v>0</v>
      </c>
      <c r="V14" s="49">
        <v>0</v>
      </c>
      <c r="W14" s="49">
        <v>0</v>
      </c>
      <c r="X14" s="49">
        <v>0.999998</v>
      </c>
      <c r="Y14" s="49">
        <v>0</v>
      </c>
      <c r="Z14" s="49">
        <v>0</v>
      </c>
      <c r="AA14" s="73">
        <v>14</v>
      </c>
      <c r="AB14" s="73"/>
      <c r="AC14" s="74"/>
      <c r="AD14" s="80" t="s">
        <v>1213</v>
      </c>
      <c r="AE14" s="88" t="s">
        <v>1432</v>
      </c>
      <c r="AF14" s="80">
        <v>3355</v>
      </c>
      <c r="AG14" s="80">
        <v>1630</v>
      </c>
      <c r="AH14" s="80">
        <v>9161</v>
      </c>
      <c r="AI14" s="80">
        <v>7620</v>
      </c>
      <c r="AJ14" s="80"/>
      <c r="AK14" s="80" t="s">
        <v>1654</v>
      </c>
      <c r="AL14" s="80"/>
      <c r="AM14" s="85" t="str">
        <f>HYPERLINK("https://t.co/ldZYCvg7qD")</f>
        <v>https://t.co/ldZYCvg7qD</v>
      </c>
      <c r="AN14" s="80"/>
      <c r="AO14" s="82">
        <v>42654.478055555555</v>
      </c>
      <c r="AP14" s="85" t="str">
        <f>HYPERLINK("https://pbs.twimg.com/profile_banners/785804236655251457/1574088291")</f>
        <v>https://pbs.twimg.com/profile_banners/785804236655251457/1574088291</v>
      </c>
      <c r="AQ14" s="80" t="b">
        <v>0</v>
      </c>
      <c r="AR14" s="80" t="b">
        <v>0</v>
      </c>
      <c r="AS14" s="80" t="b">
        <v>1</v>
      </c>
      <c r="AT14" s="80"/>
      <c r="AU14" s="80">
        <v>50</v>
      </c>
      <c r="AV14" s="85" t="str">
        <f>HYPERLINK("http://abs.twimg.com/images/themes/theme1/bg.png")</f>
        <v>http://abs.twimg.com/images/themes/theme1/bg.png</v>
      </c>
      <c r="AW14" s="80" t="b">
        <v>1</v>
      </c>
      <c r="AX14" s="80" t="s">
        <v>2002</v>
      </c>
      <c r="AY14" s="85" t="str">
        <f>HYPERLINK("https://twitter.com/gijnru")</f>
        <v>https://twitter.com/gijnru</v>
      </c>
      <c r="AZ14" s="80" t="s">
        <v>66</v>
      </c>
      <c r="BA14" s="80" t="str">
        <f>REPLACE(INDEX(GroupVertices[Group],MATCH(Vertices[[#This Row],[Vertex]],GroupVertices[Vertex],0)),1,1,"")</f>
        <v>8</v>
      </c>
      <c r="BB14" s="48">
        <v>0</v>
      </c>
      <c r="BC14" s="49">
        <v>0</v>
      </c>
      <c r="BD14" s="48">
        <v>0</v>
      </c>
      <c r="BE14" s="49">
        <v>0</v>
      </c>
      <c r="BF14" s="48">
        <v>0</v>
      </c>
      <c r="BG14" s="49">
        <v>0</v>
      </c>
      <c r="BH14" s="48">
        <v>25</v>
      </c>
      <c r="BI14" s="49">
        <v>100</v>
      </c>
      <c r="BJ14" s="48">
        <v>25</v>
      </c>
      <c r="BK14" s="48" t="s">
        <v>2765</v>
      </c>
      <c r="BL14" s="48" t="s">
        <v>2765</v>
      </c>
      <c r="BM14" s="48" t="s">
        <v>675</v>
      </c>
      <c r="BN14" s="48" t="s">
        <v>675</v>
      </c>
      <c r="BO14" s="48" t="s">
        <v>695</v>
      </c>
      <c r="BP14" s="48" t="s">
        <v>695</v>
      </c>
      <c r="BQ14" s="125" t="s">
        <v>3084</v>
      </c>
      <c r="BR14" s="125" t="s">
        <v>3084</v>
      </c>
      <c r="BS14" s="125" t="s">
        <v>3115</v>
      </c>
      <c r="BT14" s="125" t="s">
        <v>3115</v>
      </c>
      <c r="BU14" s="2"/>
      <c r="BV14" s="3"/>
      <c r="BW14" s="3"/>
      <c r="BX14" s="3"/>
      <c r="BY14" s="3"/>
    </row>
    <row r="15" spans="1:77" ht="15">
      <c r="A15" s="66" t="s">
        <v>373</v>
      </c>
      <c r="B15" s="67"/>
      <c r="C15" s="67"/>
      <c r="D15" s="68">
        <v>105.26315789473685</v>
      </c>
      <c r="E15" s="70"/>
      <c r="F15" s="104" t="str">
        <f>HYPERLINK("http://pbs.twimg.com/profile_images/378800000640777086/92cded97f125830eb29dc1f136797d88_normal.png")</f>
        <v>http://pbs.twimg.com/profile_images/378800000640777086/92cded97f125830eb29dc1f136797d88_normal.png</v>
      </c>
      <c r="G15" s="67"/>
      <c r="H15" s="71" t="s">
        <v>373</v>
      </c>
      <c r="I15" s="72"/>
      <c r="J15" s="72"/>
      <c r="K15" s="71" t="s">
        <v>2014</v>
      </c>
      <c r="L15" s="75">
        <v>5.669780476412891</v>
      </c>
      <c r="M15" s="76">
        <v>8682.783203125</v>
      </c>
      <c r="N15" s="76">
        <v>3413.573974609375</v>
      </c>
      <c r="O15" s="77"/>
      <c r="P15" s="78"/>
      <c r="Q15" s="78"/>
      <c r="R15" s="90"/>
      <c r="S15" s="48">
        <v>1</v>
      </c>
      <c r="T15" s="48">
        <v>2</v>
      </c>
      <c r="U15" s="49">
        <v>1</v>
      </c>
      <c r="V15" s="49">
        <v>0.333333</v>
      </c>
      <c r="W15" s="49">
        <v>0</v>
      </c>
      <c r="X15" s="49">
        <v>1.180848</v>
      </c>
      <c r="Y15" s="49">
        <v>0.3333333333333333</v>
      </c>
      <c r="Z15" s="49">
        <v>0</v>
      </c>
      <c r="AA15" s="73">
        <v>15</v>
      </c>
      <c r="AB15" s="73"/>
      <c r="AC15" s="74"/>
      <c r="AD15" s="80" t="s">
        <v>1214</v>
      </c>
      <c r="AE15" s="88" t="s">
        <v>1433</v>
      </c>
      <c r="AF15" s="80">
        <v>2284</v>
      </c>
      <c r="AG15" s="80">
        <v>2895</v>
      </c>
      <c r="AH15" s="80">
        <v>3151</v>
      </c>
      <c r="AI15" s="80">
        <v>7788</v>
      </c>
      <c r="AJ15" s="80"/>
      <c r="AK15" s="80" t="s">
        <v>1655</v>
      </c>
      <c r="AL15" s="80" t="s">
        <v>1863</v>
      </c>
      <c r="AM15" s="85" t="str">
        <f>HYPERLINK("https://t.co/BusDDGSXXl")</f>
        <v>https://t.co/BusDDGSXXl</v>
      </c>
      <c r="AN15" s="80"/>
      <c r="AO15" s="82">
        <v>41413.282847222225</v>
      </c>
      <c r="AP15" s="85" t="str">
        <f>HYPERLINK("https://pbs.twimg.com/profile_banners/1440391434/1438243494")</f>
        <v>https://pbs.twimg.com/profile_banners/1440391434/1438243494</v>
      </c>
      <c r="AQ15" s="80" t="b">
        <v>1</v>
      </c>
      <c r="AR15" s="80" t="b">
        <v>0</v>
      </c>
      <c r="AS15" s="80" t="b">
        <v>1</v>
      </c>
      <c r="AT15" s="80"/>
      <c r="AU15" s="80">
        <v>127</v>
      </c>
      <c r="AV15" s="85" t="str">
        <f>HYPERLINK("http://abs.twimg.com/images/themes/theme1/bg.png")</f>
        <v>http://abs.twimg.com/images/themes/theme1/bg.png</v>
      </c>
      <c r="AW15" s="80" t="b">
        <v>0</v>
      </c>
      <c r="AX15" s="80" t="s">
        <v>2002</v>
      </c>
      <c r="AY15" s="85" t="str">
        <f>HYPERLINK("https://twitter.com/oxciej")</f>
        <v>https://twitter.com/oxciej</v>
      </c>
      <c r="AZ15" s="80" t="s">
        <v>66</v>
      </c>
      <c r="BA15" s="80" t="str">
        <f>REPLACE(INDEX(GroupVertices[Group],MATCH(Vertices[[#This Row],[Vertex]],GroupVertices[Vertex],0)),1,1,"")</f>
        <v>15</v>
      </c>
      <c r="BB15" s="48">
        <v>0</v>
      </c>
      <c r="BC15" s="49">
        <v>0</v>
      </c>
      <c r="BD15" s="48">
        <v>1</v>
      </c>
      <c r="BE15" s="49">
        <v>4.761904761904762</v>
      </c>
      <c r="BF15" s="48">
        <v>0</v>
      </c>
      <c r="BG15" s="49">
        <v>0</v>
      </c>
      <c r="BH15" s="48">
        <v>20</v>
      </c>
      <c r="BI15" s="49">
        <v>95.23809523809524</v>
      </c>
      <c r="BJ15" s="48">
        <v>21</v>
      </c>
      <c r="BK15" s="48" t="s">
        <v>2784</v>
      </c>
      <c r="BL15" s="48" t="s">
        <v>2784</v>
      </c>
      <c r="BM15" s="48" t="s">
        <v>676</v>
      </c>
      <c r="BN15" s="48" t="s">
        <v>676</v>
      </c>
      <c r="BO15" s="48" t="s">
        <v>696</v>
      </c>
      <c r="BP15" s="48" t="s">
        <v>696</v>
      </c>
      <c r="BQ15" s="125" t="s">
        <v>2874</v>
      </c>
      <c r="BR15" s="125" t="s">
        <v>2874</v>
      </c>
      <c r="BS15" s="125" t="s">
        <v>2989</v>
      </c>
      <c r="BT15" s="125" t="s">
        <v>2989</v>
      </c>
      <c r="BU15" s="2"/>
      <c r="BV15" s="3"/>
      <c r="BW15" s="3"/>
      <c r="BX15" s="3"/>
      <c r="BY15" s="3"/>
    </row>
    <row r="16" spans="1:77" ht="15">
      <c r="A16" s="66" t="s">
        <v>519</v>
      </c>
      <c r="B16" s="67"/>
      <c r="C16" s="67"/>
      <c r="D16" s="68">
        <v>100</v>
      </c>
      <c r="E16" s="70"/>
      <c r="F16" s="104" t="str">
        <f>HYPERLINK("http://pbs.twimg.com/profile_images/976114384295677952/Gj3mFEPg_normal.jpg")</f>
        <v>http://pbs.twimg.com/profile_images/976114384295677952/Gj3mFEPg_normal.jpg</v>
      </c>
      <c r="G16" s="67"/>
      <c r="H16" s="71" t="s">
        <v>519</v>
      </c>
      <c r="I16" s="72"/>
      <c r="J16" s="72"/>
      <c r="K16" s="71" t="s">
        <v>2015</v>
      </c>
      <c r="L16" s="75">
        <v>1</v>
      </c>
      <c r="M16" s="76">
        <v>8808.9833984375</v>
      </c>
      <c r="N16" s="76">
        <v>4132.53466796875</v>
      </c>
      <c r="O16" s="77"/>
      <c r="P16" s="78"/>
      <c r="Q16" s="78"/>
      <c r="R16" s="90"/>
      <c r="S16" s="48">
        <v>2</v>
      </c>
      <c r="T16" s="48">
        <v>0</v>
      </c>
      <c r="U16" s="49">
        <v>0</v>
      </c>
      <c r="V16" s="49">
        <v>0.25</v>
      </c>
      <c r="W16" s="49">
        <v>0</v>
      </c>
      <c r="X16" s="49">
        <v>0.819147</v>
      </c>
      <c r="Y16" s="49">
        <v>0.5</v>
      </c>
      <c r="Z16" s="49">
        <v>0</v>
      </c>
      <c r="AA16" s="73">
        <v>16</v>
      </c>
      <c r="AB16" s="73"/>
      <c r="AC16" s="74"/>
      <c r="AD16" s="80" t="s">
        <v>1215</v>
      </c>
      <c r="AE16" s="88" t="s">
        <v>1434</v>
      </c>
      <c r="AF16" s="80">
        <v>300</v>
      </c>
      <c r="AG16" s="80">
        <v>62</v>
      </c>
      <c r="AH16" s="80">
        <v>297</v>
      </c>
      <c r="AI16" s="80">
        <v>685</v>
      </c>
      <c r="AJ16" s="80"/>
      <c r="AK16" s="80" t="s">
        <v>1656</v>
      </c>
      <c r="AL16" s="80" t="s">
        <v>1864</v>
      </c>
      <c r="AM16" s="85" t="str">
        <f>HYPERLINK("https://t.co/BP58aJsMWG")</f>
        <v>https://t.co/BP58aJsMWG</v>
      </c>
      <c r="AN16" s="80"/>
      <c r="AO16" s="82">
        <v>43134.72704861111</v>
      </c>
      <c r="AP16" s="85" t="str">
        <f>HYPERLINK("https://pbs.twimg.com/profile_banners/959840646151491584/1554193338")</f>
        <v>https://pbs.twimg.com/profile_banners/959840646151491584/1554193338</v>
      </c>
      <c r="AQ16" s="80" t="b">
        <v>1</v>
      </c>
      <c r="AR16" s="80" t="b">
        <v>0</v>
      </c>
      <c r="AS16" s="80" t="b">
        <v>1</v>
      </c>
      <c r="AT16" s="80"/>
      <c r="AU16" s="80">
        <v>1</v>
      </c>
      <c r="AV16" s="80"/>
      <c r="AW16" s="80" t="b">
        <v>0</v>
      </c>
      <c r="AX16" s="80" t="s">
        <v>2002</v>
      </c>
      <c r="AY16" s="85" t="str">
        <f>HYPERLINK("https://twitter.com/daea_marius")</f>
        <v>https://twitter.com/daea_marius</v>
      </c>
      <c r="AZ16" s="80" t="s">
        <v>65</v>
      </c>
      <c r="BA16" s="80" t="str">
        <f>REPLACE(INDEX(GroupVertices[Group],MATCH(Vertices[[#This Row],[Vertex]],GroupVertices[Vertex],0)),1,1,"")</f>
        <v>15</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6" t="s">
        <v>374</v>
      </c>
      <c r="B17" s="67"/>
      <c r="C17" s="67"/>
      <c r="D17" s="68">
        <v>105.26315789473685</v>
      </c>
      <c r="E17" s="70"/>
      <c r="F17" s="104" t="str">
        <f>HYPERLINK("http://pbs.twimg.com/profile_images/479237208067424256/icLNQWf8_normal.png")</f>
        <v>http://pbs.twimg.com/profile_images/479237208067424256/icLNQWf8_normal.png</v>
      </c>
      <c r="G17" s="67"/>
      <c r="H17" s="71" t="s">
        <v>374</v>
      </c>
      <c r="I17" s="72"/>
      <c r="J17" s="72"/>
      <c r="K17" s="71" t="s">
        <v>2016</v>
      </c>
      <c r="L17" s="75">
        <v>5.669780476412891</v>
      </c>
      <c r="M17" s="76">
        <v>9883.671875</v>
      </c>
      <c r="N17" s="76">
        <v>3666.642822265625</v>
      </c>
      <c r="O17" s="77"/>
      <c r="P17" s="78"/>
      <c r="Q17" s="78"/>
      <c r="R17" s="90"/>
      <c r="S17" s="48">
        <v>0</v>
      </c>
      <c r="T17" s="48">
        <v>3</v>
      </c>
      <c r="U17" s="49">
        <v>1</v>
      </c>
      <c r="V17" s="49">
        <v>0.333333</v>
      </c>
      <c r="W17" s="49">
        <v>0</v>
      </c>
      <c r="X17" s="49">
        <v>1.180848</v>
      </c>
      <c r="Y17" s="49">
        <v>0.3333333333333333</v>
      </c>
      <c r="Z17" s="49">
        <v>0</v>
      </c>
      <c r="AA17" s="73">
        <v>17</v>
      </c>
      <c r="AB17" s="73"/>
      <c r="AC17" s="74"/>
      <c r="AD17" s="80" t="s">
        <v>1216</v>
      </c>
      <c r="AE17" s="88" t="s">
        <v>1435</v>
      </c>
      <c r="AF17" s="80">
        <v>1897</v>
      </c>
      <c r="AG17" s="80">
        <v>1155</v>
      </c>
      <c r="AH17" s="80">
        <v>2675</v>
      </c>
      <c r="AI17" s="80">
        <v>2018</v>
      </c>
      <c r="AJ17" s="80"/>
      <c r="AK17" s="80" t="s">
        <v>1657</v>
      </c>
      <c r="AL17" s="80" t="s">
        <v>1865</v>
      </c>
      <c r="AM17" s="85" t="str">
        <f>HYPERLINK("https://t.co/FIVuGEYVGi")</f>
        <v>https://t.co/FIVuGEYVGi</v>
      </c>
      <c r="AN17" s="80"/>
      <c r="AO17" s="82">
        <v>41808.50331018519</v>
      </c>
      <c r="AP17" s="85" t="str">
        <f>HYPERLINK("https://pbs.twimg.com/profile_banners/2574699918/1573565975")</f>
        <v>https://pbs.twimg.com/profile_banners/2574699918/1573565975</v>
      </c>
      <c r="AQ17" s="80" t="b">
        <v>0</v>
      </c>
      <c r="AR17" s="80" t="b">
        <v>0</v>
      </c>
      <c r="AS17" s="80" t="b">
        <v>1</v>
      </c>
      <c r="AT17" s="80"/>
      <c r="AU17" s="80">
        <v>27</v>
      </c>
      <c r="AV17" s="85" t="str">
        <f>HYPERLINK("http://abs.twimg.com/images/themes/theme3/bg.gif")</f>
        <v>http://abs.twimg.com/images/themes/theme3/bg.gif</v>
      </c>
      <c r="AW17" s="80" t="b">
        <v>0</v>
      </c>
      <c r="AX17" s="80" t="s">
        <v>2002</v>
      </c>
      <c r="AY17" s="85" t="str">
        <f>HYPERLINK("https://twitter.com/emibarbiroglio")</f>
        <v>https://twitter.com/emibarbiroglio</v>
      </c>
      <c r="AZ17" s="80" t="s">
        <v>66</v>
      </c>
      <c r="BA17" s="80" t="str">
        <f>REPLACE(INDEX(GroupVertices[Group],MATCH(Vertices[[#This Row],[Vertex]],GroupVertices[Vertex],0)),1,1,"")</f>
        <v>15</v>
      </c>
      <c r="BB17" s="48">
        <v>0</v>
      </c>
      <c r="BC17" s="49">
        <v>0</v>
      </c>
      <c r="BD17" s="48">
        <v>1</v>
      </c>
      <c r="BE17" s="49">
        <v>4.761904761904762</v>
      </c>
      <c r="BF17" s="48">
        <v>0</v>
      </c>
      <c r="BG17" s="49">
        <v>0</v>
      </c>
      <c r="BH17" s="48">
        <v>20</v>
      </c>
      <c r="BI17" s="49">
        <v>95.23809523809524</v>
      </c>
      <c r="BJ17" s="48">
        <v>21</v>
      </c>
      <c r="BK17" s="48"/>
      <c r="BL17" s="48"/>
      <c r="BM17" s="48"/>
      <c r="BN17" s="48"/>
      <c r="BO17" s="48" t="s">
        <v>697</v>
      </c>
      <c r="BP17" s="48" t="s">
        <v>697</v>
      </c>
      <c r="BQ17" s="125" t="s">
        <v>2874</v>
      </c>
      <c r="BR17" s="125" t="s">
        <v>2874</v>
      </c>
      <c r="BS17" s="125" t="s">
        <v>2989</v>
      </c>
      <c r="BT17" s="125" t="s">
        <v>2989</v>
      </c>
      <c r="BU17" s="2"/>
      <c r="BV17" s="3"/>
      <c r="BW17" s="3"/>
      <c r="BX17" s="3"/>
      <c r="BY17" s="3"/>
    </row>
    <row r="18" spans="1:77" ht="15">
      <c r="A18" s="66" t="s">
        <v>520</v>
      </c>
      <c r="B18" s="67"/>
      <c r="C18" s="67"/>
      <c r="D18" s="68">
        <v>100</v>
      </c>
      <c r="E18" s="70"/>
      <c r="F18" s="104" t="str">
        <f>HYPERLINK("http://pbs.twimg.com/profile_images/741603495929905152/di0NxkFa_normal.jpg")</f>
        <v>http://pbs.twimg.com/profile_images/741603495929905152/di0NxkFa_normal.jpg</v>
      </c>
      <c r="G18" s="67"/>
      <c r="H18" s="71" t="s">
        <v>520</v>
      </c>
      <c r="I18" s="72"/>
      <c r="J18" s="72"/>
      <c r="K18" s="71" t="s">
        <v>2017</v>
      </c>
      <c r="L18" s="75">
        <v>1</v>
      </c>
      <c r="M18" s="76">
        <v>9766.654296875</v>
      </c>
      <c r="N18" s="76">
        <v>2947.68212890625</v>
      </c>
      <c r="O18" s="77"/>
      <c r="P18" s="78"/>
      <c r="Q18" s="78"/>
      <c r="R18" s="90"/>
      <c r="S18" s="48">
        <v>2</v>
      </c>
      <c r="T18" s="48">
        <v>0</v>
      </c>
      <c r="U18" s="49">
        <v>0</v>
      </c>
      <c r="V18" s="49">
        <v>0.25</v>
      </c>
      <c r="W18" s="49">
        <v>0</v>
      </c>
      <c r="X18" s="49">
        <v>0.819147</v>
      </c>
      <c r="Y18" s="49">
        <v>0.5</v>
      </c>
      <c r="Z18" s="49">
        <v>0</v>
      </c>
      <c r="AA18" s="73">
        <v>18</v>
      </c>
      <c r="AB18" s="73"/>
      <c r="AC18" s="74"/>
      <c r="AD18" s="80" t="s">
        <v>1217</v>
      </c>
      <c r="AE18" s="88" t="s">
        <v>1436</v>
      </c>
      <c r="AF18" s="80">
        <v>520</v>
      </c>
      <c r="AG18" s="80">
        <v>3446494</v>
      </c>
      <c r="AH18" s="80">
        <v>240288</v>
      </c>
      <c r="AI18" s="80">
        <v>2668</v>
      </c>
      <c r="AJ18" s="80"/>
      <c r="AK18" s="80" t="s">
        <v>1658</v>
      </c>
      <c r="AL18" s="80" t="s">
        <v>1866</v>
      </c>
      <c r="AM18" s="85" t="str">
        <f>HYPERLINK("https://t.co/92gD7evE72")</f>
        <v>https://t.co/92gD7evE72</v>
      </c>
      <c r="AN18" s="80"/>
      <c r="AO18" s="82">
        <v>39170.827210648145</v>
      </c>
      <c r="AP18" s="85" t="str">
        <f>HYPERLINK("https://pbs.twimg.com/profile_banners/2884771/1554409697")</f>
        <v>https://pbs.twimg.com/profile_banners/2884771/1554409697</v>
      </c>
      <c r="AQ18" s="80" t="b">
        <v>0</v>
      </c>
      <c r="AR18" s="80" t="b">
        <v>0</v>
      </c>
      <c r="AS18" s="80" t="b">
        <v>1</v>
      </c>
      <c r="AT18" s="80"/>
      <c r="AU18" s="80">
        <v>36568</v>
      </c>
      <c r="AV18" s="85" t="str">
        <f>HYPERLINK("http://abs.twimg.com/images/themes/theme1/bg.png")</f>
        <v>http://abs.twimg.com/images/themes/theme1/bg.png</v>
      </c>
      <c r="AW18" s="80" t="b">
        <v>1</v>
      </c>
      <c r="AX18" s="80" t="s">
        <v>2002</v>
      </c>
      <c r="AY18" s="85" t="str">
        <f>HYPERLINK("https://twitter.com/newsweek")</f>
        <v>https://twitter.com/newsweek</v>
      </c>
      <c r="AZ18" s="80" t="s">
        <v>65</v>
      </c>
      <c r="BA18" s="80" t="str">
        <f>REPLACE(INDEX(GroupVertices[Group],MATCH(Vertices[[#This Row],[Vertex]],GroupVertices[Vertex],0)),1,1,"")</f>
        <v>15</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6" t="s">
        <v>375</v>
      </c>
      <c r="B19" s="67"/>
      <c r="C19" s="67"/>
      <c r="D19" s="68">
        <v>100</v>
      </c>
      <c r="E19" s="70"/>
      <c r="F19" s="104" t="str">
        <f>HYPERLINK("http://pbs.twimg.com/profile_images/1273030706629881856/EuOF5hHx_normal.png")</f>
        <v>http://pbs.twimg.com/profile_images/1273030706629881856/EuOF5hHx_normal.png</v>
      </c>
      <c r="G19" s="67"/>
      <c r="H19" s="71" t="s">
        <v>375</v>
      </c>
      <c r="I19" s="72"/>
      <c r="J19" s="72"/>
      <c r="K19" s="71" t="s">
        <v>2018</v>
      </c>
      <c r="L19" s="75">
        <v>1</v>
      </c>
      <c r="M19" s="76">
        <v>9686.1953125</v>
      </c>
      <c r="N19" s="76">
        <v>4277.02880859375</v>
      </c>
      <c r="O19" s="77"/>
      <c r="P19" s="78"/>
      <c r="Q19" s="78"/>
      <c r="R19" s="90"/>
      <c r="S19" s="48">
        <v>0</v>
      </c>
      <c r="T19" s="48">
        <v>1</v>
      </c>
      <c r="U19" s="49">
        <v>0</v>
      </c>
      <c r="V19" s="49">
        <v>0.111111</v>
      </c>
      <c r="W19" s="49">
        <v>0</v>
      </c>
      <c r="X19" s="49">
        <v>0.585365</v>
      </c>
      <c r="Y19" s="49">
        <v>0</v>
      </c>
      <c r="Z19" s="49">
        <v>0</v>
      </c>
      <c r="AA19" s="73">
        <v>19</v>
      </c>
      <c r="AB19" s="73"/>
      <c r="AC19" s="74"/>
      <c r="AD19" s="80" t="s">
        <v>1218</v>
      </c>
      <c r="AE19" s="88" t="s">
        <v>1437</v>
      </c>
      <c r="AF19" s="80">
        <v>129</v>
      </c>
      <c r="AG19" s="80">
        <v>28</v>
      </c>
      <c r="AH19" s="80">
        <v>27</v>
      </c>
      <c r="AI19" s="80">
        <v>55</v>
      </c>
      <c r="AJ19" s="80"/>
      <c r="AK19" s="80" t="s">
        <v>1659</v>
      </c>
      <c r="AL19" s="80" t="s">
        <v>1867</v>
      </c>
      <c r="AM19" s="85" t="str">
        <f>HYPERLINK("https://t.co/0TZPcoSG5K")</f>
        <v>https://t.co/0TZPcoSG5K</v>
      </c>
      <c r="AN19" s="80"/>
      <c r="AO19" s="82">
        <v>43717.885879629626</v>
      </c>
      <c r="AP19" s="85" t="str">
        <f>HYPERLINK("https://pbs.twimg.com/profile_banners/1171170280217239552/1592349148")</f>
        <v>https://pbs.twimg.com/profile_banners/1171170280217239552/1592349148</v>
      </c>
      <c r="AQ19" s="80" t="b">
        <v>1</v>
      </c>
      <c r="AR19" s="80" t="b">
        <v>0</v>
      </c>
      <c r="AS19" s="80" t="b">
        <v>0</v>
      </c>
      <c r="AT19" s="80"/>
      <c r="AU19" s="80">
        <v>1</v>
      </c>
      <c r="AV19" s="80"/>
      <c r="AW19" s="80" t="b">
        <v>0</v>
      </c>
      <c r="AX19" s="80" t="s">
        <v>2002</v>
      </c>
      <c r="AY19" s="85" t="str">
        <f>HYPERLINK("https://twitter.com/masteruah")</f>
        <v>https://twitter.com/masteruah</v>
      </c>
      <c r="AZ19" s="80" t="s">
        <v>66</v>
      </c>
      <c r="BA19" s="80" t="str">
        <f>REPLACE(INDEX(GroupVertices[Group],MATCH(Vertices[[#This Row],[Vertex]],GroupVertices[Vertex],0)),1,1,"")</f>
        <v>9</v>
      </c>
      <c r="BB19" s="48">
        <v>1</v>
      </c>
      <c r="BC19" s="49">
        <v>16.666666666666668</v>
      </c>
      <c r="BD19" s="48">
        <v>0</v>
      </c>
      <c r="BE19" s="49">
        <v>0</v>
      </c>
      <c r="BF19" s="48">
        <v>0</v>
      </c>
      <c r="BG19" s="49">
        <v>0</v>
      </c>
      <c r="BH19" s="48">
        <v>5</v>
      </c>
      <c r="BI19" s="49">
        <v>83.33333333333333</v>
      </c>
      <c r="BJ19" s="48">
        <v>6</v>
      </c>
      <c r="BK19" s="48" t="s">
        <v>2730</v>
      </c>
      <c r="BL19" s="48" t="s">
        <v>2730</v>
      </c>
      <c r="BM19" s="48" t="s">
        <v>676</v>
      </c>
      <c r="BN19" s="48" t="s">
        <v>676</v>
      </c>
      <c r="BO19" s="48" t="s">
        <v>698</v>
      </c>
      <c r="BP19" s="48" t="s">
        <v>698</v>
      </c>
      <c r="BQ19" s="125" t="s">
        <v>3083</v>
      </c>
      <c r="BR19" s="125" t="s">
        <v>3083</v>
      </c>
      <c r="BS19" s="125" t="s">
        <v>2983</v>
      </c>
      <c r="BT19" s="125" t="s">
        <v>2983</v>
      </c>
      <c r="BU19" s="2"/>
      <c r="BV19" s="3"/>
      <c r="BW19" s="3"/>
      <c r="BX19" s="3"/>
      <c r="BY19" s="3"/>
    </row>
    <row r="20" spans="1:77" ht="15">
      <c r="A20" s="66" t="s">
        <v>376</v>
      </c>
      <c r="B20" s="67"/>
      <c r="C20" s="67"/>
      <c r="D20" s="68">
        <v>105.26315789473685</v>
      </c>
      <c r="E20" s="70"/>
      <c r="F20" s="104" t="str">
        <f>HYPERLINK("http://pbs.twimg.com/profile_images/747149568920395776/ZRrsHHsO_normal.jpg")</f>
        <v>http://pbs.twimg.com/profile_images/747149568920395776/ZRrsHHsO_normal.jpg</v>
      </c>
      <c r="G20" s="67"/>
      <c r="H20" s="71" t="s">
        <v>376</v>
      </c>
      <c r="I20" s="72"/>
      <c r="J20" s="72"/>
      <c r="K20" s="71" t="s">
        <v>2019</v>
      </c>
      <c r="L20" s="75">
        <v>5.669780476412891</v>
      </c>
      <c r="M20" s="76">
        <v>5386.0771484375</v>
      </c>
      <c r="N20" s="76">
        <v>3075.51953125</v>
      </c>
      <c r="O20" s="77"/>
      <c r="P20" s="78"/>
      <c r="Q20" s="78"/>
      <c r="R20" s="90"/>
      <c r="S20" s="48">
        <v>0</v>
      </c>
      <c r="T20" s="48">
        <v>3</v>
      </c>
      <c r="U20" s="49">
        <v>1</v>
      </c>
      <c r="V20" s="49">
        <v>0.028571</v>
      </c>
      <c r="W20" s="49">
        <v>0</v>
      </c>
      <c r="X20" s="49">
        <v>0.876562</v>
      </c>
      <c r="Y20" s="49">
        <v>0.3333333333333333</v>
      </c>
      <c r="Z20" s="49">
        <v>0</v>
      </c>
      <c r="AA20" s="73">
        <v>20</v>
      </c>
      <c r="AB20" s="73"/>
      <c r="AC20" s="74"/>
      <c r="AD20" s="80" t="s">
        <v>1219</v>
      </c>
      <c r="AE20" s="88" t="s">
        <v>1438</v>
      </c>
      <c r="AF20" s="80">
        <v>448</v>
      </c>
      <c r="AG20" s="80">
        <v>617</v>
      </c>
      <c r="AH20" s="80">
        <v>27641</v>
      </c>
      <c r="AI20" s="80">
        <v>6696</v>
      </c>
      <c r="AJ20" s="80"/>
      <c r="AK20" s="80" t="s">
        <v>1660</v>
      </c>
      <c r="AL20" s="80"/>
      <c r="AM20" s="85" t="str">
        <f>HYPERLINK("http://t.co/6FOl40XE8d")</f>
        <v>http://t.co/6FOl40XE8d</v>
      </c>
      <c r="AN20" s="80"/>
      <c r="AO20" s="82">
        <v>41331.83831018519</v>
      </c>
      <c r="AP20" s="85" t="str">
        <f>HYPERLINK("https://pbs.twimg.com/profile_banners/1222841256/1448232614")</f>
        <v>https://pbs.twimg.com/profile_banners/1222841256/1448232614</v>
      </c>
      <c r="AQ20" s="80" t="b">
        <v>0</v>
      </c>
      <c r="AR20" s="80" t="b">
        <v>0</v>
      </c>
      <c r="AS20" s="80" t="b">
        <v>0</v>
      </c>
      <c r="AT20" s="80"/>
      <c r="AU20" s="80">
        <v>45</v>
      </c>
      <c r="AV20" s="85" t="str">
        <f>HYPERLINK("http://abs.twimg.com/images/themes/theme18/bg.gif")</f>
        <v>http://abs.twimg.com/images/themes/theme18/bg.gif</v>
      </c>
      <c r="AW20" s="80" t="b">
        <v>0</v>
      </c>
      <c r="AX20" s="80" t="s">
        <v>2002</v>
      </c>
      <c r="AY20" s="85" t="str">
        <f>HYPERLINK("https://twitter.com/sin_nl_org")</f>
        <v>https://twitter.com/sin_nl_org</v>
      </c>
      <c r="AZ20" s="80" t="s">
        <v>66</v>
      </c>
      <c r="BA20" s="80" t="str">
        <f>REPLACE(INDEX(GroupVertices[Group],MATCH(Vertices[[#This Row],[Vertex]],GroupVertices[Vertex],0)),1,1,"")</f>
        <v>5</v>
      </c>
      <c r="BB20" s="48">
        <v>2</v>
      </c>
      <c r="BC20" s="49">
        <v>5.405405405405405</v>
      </c>
      <c r="BD20" s="48">
        <v>0</v>
      </c>
      <c r="BE20" s="49">
        <v>0</v>
      </c>
      <c r="BF20" s="48">
        <v>0</v>
      </c>
      <c r="BG20" s="49">
        <v>0</v>
      </c>
      <c r="BH20" s="48">
        <v>35</v>
      </c>
      <c r="BI20" s="49">
        <v>94.5945945945946</v>
      </c>
      <c r="BJ20" s="48">
        <v>37</v>
      </c>
      <c r="BK20" s="48"/>
      <c r="BL20" s="48"/>
      <c r="BM20" s="48"/>
      <c r="BN20" s="48"/>
      <c r="BO20" s="48" t="s">
        <v>699</v>
      </c>
      <c r="BP20" s="48" t="s">
        <v>699</v>
      </c>
      <c r="BQ20" s="125" t="s">
        <v>3085</v>
      </c>
      <c r="BR20" s="125" t="s">
        <v>3085</v>
      </c>
      <c r="BS20" s="125" t="s">
        <v>3116</v>
      </c>
      <c r="BT20" s="125" t="s">
        <v>3116</v>
      </c>
      <c r="BU20" s="2"/>
      <c r="BV20" s="3"/>
      <c r="BW20" s="3"/>
      <c r="BX20" s="3"/>
      <c r="BY20" s="3"/>
    </row>
    <row r="21" spans="1:77" ht="15">
      <c r="A21" s="66" t="s">
        <v>521</v>
      </c>
      <c r="B21" s="67"/>
      <c r="C21" s="67"/>
      <c r="D21" s="68">
        <v>100</v>
      </c>
      <c r="E21" s="70"/>
      <c r="F21" s="104" t="str">
        <f>HYPERLINK("http://pbs.twimg.com/profile_images/1209124599318884353/As1VXKYF_normal.jpg")</f>
        <v>http://pbs.twimg.com/profile_images/1209124599318884353/As1VXKYF_normal.jpg</v>
      </c>
      <c r="G21" s="67"/>
      <c r="H21" s="71" t="s">
        <v>521</v>
      </c>
      <c r="I21" s="72"/>
      <c r="J21" s="72"/>
      <c r="K21" s="71" t="s">
        <v>2020</v>
      </c>
      <c r="L21" s="75">
        <v>1</v>
      </c>
      <c r="M21" s="76">
        <v>5432.845703125</v>
      </c>
      <c r="N21" s="76">
        <v>3737.1474609375</v>
      </c>
      <c r="O21" s="77"/>
      <c r="P21" s="78"/>
      <c r="Q21" s="78"/>
      <c r="R21" s="90"/>
      <c r="S21" s="48">
        <v>2</v>
      </c>
      <c r="T21" s="48">
        <v>0</v>
      </c>
      <c r="U21" s="49">
        <v>0</v>
      </c>
      <c r="V21" s="49">
        <v>0.027778</v>
      </c>
      <c r="W21" s="49">
        <v>0</v>
      </c>
      <c r="X21" s="49">
        <v>0.608066</v>
      </c>
      <c r="Y21" s="49">
        <v>0.5</v>
      </c>
      <c r="Z21" s="49">
        <v>0</v>
      </c>
      <c r="AA21" s="73">
        <v>21</v>
      </c>
      <c r="AB21" s="73"/>
      <c r="AC21" s="74"/>
      <c r="AD21" s="80" t="s">
        <v>521</v>
      </c>
      <c r="AE21" s="88" t="s">
        <v>1439</v>
      </c>
      <c r="AF21" s="80">
        <v>160</v>
      </c>
      <c r="AG21" s="80">
        <v>1008</v>
      </c>
      <c r="AH21" s="80">
        <v>72</v>
      </c>
      <c r="AI21" s="80">
        <v>47</v>
      </c>
      <c r="AJ21" s="80"/>
      <c r="AK21" s="80" t="s">
        <v>1661</v>
      </c>
      <c r="AL21" s="80" t="s">
        <v>1868</v>
      </c>
      <c r="AM21" s="85" t="str">
        <f>HYPERLINK("https://t.co/CAJsY1FYpl")</f>
        <v>https://t.co/CAJsY1FYpl</v>
      </c>
      <c r="AN21" s="80"/>
      <c r="AO21" s="82">
        <v>43811.647465277776</v>
      </c>
      <c r="AP21" s="85" t="str">
        <f>HYPERLINK("https://pbs.twimg.com/profile_banners/1205148348090638336/1577977300")</f>
        <v>https://pbs.twimg.com/profile_banners/1205148348090638336/1577977300</v>
      </c>
      <c r="AQ21" s="80" t="b">
        <v>1</v>
      </c>
      <c r="AR21" s="80" t="b">
        <v>0</v>
      </c>
      <c r="AS21" s="80" t="b">
        <v>0</v>
      </c>
      <c r="AT21" s="80"/>
      <c r="AU21" s="80">
        <v>25</v>
      </c>
      <c r="AV21" s="80"/>
      <c r="AW21" s="80" t="b">
        <v>0</v>
      </c>
      <c r="AX21" s="80" t="s">
        <v>2002</v>
      </c>
      <c r="AY21" s="85" t="str">
        <f>HYPERLINK("https://twitter.com/sigmaawards")</f>
        <v>https://twitter.com/sigmaawards</v>
      </c>
      <c r="AZ21" s="80" t="s">
        <v>65</v>
      </c>
      <c r="BA21" s="80" t="str">
        <f>REPLACE(INDEX(GroupVertices[Group],MATCH(Vertices[[#This Row],[Vertex]],GroupVertices[Vertex],0)),1,1,"")</f>
        <v>5</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6" t="s">
        <v>522</v>
      </c>
      <c r="B22" s="67"/>
      <c r="C22" s="67"/>
      <c r="D22" s="68">
        <v>100</v>
      </c>
      <c r="E22" s="70"/>
      <c r="F22" s="104" t="str">
        <f>HYPERLINK("http://pbs.twimg.com/profile_images/1115220952781131778/GH6PmxRY_normal.png")</f>
        <v>http://pbs.twimg.com/profile_images/1115220952781131778/GH6PmxRY_normal.png</v>
      </c>
      <c r="G22" s="67"/>
      <c r="H22" s="71" t="s">
        <v>522</v>
      </c>
      <c r="I22" s="72"/>
      <c r="J22" s="72"/>
      <c r="K22" s="71" t="s">
        <v>2021</v>
      </c>
      <c r="L22" s="75">
        <v>1</v>
      </c>
      <c r="M22" s="76">
        <v>5486.3896484375</v>
      </c>
      <c r="N22" s="76">
        <v>2488.686279296875</v>
      </c>
      <c r="O22" s="77"/>
      <c r="P22" s="78"/>
      <c r="Q22" s="78"/>
      <c r="R22" s="90"/>
      <c r="S22" s="48">
        <v>2</v>
      </c>
      <c r="T22" s="48">
        <v>0</v>
      </c>
      <c r="U22" s="49">
        <v>0</v>
      </c>
      <c r="V22" s="49">
        <v>0.027778</v>
      </c>
      <c r="W22" s="49">
        <v>0</v>
      </c>
      <c r="X22" s="49">
        <v>0.608066</v>
      </c>
      <c r="Y22" s="49">
        <v>0.5</v>
      </c>
      <c r="Z22" s="49">
        <v>0</v>
      </c>
      <c r="AA22" s="73">
        <v>22</v>
      </c>
      <c r="AB22" s="73"/>
      <c r="AC22" s="74"/>
      <c r="AD22" s="80" t="s">
        <v>1220</v>
      </c>
      <c r="AE22" s="88" t="s">
        <v>1440</v>
      </c>
      <c r="AF22" s="80">
        <v>1022</v>
      </c>
      <c r="AG22" s="80">
        <v>3937</v>
      </c>
      <c r="AH22" s="80">
        <v>1825</v>
      </c>
      <c r="AI22" s="80">
        <v>1089</v>
      </c>
      <c r="AJ22" s="80"/>
      <c r="AK22" s="80" t="s">
        <v>1662</v>
      </c>
      <c r="AL22" s="80" t="s">
        <v>1869</v>
      </c>
      <c r="AM22" s="85" t="str">
        <f>HYPERLINK("https://t.co/Y3rZTKr87b")</f>
        <v>https://t.co/Y3rZTKr87b</v>
      </c>
      <c r="AN22" s="80"/>
      <c r="AO22" s="82">
        <v>42598.62248842593</v>
      </c>
      <c r="AP22" s="85" t="str">
        <f>HYPERLINK("https://pbs.twimg.com/profile_banners/765562856867819520/1567701609")</f>
        <v>https://pbs.twimg.com/profile_banners/765562856867819520/1567701609</v>
      </c>
      <c r="AQ22" s="80" t="b">
        <v>0</v>
      </c>
      <c r="AR22" s="80" t="b">
        <v>0</v>
      </c>
      <c r="AS22" s="80" t="b">
        <v>0</v>
      </c>
      <c r="AT22" s="80"/>
      <c r="AU22" s="80">
        <v>60</v>
      </c>
      <c r="AV22" s="85" t="str">
        <f>HYPERLINK("http://abs.twimg.com/images/themes/theme1/bg.png")</f>
        <v>http://abs.twimg.com/images/themes/theme1/bg.png</v>
      </c>
      <c r="AW22" s="80" t="b">
        <v>0</v>
      </c>
      <c r="AX22" s="80" t="s">
        <v>2002</v>
      </c>
      <c r="AY22" s="85" t="str">
        <f>HYPERLINK("https://twitter.com/pointer_kroncrv")</f>
        <v>https://twitter.com/pointer_kroncrv</v>
      </c>
      <c r="AZ22" s="80" t="s">
        <v>65</v>
      </c>
      <c r="BA22" s="80" t="str">
        <f>REPLACE(INDEX(GroupVertices[Group],MATCH(Vertices[[#This Row],[Vertex]],GroupVertices[Vertex],0)),1,1,"")</f>
        <v>5</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6" t="s">
        <v>482</v>
      </c>
      <c r="B23" s="67"/>
      <c r="C23" s="67"/>
      <c r="D23" s="68">
        <v>1000</v>
      </c>
      <c r="E23" s="70"/>
      <c r="F23" s="104" t="str">
        <f>HYPERLINK("http://pbs.twimg.com/profile_images/1113363717352247297/t1ml73NX_normal.png")</f>
        <v>http://pbs.twimg.com/profile_images/1113363717352247297/t1ml73NX_normal.png</v>
      </c>
      <c r="G23" s="67"/>
      <c r="H23" s="71" t="s">
        <v>482</v>
      </c>
      <c r="I23" s="72"/>
      <c r="J23" s="72"/>
      <c r="K23" s="71" t="s">
        <v>2022</v>
      </c>
      <c r="L23" s="75">
        <v>1308.3161631191033</v>
      </c>
      <c r="M23" s="76">
        <v>4973.12890625</v>
      </c>
      <c r="N23" s="76">
        <v>4204.03466796875</v>
      </c>
      <c r="O23" s="77"/>
      <c r="P23" s="78"/>
      <c r="Q23" s="78"/>
      <c r="R23" s="90"/>
      <c r="S23" s="48">
        <v>14</v>
      </c>
      <c r="T23" s="48">
        <v>9</v>
      </c>
      <c r="U23" s="49">
        <v>279.952381</v>
      </c>
      <c r="V23" s="49">
        <v>0.052632</v>
      </c>
      <c r="W23" s="49">
        <v>0</v>
      </c>
      <c r="X23" s="49">
        <v>4.934274</v>
      </c>
      <c r="Y23" s="49">
        <v>0.05847953216374269</v>
      </c>
      <c r="Z23" s="49">
        <v>0.10526315789473684</v>
      </c>
      <c r="AA23" s="73">
        <v>23</v>
      </c>
      <c r="AB23" s="73"/>
      <c r="AC23" s="74"/>
      <c r="AD23" s="80" t="s">
        <v>1221</v>
      </c>
      <c r="AE23" s="88" t="s">
        <v>1441</v>
      </c>
      <c r="AF23" s="80">
        <v>1238</v>
      </c>
      <c r="AG23" s="80">
        <v>34849</v>
      </c>
      <c r="AH23" s="80">
        <v>4682</v>
      </c>
      <c r="AI23" s="80">
        <v>814</v>
      </c>
      <c r="AJ23" s="80"/>
      <c r="AK23" s="80" t="s">
        <v>1663</v>
      </c>
      <c r="AL23" s="80" t="s">
        <v>1870</v>
      </c>
      <c r="AM23" s="85" t="str">
        <f>HYPERLINK("https://t.co/dEUUXm6tmp")</f>
        <v>https://t.co/dEUUXm6tmp</v>
      </c>
      <c r="AN23" s="80"/>
      <c r="AO23" s="82">
        <v>40686.364594907405</v>
      </c>
      <c r="AP23" s="85" t="str">
        <f>HYPERLINK("https://pbs.twimg.com/profile_banners/303687748/1554281600")</f>
        <v>https://pbs.twimg.com/profile_banners/303687748/1554281600</v>
      </c>
      <c r="AQ23" s="80" t="b">
        <v>0</v>
      </c>
      <c r="AR23" s="80" t="b">
        <v>0</v>
      </c>
      <c r="AS23" s="80" t="b">
        <v>0</v>
      </c>
      <c r="AT23" s="80"/>
      <c r="AU23" s="80">
        <v>2286</v>
      </c>
      <c r="AV23" s="85" t="str">
        <f>HYPERLINK("http://abs.twimg.com/images/themes/theme1/bg.png")</f>
        <v>http://abs.twimg.com/images/themes/theme1/bg.png</v>
      </c>
      <c r="AW23" s="80" t="b">
        <v>0</v>
      </c>
      <c r="AX23" s="80" t="s">
        <v>2002</v>
      </c>
      <c r="AY23" s="85" t="str">
        <f>HYPERLINK("https://twitter.com/datajournalism")</f>
        <v>https://twitter.com/datajournalism</v>
      </c>
      <c r="AZ23" s="80" t="s">
        <v>66</v>
      </c>
      <c r="BA23" s="80" t="str">
        <f>REPLACE(INDEX(GroupVertices[Group],MATCH(Vertices[[#This Row],[Vertex]],GroupVertices[Vertex],0)),1,1,"")</f>
        <v>5</v>
      </c>
      <c r="BB23" s="48">
        <v>6</v>
      </c>
      <c r="BC23" s="49">
        <v>4.166666666666667</v>
      </c>
      <c r="BD23" s="48">
        <v>0</v>
      </c>
      <c r="BE23" s="49">
        <v>0</v>
      </c>
      <c r="BF23" s="48">
        <v>0</v>
      </c>
      <c r="BG23" s="49">
        <v>0</v>
      </c>
      <c r="BH23" s="48">
        <v>138</v>
      </c>
      <c r="BI23" s="49">
        <v>95.83333333333333</v>
      </c>
      <c r="BJ23" s="48">
        <v>144</v>
      </c>
      <c r="BK23" s="48" t="s">
        <v>3058</v>
      </c>
      <c r="BL23" s="48" t="s">
        <v>3058</v>
      </c>
      <c r="BM23" s="48" t="s">
        <v>2800</v>
      </c>
      <c r="BN23" s="48" t="s">
        <v>3067</v>
      </c>
      <c r="BO23" s="48" t="s">
        <v>3071</v>
      </c>
      <c r="BP23" s="48" t="s">
        <v>3077</v>
      </c>
      <c r="BQ23" s="125" t="s">
        <v>3086</v>
      </c>
      <c r="BR23" s="125" t="s">
        <v>3108</v>
      </c>
      <c r="BS23" s="125" t="s">
        <v>3117</v>
      </c>
      <c r="BT23" s="125" t="s">
        <v>3117</v>
      </c>
      <c r="BU23" s="2"/>
      <c r="BV23" s="3"/>
      <c r="BW23" s="3"/>
      <c r="BX23" s="3"/>
      <c r="BY23" s="3"/>
    </row>
    <row r="24" spans="1:77" ht="15">
      <c r="A24" s="66" t="s">
        <v>377</v>
      </c>
      <c r="B24" s="67"/>
      <c r="C24" s="67"/>
      <c r="D24" s="68">
        <v>100</v>
      </c>
      <c r="E24" s="70"/>
      <c r="F24" s="104" t="str">
        <f>HYPERLINK("http://pbs.twimg.com/profile_images/1270351092841398278/RPOWrWMl_normal.jpg")</f>
        <v>http://pbs.twimg.com/profile_images/1270351092841398278/RPOWrWMl_normal.jpg</v>
      </c>
      <c r="G24" s="67"/>
      <c r="H24" s="71" t="s">
        <v>377</v>
      </c>
      <c r="I24" s="72"/>
      <c r="J24" s="72"/>
      <c r="K24" s="71" t="s">
        <v>2023</v>
      </c>
      <c r="L24" s="75">
        <v>1</v>
      </c>
      <c r="M24" s="76">
        <v>8541.2548828125</v>
      </c>
      <c r="N24" s="76">
        <v>5353.5107421875</v>
      </c>
      <c r="O24" s="77"/>
      <c r="P24" s="78"/>
      <c r="Q24" s="78"/>
      <c r="R24" s="90"/>
      <c r="S24" s="48">
        <v>1</v>
      </c>
      <c r="T24" s="48">
        <v>1</v>
      </c>
      <c r="U24" s="49">
        <v>0</v>
      </c>
      <c r="V24" s="49">
        <v>0</v>
      </c>
      <c r="W24" s="49">
        <v>0</v>
      </c>
      <c r="X24" s="49">
        <v>0.999998</v>
      </c>
      <c r="Y24" s="49">
        <v>0</v>
      </c>
      <c r="Z24" s="49">
        <v>0</v>
      </c>
      <c r="AA24" s="73">
        <v>24</v>
      </c>
      <c r="AB24" s="73"/>
      <c r="AC24" s="74"/>
      <c r="AD24" s="80" t="s">
        <v>1222</v>
      </c>
      <c r="AE24" s="88" t="s">
        <v>1442</v>
      </c>
      <c r="AF24" s="80">
        <v>322</v>
      </c>
      <c r="AG24" s="80">
        <v>62</v>
      </c>
      <c r="AH24" s="80">
        <v>1477</v>
      </c>
      <c r="AI24" s="80">
        <v>710</v>
      </c>
      <c r="AJ24" s="80"/>
      <c r="AK24" s="80" t="s">
        <v>1664</v>
      </c>
      <c r="AL24" s="80"/>
      <c r="AM24" s="80"/>
      <c r="AN24" s="80"/>
      <c r="AO24" s="82">
        <v>43772.360243055555</v>
      </c>
      <c r="AP24" s="85" t="str">
        <f>HYPERLINK("https://pbs.twimg.com/profile_banners/1190911008082145280/1577788210")</f>
        <v>https://pbs.twimg.com/profile_banners/1190911008082145280/1577788210</v>
      </c>
      <c r="AQ24" s="80" t="b">
        <v>1</v>
      </c>
      <c r="AR24" s="80" t="b">
        <v>0</v>
      </c>
      <c r="AS24" s="80" t="b">
        <v>0</v>
      </c>
      <c r="AT24" s="80"/>
      <c r="AU24" s="80">
        <v>1</v>
      </c>
      <c r="AV24" s="80"/>
      <c r="AW24" s="80" t="b">
        <v>0</v>
      </c>
      <c r="AX24" s="80" t="s">
        <v>2002</v>
      </c>
      <c r="AY24" s="85" t="str">
        <f>HYPERLINK("https://twitter.com/realmiguelroca")</f>
        <v>https://twitter.com/realmiguelroca</v>
      </c>
      <c r="AZ24" s="80" t="s">
        <v>66</v>
      </c>
      <c r="BA24" s="80" t="str">
        <f>REPLACE(INDEX(GroupVertices[Group],MATCH(Vertices[[#This Row],[Vertex]],GroupVertices[Vertex],0)),1,1,"")</f>
        <v>8</v>
      </c>
      <c r="BB24" s="48">
        <v>2</v>
      </c>
      <c r="BC24" s="49">
        <v>4.3478260869565215</v>
      </c>
      <c r="BD24" s="48">
        <v>2</v>
      </c>
      <c r="BE24" s="49">
        <v>4.3478260869565215</v>
      </c>
      <c r="BF24" s="48">
        <v>0</v>
      </c>
      <c r="BG24" s="49">
        <v>0</v>
      </c>
      <c r="BH24" s="48">
        <v>42</v>
      </c>
      <c r="BI24" s="49">
        <v>91.30434782608695</v>
      </c>
      <c r="BJ24" s="48">
        <v>46</v>
      </c>
      <c r="BK24" s="48"/>
      <c r="BL24" s="48"/>
      <c r="BM24" s="48"/>
      <c r="BN24" s="48"/>
      <c r="BO24" s="48" t="s">
        <v>700</v>
      </c>
      <c r="BP24" s="48" t="s">
        <v>700</v>
      </c>
      <c r="BQ24" s="125" t="s">
        <v>3087</v>
      </c>
      <c r="BR24" s="125" t="s">
        <v>3087</v>
      </c>
      <c r="BS24" s="125" t="s">
        <v>3118</v>
      </c>
      <c r="BT24" s="125" t="s">
        <v>3118</v>
      </c>
      <c r="BU24" s="2"/>
      <c r="BV24" s="3"/>
      <c r="BW24" s="3"/>
      <c r="BX24" s="3"/>
      <c r="BY24" s="3"/>
    </row>
    <row r="25" spans="1:77" ht="15">
      <c r="A25" s="66" t="s">
        <v>378</v>
      </c>
      <c r="B25" s="67"/>
      <c r="C25" s="67"/>
      <c r="D25" s="68">
        <v>100</v>
      </c>
      <c r="E25" s="70"/>
      <c r="F25" s="104" t="str">
        <f>HYPERLINK("http://pbs.twimg.com/profile_images/1231540206341410816/siroPAMQ_normal.jpg")</f>
        <v>http://pbs.twimg.com/profile_images/1231540206341410816/siroPAMQ_normal.jpg</v>
      </c>
      <c r="G25" s="67"/>
      <c r="H25" s="71" t="s">
        <v>378</v>
      </c>
      <c r="I25" s="72"/>
      <c r="J25" s="72"/>
      <c r="K25" s="71" t="s">
        <v>2024</v>
      </c>
      <c r="L25" s="75">
        <v>1</v>
      </c>
      <c r="M25" s="76">
        <v>3871.56005859375</v>
      </c>
      <c r="N25" s="76">
        <v>1908.8839111328125</v>
      </c>
      <c r="O25" s="77"/>
      <c r="P25" s="78"/>
      <c r="Q25" s="78"/>
      <c r="R25" s="90"/>
      <c r="S25" s="48">
        <v>0</v>
      </c>
      <c r="T25" s="48">
        <v>2</v>
      </c>
      <c r="U25" s="49">
        <v>0</v>
      </c>
      <c r="V25" s="49">
        <v>0.013158</v>
      </c>
      <c r="W25" s="49">
        <v>0.021547</v>
      </c>
      <c r="X25" s="49">
        <v>0.566735</v>
      </c>
      <c r="Y25" s="49">
        <v>1</v>
      </c>
      <c r="Z25" s="49">
        <v>0</v>
      </c>
      <c r="AA25" s="73">
        <v>25</v>
      </c>
      <c r="AB25" s="73"/>
      <c r="AC25" s="74"/>
      <c r="AD25" s="80" t="s">
        <v>1223</v>
      </c>
      <c r="AE25" s="88" t="s">
        <v>1443</v>
      </c>
      <c r="AF25" s="80">
        <v>759</v>
      </c>
      <c r="AG25" s="80">
        <v>2265</v>
      </c>
      <c r="AH25" s="80">
        <v>104320</v>
      </c>
      <c r="AI25" s="80">
        <v>5935</v>
      </c>
      <c r="AJ25" s="80"/>
      <c r="AK25" s="80" t="s">
        <v>1665</v>
      </c>
      <c r="AL25" s="80" t="s">
        <v>1871</v>
      </c>
      <c r="AM25" s="85" t="str">
        <f>HYPERLINK("https://t.co/6DkWCvxWw8")</f>
        <v>https://t.co/6DkWCvxWw8</v>
      </c>
      <c r="AN25" s="80"/>
      <c r="AO25" s="82">
        <v>39676.63829861111</v>
      </c>
      <c r="AP25" s="85" t="str">
        <f>HYPERLINK("https://pbs.twimg.com/profile_banners/15873993/1587750181")</f>
        <v>https://pbs.twimg.com/profile_banners/15873993/1587750181</v>
      </c>
      <c r="AQ25" s="80" t="b">
        <v>0</v>
      </c>
      <c r="AR25" s="80" t="b">
        <v>0</v>
      </c>
      <c r="AS25" s="80" t="b">
        <v>1</v>
      </c>
      <c r="AT25" s="80"/>
      <c r="AU25" s="80">
        <v>134</v>
      </c>
      <c r="AV25" s="85" t="str">
        <f>HYPERLINK("http://abs.twimg.com/images/themes/theme15/bg.png")</f>
        <v>http://abs.twimg.com/images/themes/theme15/bg.png</v>
      </c>
      <c r="AW25" s="80" t="b">
        <v>0</v>
      </c>
      <c r="AX25" s="80" t="s">
        <v>2002</v>
      </c>
      <c r="AY25" s="85" t="str">
        <f>HYPERLINK("https://twitter.com/annkempster")</f>
        <v>https://twitter.com/annkempster</v>
      </c>
      <c r="AZ25" s="80" t="s">
        <v>66</v>
      </c>
      <c r="BA25" s="80" t="str">
        <f>REPLACE(INDEX(GroupVertices[Group],MATCH(Vertices[[#This Row],[Vertex]],GroupVertices[Vertex],0)),1,1,"")</f>
        <v>2</v>
      </c>
      <c r="BB25" s="48">
        <v>3</v>
      </c>
      <c r="BC25" s="49">
        <v>7.5</v>
      </c>
      <c r="BD25" s="48">
        <v>0</v>
      </c>
      <c r="BE25" s="49">
        <v>0</v>
      </c>
      <c r="BF25" s="48">
        <v>0</v>
      </c>
      <c r="BG25" s="49">
        <v>0</v>
      </c>
      <c r="BH25" s="48">
        <v>37</v>
      </c>
      <c r="BI25" s="49">
        <v>92.5</v>
      </c>
      <c r="BJ25" s="48">
        <v>40</v>
      </c>
      <c r="BK25" s="48"/>
      <c r="BL25" s="48"/>
      <c r="BM25" s="48"/>
      <c r="BN25" s="48"/>
      <c r="BO25" s="48"/>
      <c r="BP25" s="48"/>
      <c r="BQ25" s="125" t="s">
        <v>3088</v>
      </c>
      <c r="BR25" s="125" t="s">
        <v>3088</v>
      </c>
      <c r="BS25" s="125" t="s">
        <v>2976</v>
      </c>
      <c r="BT25" s="125" t="s">
        <v>2976</v>
      </c>
      <c r="BU25" s="2"/>
      <c r="BV25" s="3"/>
      <c r="BW25" s="3"/>
      <c r="BX25" s="3"/>
      <c r="BY25" s="3"/>
    </row>
    <row r="26" spans="1:77" ht="15">
      <c r="A26" s="66" t="s">
        <v>513</v>
      </c>
      <c r="B26" s="67"/>
      <c r="C26" s="67"/>
      <c r="D26" s="68">
        <v>1000</v>
      </c>
      <c r="E26" s="70"/>
      <c r="F26" s="104" t="str">
        <f>HYPERLINK("http://pbs.twimg.com/profile_images/669640125081632768/c6jqu46E_normal.jpg")</f>
        <v>http://pbs.twimg.com/profile_images/669640125081632768/c6jqu46E_normal.jpg</v>
      </c>
      <c r="G26" s="67"/>
      <c r="H26" s="71" t="s">
        <v>513</v>
      </c>
      <c r="I26" s="72"/>
      <c r="J26" s="72"/>
      <c r="K26" s="71" t="s">
        <v>2025</v>
      </c>
      <c r="L26" s="75">
        <v>2942.9617001401216</v>
      </c>
      <c r="M26" s="76">
        <v>2206.587646484375</v>
      </c>
      <c r="N26" s="76">
        <v>2230.650634765625</v>
      </c>
      <c r="O26" s="77"/>
      <c r="P26" s="78"/>
      <c r="Q26" s="78"/>
      <c r="R26" s="90"/>
      <c r="S26" s="48">
        <v>37</v>
      </c>
      <c r="T26" s="48">
        <v>1</v>
      </c>
      <c r="U26" s="49">
        <v>630</v>
      </c>
      <c r="V26" s="49">
        <v>0.02439</v>
      </c>
      <c r="W26" s="49">
        <v>0.09443</v>
      </c>
      <c r="X26" s="49">
        <v>9.030326</v>
      </c>
      <c r="Y26" s="49">
        <v>0.02702702702702703</v>
      </c>
      <c r="Z26" s="49">
        <v>0.02702702702702703</v>
      </c>
      <c r="AA26" s="73">
        <v>26</v>
      </c>
      <c r="AB26" s="73"/>
      <c r="AC26" s="74"/>
      <c r="AD26" s="80" t="s">
        <v>513</v>
      </c>
      <c r="AE26" s="88" t="s">
        <v>1444</v>
      </c>
      <c r="AF26" s="80">
        <v>3941</v>
      </c>
      <c r="AG26" s="80">
        <v>4727</v>
      </c>
      <c r="AH26" s="80">
        <v>15610</v>
      </c>
      <c r="AI26" s="80">
        <v>13158</v>
      </c>
      <c r="AJ26" s="80"/>
      <c r="AK26" s="80" t="s">
        <v>1666</v>
      </c>
      <c r="AL26" s="80" t="s">
        <v>1872</v>
      </c>
      <c r="AM26" s="80"/>
      <c r="AN26" s="80"/>
      <c r="AO26" s="82">
        <v>39460.409004629626</v>
      </c>
      <c r="AP26" s="80"/>
      <c r="AQ26" s="80" t="b">
        <v>0</v>
      </c>
      <c r="AR26" s="80" t="b">
        <v>0</v>
      </c>
      <c r="AS26" s="80" t="b">
        <v>1</v>
      </c>
      <c r="AT26" s="80"/>
      <c r="AU26" s="80">
        <v>329</v>
      </c>
      <c r="AV26" s="85" t="str">
        <f>HYPERLINK("http://abs.twimg.com/images/themes/theme1/bg.png")</f>
        <v>http://abs.twimg.com/images/themes/theme1/bg.png</v>
      </c>
      <c r="AW26" s="80" t="b">
        <v>0</v>
      </c>
      <c r="AX26" s="80" t="s">
        <v>2002</v>
      </c>
      <c r="AY26" s="85" t="str">
        <f>HYPERLINK("https://twitter.com/johnlsheridan")</f>
        <v>https://twitter.com/johnlsheridan</v>
      </c>
      <c r="AZ26" s="80" t="s">
        <v>66</v>
      </c>
      <c r="BA26" s="80" t="str">
        <f>REPLACE(INDEX(GroupVertices[Group],MATCH(Vertices[[#This Row],[Vertex]],GroupVertices[Vertex],0)),1,1,"")</f>
        <v>2</v>
      </c>
      <c r="BB26" s="48">
        <v>3</v>
      </c>
      <c r="BC26" s="49">
        <v>7.5</v>
      </c>
      <c r="BD26" s="48">
        <v>0</v>
      </c>
      <c r="BE26" s="49">
        <v>0</v>
      </c>
      <c r="BF26" s="48">
        <v>0</v>
      </c>
      <c r="BG26" s="49">
        <v>0</v>
      </c>
      <c r="BH26" s="48">
        <v>37</v>
      </c>
      <c r="BI26" s="49">
        <v>92.5</v>
      </c>
      <c r="BJ26" s="48">
        <v>40</v>
      </c>
      <c r="BK26" s="48"/>
      <c r="BL26" s="48"/>
      <c r="BM26" s="48"/>
      <c r="BN26" s="48"/>
      <c r="BO26" s="48"/>
      <c r="BP26" s="48"/>
      <c r="BQ26" s="125" t="s">
        <v>3088</v>
      </c>
      <c r="BR26" s="125" t="s">
        <v>3088</v>
      </c>
      <c r="BS26" s="125" t="s">
        <v>2976</v>
      </c>
      <c r="BT26" s="125" t="s">
        <v>2976</v>
      </c>
      <c r="BU26" s="2"/>
      <c r="BV26" s="3"/>
      <c r="BW26" s="3"/>
      <c r="BX26" s="3"/>
      <c r="BY26" s="3"/>
    </row>
    <row r="27" spans="1:77" ht="15">
      <c r="A27" s="66" t="s">
        <v>514</v>
      </c>
      <c r="B27" s="67"/>
      <c r="C27" s="67"/>
      <c r="D27" s="68">
        <v>1000</v>
      </c>
      <c r="E27" s="70"/>
      <c r="F27" s="104" t="str">
        <f>HYPERLINK("http://pbs.twimg.com/profile_images/1266685862915584005/UyURI2iR_normal.jpg")</f>
        <v>http://pbs.twimg.com/profile_images/1266685862915584005/UyURI2iR_normal.jpg</v>
      </c>
      <c r="G27" s="67"/>
      <c r="H27" s="71" t="s">
        <v>514</v>
      </c>
      <c r="I27" s="72"/>
      <c r="J27" s="72"/>
      <c r="K27" s="71" t="s">
        <v>2026</v>
      </c>
      <c r="L27" s="75">
        <v>3643.428771602055</v>
      </c>
      <c r="M27" s="76">
        <v>2035.6661376953125</v>
      </c>
      <c r="N27" s="76">
        <v>2325.356689453125</v>
      </c>
      <c r="O27" s="77"/>
      <c r="P27" s="78"/>
      <c r="Q27" s="78"/>
      <c r="R27" s="90"/>
      <c r="S27" s="48">
        <v>40</v>
      </c>
      <c r="T27" s="48">
        <v>2</v>
      </c>
      <c r="U27" s="49">
        <v>780</v>
      </c>
      <c r="V27" s="49">
        <v>0.025641</v>
      </c>
      <c r="W27" s="49">
        <v>0.106981</v>
      </c>
      <c r="X27" s="49">
        <v>9.848558</v>
      </c>
      <c r="Y27" s="49">
        <v>0.024291497975708502</v>
      </c>
      <c r="Z27" s="49">
        <v>0.02564102564102564</v>
      </c>
      <c r="AA27" s="73">
        <v>27</v>
      </c>
      <c r="AB27" s="73"/>
      <c r="AC27" s="74"/>
      <c r="AD27" s="80" t="s">
        <v>1224</v>
      </c>
      <c r="AE27" s="88" t="s">
        <v>1445</v>
      </c>
      <c r="AF27" s="80">
        <v>992</v>
      </c>
      <c r="AG27" s="80">
        <v>5667</v>
      </c>
      <c r="AH27" s="80">
        <v>68468</v>
      </c>
      <c r="AI27" s="80">
        <v>39239</v>
      </c>
      <c r="AJ27" s="80"/>
      <c r="AK27" s="80" t="s">
        <v>1667</v>
      </c>
      <c r="AL27" s="80" t="s">
        <v>1873</v>
      </c>
      <c r="AM27" s="85" t="str">
        <f>HYPERLINK("https://t.co/yGB2cDw2Sk")</f>
        <v>https://t.co/yGB2cDw2Sk</v>
      </c>
      <c r="AN27" s="80"/>
      <c r="AO27" s="82">
        <v>39514.71716435185</v>
      </c>
      <c r="AP27" s="85" t="str">
        <f>HYPERLINK("https://pbs.twimg.com/profile_banners/14095937/1478540593")</f>
        <v>https://pbs.twimg.com/profile_banners/14095937/1478540593</v>
      </c>
      <c r="AQ27" s="80" t="b">
        <v>0</v>
      </c>
      <c r="AR27" s="80" t="b">
        <v>0</v>
      </c>
      <c r="AS27" s="80" t="b">
        <v>1</v>
      </c>
      <c r="AT27" s="80"/>
      <c r="AU27" s="80">
        <v>397</v>
      </c>
      <c r="AV27" s="85" t="str">
        <f>HYPERLINK("http://abs.twimg.com/images/themes/theme5/bg.gif")</f>
        <v>http://abs.twimg.com/images/themes/theme5/bg.gif</v>
      </c>
      <c r="AW27" s="80" t="b">
        <v>0</v>
      </c>
      <c r="AX27" s="80" t="s">
        <v>2002</v>
      </c>
      <c r="AY27" s="85" t="str">
        <f>HYPERLINK("https://twitter.com/puntofisso")</f>
        <v>https://twitter.com/puntofisso</v>
      </c>
      <c r="AZ27" s="80" t="s">
        <v>66</v>
      </c>
      <c r="BA27" s="80" t="str">
        <f>REPLACE(INDEX(GroupVertices[Group],MATCH(Vertices[[#This Row],[Vertex]],GroupVertices[Vertex],0)),1,1,"")</f>
        <v>2</v>
      </c>
      <c r="BB27" s="48">
        <v>5</v>
      </c>
      <c r="BC27" s="49">
        <v>5.9523809523809526</v>
      </c>
      <c r="BD27" s="48">
        <v>2</v>
      </c>
      <c r="BE27" s="49">
        <v>2.380952380952381</v>
      </c>
      <c r="BF27" s="48">
        <v>0</v>
      </c>
      <c r="BG27" s="49">
        <v>0</v>
      </c>
      <c r="BH27" s="48">
        <v>77</v>
      </c>
      <c r="BI27" s="49">
        <v>91.66666666666667</v>
      </c>
      <c r="BJ27" s="48">
        <v>84</v>
      </c>
      <c r="BK27" s="48" t="s">
        <v>3059</v>
      </c>
      <c r="BL27" s="48" t="s">
        <v>3059</v>
      </c>
      <c r="BM27" s="48" t="s">
        <v>3065</v>
      </c>
      <c r="BN27" s="48" t="s">
        <v>3065</v>
      </c>
      <c r="BO27" s="48" t="s">
        <v>3072</v>
      </c>
      <c r="BP27" s="48" t="s">
        <v>3078</v>
      </c>
      <c r="BQ27" s="125" t="s">
        <v>3089</v>
      </c>
      <c r="BR27" s="125" t="s">
        <v>3109</v>
      </c>
      <c r="BS27" s="125" t="s">
        <v>3119</v>
      </c>
      <c r="BT27" s="125" t="s">
        <v>2976</v>
      </c>
      <c r="BU27" s="2"/>
      <c r="BV27" s="3"/>
      <c r="BW27" s="3"/>
      <c r="BX27" s="3"/>
      <c r="BY27" s="3"/>
    </row>
    <row r="28" spans="1:77" ht="15">
      <c r="A28" s="66" t="s">
        <v>379</v>
      </c>
      <c r="B28" s="67"/>
      <c r="C28" s="67"/>
      <c r="D28" s="68">
        <v>100</v>
      </c>
      <c r="E28" s="70"/>
      <c r="F28" s="104" t="str">
        <f>HYPERLINK("http://pbs.twimg.com/profile_images/1161737606167715840/s3DfExtj_normal.jpg")</f>
        <v>http://pbs.twimg.com/profile_images/1161737606167715840/s3DfExtj_normal.jpg</v>
      </c>
      <c r="G28" s="67"/>
      <c r="H28" s="71" t="s">
        <v>379</v>
      </c>
      <c r="I28" s="72"/>
      <c r="J28" s="72"/>
      <c r="K28" s="71" t="s">
        <v>2027</v>
      </c>
      <c r="L28" s="75">
        <v>1</v>
      </c>
      <c r="M28" s="76">
        <v>1390.8170166015625</v>
      </c>
      <c r="N28" s="76">
        <v>3996.181396484375</v>
      </c>
      <c r="O28" s="77"/>
      <c r="P28" s="78"/>
      <c r="Q28" s="78"/>
      <c r="R28" s="90"/>
      <c r="S28" s="48">
        <v>0</v>
      </c>
      <c r="T28" s="48">
        <v>2</v>
      </c>
      <c r="U28" s="49">
        <v>0</v>
      </c>
      <c r="V28" s="49">
        <v>0.013158</v>
      </c>
      <c r="W28" s="49">
        <v>0.021547</v>
      </c>
      <c r="X28" s="49">
        <v>0.566735</v>
      </c>
      <c r="Y28" s="49">
        <v>1</v>
      </c>
      <c r="Z28" s="49">
        <v>0</v>
      </c>
      <c r="AA28" s="73">
        <v>28</v>
      </c>
      <c r="AB28" s="73"/>
      <c r="AC28" s="74"/>
      <c r="AD28" s="80" t="s">
        <v>1225</v>
      </c>
      <c r="AE28" s="88" t="s">
        <v>1446</v>
      </c>
      <c r="AF28" s="80">
        <v>4382</v>
      </c>
      <c r="AG28" s="80">
        <v>7960</v>
      </c>
      <c r="AH28" s="80">
        <v>37774</v>
      </c>
      <c r="AI28" s="80">
        <v>13318</v>
      </c>
      <c r="AJ28" s="80"/>
      <c r="AK28" s="80" t="s">
        <v>1668</v>
      </c>
      <c r="AL28" s="80" t="s">
        <v>1874</v>
      </c>
      <c r="AM28" s="80"/>
      <c r="AN28" s="80"/>
      <c r="AO28" s="82">
        <v>39745.565474537034</v>
      </c>
      <c r="AP28" s="85" t="str">
        <f>HYPERLINK("https://pbs.twimg.com/profile_banners/16949087/1503952987")</f>
        <v>https://pbs.twimg.com/profile_banners/16949087/1503952987</v>
      </c>
      <c r="AQ28" s="80" t="b">
        <v>0</v>
      </c>
      <c r="AR28" s="80" t="b">
        <v>0</v>
      </c>
      <c r="AS28" s="80" t="b">
        <v>1</v>
      </c>
      <c r="AT28" s="80"/>
      <c r="AU28" s="80">
        <v>312</v>
      </c>
      <c r="AV28" s="85" t="str">
        <f>HYPERLINK("http://abs.twimg.com/images/themes/theme6/bg.gif")</f>
        <v>http://abs.twimg.com/images/themes/theme6/bg.gif</v>
      </c>
      <c r="AW28" s="80" t="b">
        <v>0</v>
      </c>
      <c r="AX28" s="80" t="s">
        <v>2002</v>
      </c>
      <c r="AY28" s="85" t="str">
        <f>HYPERLINK("https://twitter.com/jtwentyman")</f>
        <v>https://twitter.com/jtwentyman</v>
      </c>
      <c r="AZ28" s="80" t="s">
        <v>66</v>
      </c>
      <c r="BA28" s="80" t="str">
        <f>REPLACE(INDEX(GroupVertices[Group],MATCH(Vertices[[#This Row],[Vertex]],GroupVertices[Vertex],0)),1,1,"")</f>
        <v>2</v>
      </c>
      <c r="BB28" s="48">
        <v>3</v>
      </c>
      <c r="BC28" s="49">
        <v>7.5</v>
      </c>
      <c r="BD28" s="48">
        <v>0</v>
      </c>
      <c r="BE28" s="49">
        <v>0</v>
      </c>
      <c r="BF28" s="48">
        <v>0</v>
      </c>
      <c r="BG28" s="49">
        <v>0</v>
      </c>
      <c r="BH28" s="48">
        <v>37</v>
      </c>
      <c r="BI28" s="49">
        <v>92.5</v>
      </c>
      <c r="BJ28" s="48">
        <v>40</v>
      </c>
      <c r="BK28" s="48"/>
      <c r="BL28" s="48"/>
      <c r="BM28" s="48"/>
      <c r="BN28" s="48"/>
      <c r="BO28" s="48"/>
      <c r="BP28" s="48"/>
      <c r="BQ28" s="125" t="s">
        <v>3088</v>
      </c>
      <c r="BR28" s="125" t="s">
        <v>3088</v>
      </c>
      <c r="BS28" s="125" t="s">
        <v>2976</v>
      </c>
      <c r="BT28" s="125" t="s">
        <v>2976</v>
      </c>
      <c r="BU28" s="2"/>
      <c r="BV28" s="3"/>
      <c r="BW28" s="3"/>
      <c r="BX28" s="3"/>
      <c r="BY28" s="3"/>
    </row>
    <row r="29" spans="1:77" ht="15">
      <c r="A29" s="66" t="s">
        <v>380</v>
      </c>
      <c r="B29" s="67"/>
      <c r="C29" s="67"/>
      <c r="D29" s="68">
        <v>100</v>
      </c>
      <c r="E29" s="70"/>
      <c r="F29" s="104" t="str">
        <f>HYPERLINK("http://pbs.twimg.com/profile_images/779335654379511808/2be3RZOv_normal.jpg")</f>
        <v>http://pbs.twimg.com/profile_images/779335654379511808/2be3RZOv_normal.jpg</v>
      </c>
      <c r="G29" s="67"/>
      <c r="H29" s="71" t="s">
        <v>380</v>
      </c>
      <c r="I29" s="72"/>
      <c r="J29" s="72"/>
      <c r="K29" s="71" t="s">
        <v>2028</v>
      </c>
      <c r="L29" s="75">
        <v>1</v>
      </c>
      <c r="M29" s="76">
        <v>3445.338134765625</v>
      </c>
      <c r="N29" s="76">
        <v>990.2827758789062</v>
      </c>
      <c r="O29" s="77"/>
      <c r="P29" s="78"/>
      <c r="Q29" s="78"/>
      <c r="R29" s="90"/>
      <c r="S29" s="48">
        <v>0</v>
      </c>
      <c r="T29" s="48">
        <v>2</v>
      </c>
      <c r="U29" s="49">
        <v>0</v>
      </c>
      <c r="V29" s="49">
        <v>0.013158</v>
      </c>
      <c r="W29" s="49">
        <v>0.021547</v>
      </c>
      <c r="X29" s="49">
        <v>0.566735</v>
      </c>
      <c r="Y29" s="49">
        <v>1</v>
      </c>
      <c r="Z29" s="49">
        <v>0</v>
      </c>
      <c r="AA29" s="73">
        <v>29</v>
      </c>
      <c r="AB29" s="73"/>
      <c r="AC29" s="74"/>
      <c r="AD29" s="80" t="s">
        <v>1226</v>
      </c>
      <c r="AE29" s="88" t="s">
        <v>1447</v>
      </c>
      <c r="AF29" s="80">
        <v>778</v>
      </c>
      <c r="AG29" s="80">
        <v>386</v>
      </c>
      <c r="AH29" s="80">
        <v>5664</v>
      </c>
      <c r="AI29" s="80">
        <v>6034</v>
      </c>
      <c r="AJ29" s="80"/>
      <c r="AK29" s="80" t="s">
        <v>1669</v>
      </c>
      <c r="AL29" s="80" t="s">
        <v>1875</v>
      </c>
      <c r="AM29" s="80"/>
      <c r="AN29" s="80"/>
      <c r="AO29" s="82">
        <v>39849.63407407407</v>
      </c>
      <c r="AP29" s="80"/>
      <c r="AQ29" s="80" t="b">
        <v>0</v>
      </c>
      <c r="AR29" s="80" t="b">
        <v>0</v>
      </c>
      <c r="AS29" s="80" t="b">
        <v>0</v>
      </c>
      <c r="AT29" s="80"/>
      <c r="AU29" s="80">
        <v>23</v>
      </c>
      <c r="AV29" s="85" t="str">
        <f>HYPERLINK("http://abs.twimg.com/images/themes/theme9/bg.gif")</f>
        <v>http://abs.twimg.com/images/themes/theme9/bg.gif</v>
      </c>
      <c r="AW29" s="80" t="b">
        <v>0</v>
      </c>
      <c r="AX29" s="80" t="s">
        <v>2002</v>
      </c>
      <c r="AY29" s="85" t="str">
        <f>HYPERLINK("https://twitter.com/sihugh")</f>
        <v>https://twitter.com/sihugh</v>
      </c>
      <c r="AZ29" s="80" t="s">
        <v>66</v>
      </c>
      <c r="BA29" s="80" t="str">
        <f>REPLACE(INDEX(GroupVertices[Group],MATCH(Vertices[[#This Row],[Vertex]],GroupVertices[Vertex],0)),1,1,"")</f>
        <v>2</v>
      </c>
      <c r="BB29" s="48">
        <v>3</v>
      </c>
      <c r="BC29" s="49">
        <v>7.5</v>
      </c>
      <c r="BD29" s="48">
        <v>0</v>
      </c>
      <c r="BE29" s="49">
        <v>0</v>
      </c>
      <c r="BF29" s="48">
        <v>0</v>
      </c>
      <c r="BG29" s="49">
        <v>0</v>
      </c>
      <c r="BH29" s="48">
        <v>37</v>
      </c>
      <c r="BI29" s="49">
        <v>92.5</v>
      </c>
      <c r="BJ29" s="48">
        <v>40</v>
      </c>
      <c r="BK29" s="48"/>
      <c r="BL29" s="48"/>
      <c r="BM29" s="48"/>
      <c r="BN29" s="48"/>
      <c r="BO29" s="48"/>
      <c r="BP29" s="48"/>
      <c r="BQ29" s="125" t="s">
        <v>3088</v>
      </c>
      <c r="BR29" s="125" t="s">
        <v>3088</v>
      </c>
      <c r="BS29" s="125" t="s">
        <v>2976</v>
      </c>
      <c r="BT29" s="125" t="s">
        <v>2976</v>
      </c>
      <c r="BU29" s="2"/>
      <c r="BV29" s="3"/>
      <c r="BW29" s="3"/>
      <c r="BX29" s="3"/>
      <c r="BY29" s="3"/>
    </row>
    <row r="30" spans="1:77" ht="15">
      <c r="A30" s="66" t="s">
        <v>381</v>
      </c>
      <c r="B30" s="67"/>
      <c r="C30" s="67"/>
      <c r="D30" s="68">
        <v>100</v>
      </c>
      <c r="E30" s="70"/>
      <c r="F30" s="104" t="str">
        <f>HYPERLINK("http://pbs.twimg.com/profile_images/1215556487868829696/CxKwhFtM_normal.jpg")</f>
        <v>http://pbs.twimg.com/profile_images/1215556487868829696/CxKwhFtM_normal.jpg</v>
      </c>
      <c r="G30" s="67"/>
      <c r="H30" s="71" t="s">
        <v>381</v>
      </c>
      <c r="I30" s="72"/>
      <c r="J30" s="72"/>
      <c r="K30" s="71" t="s">
        <v>2029</v>
      </c>
      <c r="L30" s="75">
        <v>1</v>
      </c>
      <c r="M30" s="76">
        <v>2114.20263671875</v>
      </c>
      <c r="N30" s="76">
        <v>849.4053344726562</v>
      </c>
      <c r="O30" s="77"/>
      <c r="P30" s="78"/>
      <c r="Q30" s="78"/>
      <c r="R30" s="90"/>
      <c r="S30" s="48">
        <v>0</v>
      </c>
      <c r="T30" s="48">
        <v>2</v>
      </c>
      <c r="U30" s="49">
        <v>0</v>
      </c>
      <c r="V30" s="49">
        <v>0.013158</v>
      </c>
      <c r="W30" s="49">
        <v>0.021547</v>
      </c>
      <c r="X30" s="49">
        <v>0.566735</v>
      </c>
      <c r="Y30" s="49">
        <v>1</v>
      </c>
      <c r="Z30" s="49">
        <v>0</v>
      </c>
      <c r="AA30" s="73">
        <v>30</v>
      </c>
      <c r="AB30" s="73"/>
      <c r="AC30" s="74"/>
      <c r="AD30" s="80" t="s">
        <v>1227</v>
      </c>
      <c r="AE30" s="88" t="s">
        <v>1448</v>
      </c>
      <c r="AF30" s="80">
        <v>1630</v>
      </c>
      <c r="AG30" s="80">
        <v>3509</v>
      </c>
      <c r="AH30" s="80">
        <v>181210</v>
      </c>
      <c r="AI30" s="80">
        <v>68689</v>
      </c>
      <c r="AJ30" s="80"/>
      <c r="AK30" s="80" t="s">
        <v>1670</v>
      </c>
      <c r="AL30" s="80" t="s">
        <v>1876</v>
      </c>
      <c r="AM30" s="85" t="str">
        <f>HYPERLINK("https://t.co/0dSBQ6xa94")</f>
        <v>https://t.co/0dSBQ6xa94</v>
      </c>
      <c r="AN30" s="80"/>
      <c r="AO30" s="82">
        <v>39087.61518518518</v>
      </c>
      <c r="AP30" s="85" t="str">
        <f>HYPERLINK("https://pbs.twimg.com/profile_banners/582543/1568543515")</f>
        <v>https://pbs.twimg.com/profile_banners/582543/1568543515</v>
      </c>
      <c r="AQ30" s="80" t="b">
        <v>0</v>
      </c>
      <c r="AR30" s="80" t="b">
        <v>0</v>
      </c>
      <c r="AS30" s="80" t="b">
        <v>1</v>
      </c>
      <c r="AT30" s="80"/>
      <c r="AU30" s="80">
        <v>218</v>
      </c>
      <c r="AV30" s="85" t="str">
        <f>HYPERLINK("http://abs.twimg.com/images/themes/theme14/bg.gif")</f>
        <v>http://abs.twimg.com/images/themes/theme14/bg.gif</v>
      </c>
      <c r="AW30" s="80" t="b">
        <v>1</v>
      </c>
      <c r="AX30" s="80" t="s">
        <v>2002</v>
      </c>
      <c r="AY30" s="85" t="str">
        <f>HYPERLINK("https://twitter.com/nevali")</f>
        <v>https://twitter.com/nevali</v>
      </c>
      <c r="AZ30" s="80" t="s">
        <v>66</v>
      </c>
      <c r="BA30" s="80" t="str">
        <f>REPLACE(INDEX(GroupVertices[Group],MATCH(Vertices[[#This Row],[Vertex]],GroupVertices[Vertex],0)),1,1,"")</f>
        <v>2</v>
      </c>
      <c r="BB30" s="48">
        <v>3</v>
      </c>
      <c r="BC30" s="49">
        <v>7.5</v>
      </c>
      <c r="BD30" s="48">
        <v>0</v>
      </c>
      <c r="BE30" s="49">
        <v>0</v>
      </c>
      <c r="BF30" s="48">
        <v>0</v>
      </c>
      <c r="BG30" s="49">
        <v>0</v>
      </c>
      <c r="BH30" s="48">
        <v>37</v>
      </c>
      <c r="BI30" s="49">
        <v>92.5</v>
      </c>
      <c r="BJ30" s="48">
        <v>40</v>
      </c>
      <c r="BK30" s="48"/>
      <c r="BL30" s="48"/>
      <c r="BM30" s="48"/>
      <c r="BN30" s="48"/>
      <c r="BO30" s="48"/>
      <c r="BP30" s="48"/>
      <c r="BQ30" s="125" t="s">
        <v>3088</v>
      </c>
      <c r="BR30" s="125" t="s">
        <v>3088</v>
      </c>
      <c r="BS30" s="125" t="s">
        <v>2976</v>
      </c>
      <c r="BT30" s="125" t="s">
        <v>2976</v>
      </c>
      <c r="BU30" s="2"/>
      <c r="BV30" s="3"/>
      <c r="BW30" s="3"/>
      <c r="BX30" s="3"/>
      <c r="BY30" s="3"/>
    </row>
    <row r="31" spans="1:77" ht="15">
      <c r="A31" s="66" t="s">
        <v>382</v>
      </c>
      <c r="B31" s="67"/>
      <c r="C31" s="67"/>
      <c r="D31" s="68">
        <v>100</v>
      </c>
      <c r="E31" s="70"/>
      <c r="F31" s="104" t="str">
        <f>HYPERLINK("http://pbs.twimg.com/profile_images/957484678855839746/pZJMD6qw_normal.jpg")</f>
        <v>http://pbs.twimg.com/profile_images/957484678855839746/pZJMD6qw_normal.jpg</v>
      </c>
      <c r="G31" s="67"/>
      <c r="H31" s="71" t="s">
        <v>382</v>
      </c>
      <c r="I31" s="72"/>
      <c r="J31" s="72"/>
      <c r="K31" s="71" t="s">
        <v>2030</v>
      </c>
      <c r="L31" s="75">
        <v>1</v>
      </c>
      <c r="M31" s="76">
        <v>1236.7371826171875</v>
      </c>
      <c r="N31" s="76">
        <v>2228.949462890625</v>
      </c>
      <c r="O31" s="77"/>
      <c r="P31" s="78"/>
      <c r="Q31" s="78"/>
      <c r="R31" s="90"/>
      <c r="S31" s="48">
        <v>0</v>
      </c>
      <c r="T31" s="48">
        <v>2</v>
      </c>
      <c r="U31" s="49">
        <v>0</v>
      </c>
      <c r="V31" s="49">
        <v>0.013158</v>
      </c>
      <c r="W31" s="49">
        <v>0.021547</v>
      </c>
      <c r="X31" s="49">
        <v>0.566735</v>
      </c>
      <c r="Y31" s="49">
        <v>1</v>
      </c>
      <c r="Z31" s="49">
        <v>0</v>
      </c>
      <c r="AA31" s="73">
        <v>31</v>
      </c>
      <c r="AB31" s="73"/>
      <c r="AC31" s="74"/>
      <c r="AD31" s="80" t="s">
        <v>1228</v>
      </c>
      <c r="AE31" s="88" t="s">
        <v>1449</v>
      </c>
      <c r="AF31" s="80">
        <v>1306</v>
      </c>
      <c r="AG31" s="80">
        <v>5355</v>
      </c>
      <c r="AH31" s="80">
        <v>10514</v>
      </c>
      <c r="AI31" s="80">
        <v>7171</v>
      </c>
      <c r="AJ31" s="80"/>
      <c r="AK31" s="80" t="s">
        <v>1671</v>
      </c>
      <c r="AL31" s="80" t="s">
        <v>1877</v>
      </c>
      <c r="AM31" s="85" t="str">
        <f>HYPERLINK("https://t.co/4teBnPH5Lh")</f>
        <v>https://t.co/4teBnPH5Lh</v>
      </c>
      <c r="AN31" s="80"/>
      <c r="AO31" s="82">
        <v>40794.96803240741</v>
      </c>
      <c r="AP31" s="85" t="str">
        <f>HYPERLINK("https://pbs.twimg.com/profile_banners/370389714/1504063298")</f>
        <v>https://pbs.twimg.com/profile_banners/370389714/1504063298</v>
      </c>
      <c r="AQ31" s="80" t="b">
        <v>1</v>
      </c>
      <c r="AR31" s="80" t="b">
        <v>0</v>
      </c>
      <c r="AS31" s="80" t="b">
        <v>1</v>
      </c>
      <c r="AT31" s="80"/>
      <c r="AU31" s="80">
        <v>236</v>
      </c>
      <c r="AV31" s="85" t="str">
        <f>HYPERLINK("http://abs.twimg.com/images/themes/theme1/bg.png")</f>
        <v>http://abs.twimg.com/images/themes/theme1/bg.png</v>
      </c>
      <c r="AW31" s="80" t="b">
        <v>0</v>
      </c>
      <c r="AX31" s="80" t="s">
        <v>2002</v>
      </c>
      <c r="AY31" s="85" t="str">
        <f>HYPERLINK("https://twitter.com/ellenbroad")</f>
        <v>https://twitter.com/ellenbroad</v>
      </c>
      <c r="AZ31" s="80" t="s">
        <v>66</v>
      </c>
      <c r="BA31" s="80" t="str">
        <f>REPLACE(INDEX(GroupVertices[Group],MATCH(Vertices[[#This Row],[Vertex]],GroupVertices[Vertex],0)),1,1,"")</f>
        <v>2</v>
      </c>
      <c r="BB31" s="48">
        <v>3</v>
      </c>
      <c r="BC31" s="49">
        <v>7.5</v>
      </c>
      <c r="BD31" s="48">
        <v>0</v>
      </c>
      <c r="BE31" s="49">
        <v>0</v>
      </c>
      <c r="BF31" s="48">
        <v>0</v>
      </c>
      <c r="BG31" s="49">
        <v>0</v>
      </c>
      <c r="BH31" s="48">
        <v>37</v>
      </c>
      <c r="BI31" s="49">
        <v>92.5</v>
      </c>
      <c r="BJ31" s="48">
        <v>40</v>
      </c>
      <c r="BK31" s="48"/>
      <c r="BL31" s="48"/>
      <c r="BM31" s="48"/>
      <c r="BN31" s="48"/>
      <c r="BO31" s="48"/>
      <c r="BP31" s="48"/>
      <c r="BQ31" s="125" t="s">
        <v>3088</v>
      </c>
      <c r="BR31" s="125" t="s">
        <v>3088</v>
      </c>
      <c r="BS31" s="125" t="s">
        <v>2976</v>
      </c>
      <c r="BT31" s="125" t="s">
        <v>2976</v>
      </c>
      <c r="BU31" s="2"/>
      <c r="BV31" s="3"/>
      <c r="BW31" s="3"/>
      <c r="BX31" s="3"/>
      <c r="BY31" s="3"/>
    </row>
    <row r="32" spans="1:77" ht="15">
      <c r="A32" s="66" t="s">
        <v>383</v>
      </c>
      <c r="B32" s="67"/>
      <c r="C32" s="67"/>
      <c r="D32" s="68">
        <v>100</v>
      </c>
      <c r="E32" s="70"/>
      <c r="F32" s="104" t="str">
        <f>HYPERLINK("http://pbs.twimg.com/profile_images/378800000268650026/fd91606861cc8d50f3885ed3dddd8f15_normal.jpeg")</f>
        <v>http://pbs.twimg.com/profile_images/378800000268650026/fd91606861cc8d50f3885ed3dddd8f15_normal.jpeg</v>
      </c>
      <c r="G32" s="67"/>
      <c r="H32" s="71" t="s">
        <v>383</v>
      </c>
      <c r="I32" s="72"/>
      <c r="J32" s="72"/>
      <c r="K32" s="71" t="s">
        <v>2031</v>
      </c>
      <c r="L32" s="75">
        <v>1</v>
      </c>
      <c r="M32" s="76">
        <v>3189.66357421875</v>
      </c>
      <c r="N32" s="76">
        <v>598.9701538085938</v>
      </c>
      <c r="O32" s="77"/>
      <c r="P32" s="78"/>
      <c r="Q32" s="78"/>
      <c r="R32" s="90"/>
      <c r="S32" s="48">
        <v>0</v>
      </c>
      <c r="T32" s="48">
        <v>2</v>
      </c>
      <c r="U32" s="49">
        <v>0</v>
      </c>
      <c r="V32" s="49">
        <v>0.013158</v>
      </c>
      <c r="W32" s="49">
        <v>0.021547</v>
      </c>
      <c r="X32" s="49">
        <v>0.566735</v>
      </c>
      <c r="Y32" s="49">
        <v>1</v>
      </c>
      <c r="Z32" s="49">
        <v>0</v>
      </c>
      <c r="AA32" s="73">
        <v>32</v>
      </c>
      <c r="AB32" s="73"/>
      <c r="AC32" s="74"/>
      <c r="AD32" s="80" t="s">
        <v>1229</v>
      </c>
      <c r="AE32" s="88" t="s">
        <v>1450</v>
      </c>
      <c r="AF32" s="80">
        <v>1808</v>
      </c>
      <c r="AG32" s="80">
        <v>1979</v>
      </c>
      <c r="AH32" s="80">
        <v>24388</v>
      </c>
      <c r="AI32" s="80">
        <v>23665</v>
      </c>
      <c r="AJ32" s="80"/>
      <c r="AK32" s="80" t="s">
        <v>1672</v>
      </c>
      <c r="AL32" s="80" t="s">
        <v>1878</v>
      </c>
      <c r="AM32" s="85" t="str">
        <f>HYPERLINK("https://t.co/Yv4gNgPz8s")</f>
        <v>https://t.co/Yv4gNgPz8s</v>
      </c>
      <c r="AN32" s="80"/>
      <c r="AO32" s="82">
        <v>41115.694768518515</v>
      </c>
      <c r="AP32" s="80"/>
      <c r="AQ32" s="80" t="b">
        <v>1</v>
      </c>
      <c r="AR32" s="80" t="b">
        <v>0</v>
      </c>
      <c r="AS32" s="80" t="b">
        <v>1</v>
      </c>
      <c r="AT32" s="80"/>
      <c r="AU32" s="80">
        <v>308</v>
      </c>
      <c r="AV32" s="85" t="str">
        <f>HYPERLINK("http://abs.twimg.com/images/themes/theme1/bg.png")</f>
        <v>http://abs.twimg.com/images/themes/theme1/bg.png</v>
      </c>
      <c r="AW32" s="80" t="b">
        <v>0</v>
      </c>
      <c r="AX32" s="80" t="s">
        <v>2002</v>
      </c>
      <c r="AY32" s="85" t="str">
        <f>HYPERLINK("https://twitter.com/jargonautical")</f>
        <v>https://twitter.com/jargonautical</v>
      </c>
      <c r="AZ32" s="80" t="s">
        <v>66</v>
      </c>
      <c r="BA32" s="80" t="str">
        <f>REPLACE(INDEX(GroupVertices[Group],MATCH(Vertices[[#This Row],[Vertex]],GroupVertices[Vertex],0)),1,1,"")</f>
        <v>2</v>
      </c>
      <c r="BB32" s="48">
        <v>3</v>
      </c>
      <c r="BC32" s="49">
        <v>7.5</v>
      </c>
      <c r="BD32" s="48">
        <v>0</v>
      </c>
      <c r="BE32" s="49">
        <v>0</v>
      </c>
      <c r="BF32" s="48">
        <v>0</v>
      </c>
      <c r="BG32" s="49">
        <v>0</v>
      </c>
      <c r="BH32" s="48">
        <v>37</v>
      </c>
      <c r="BI32" s="49">
        <v>92.5</v>
      </c>
      <c r="BJ32" s="48">
        <v>40</v>
      </c>
      <c r="BK32" s="48"/>
      <c r="BL32" s="48"/>
      <c r="BM32" s="48"/>
      <c r="BN32" s="48"/>
      <c r="BO32" s="48"/>
      <c r="BP32" s="48"/>
      <c r="BQ32" s="125" t="s">
        <v>3088</v>
      </c>
      <c r="BR32" s="125" t="s">
        <v>3088</v>
      </c>
      <c r="BS32" s="125" t="s">
        <v>2976</v>
      </c>
      <c r="BT32" s="125" t="s">
        <v>2976</v>
      </c>
      <c r="BU32" s="2"/>
      <c r="BV32" s="3"/>
      <c r="BW32" s="3"/>
      <c r="BX32" s="3"/>
      <c r="BY32" s="3"/>
    </row>
    <row r="33" spans="1:77" ht="15">
      <c r="A33" s="66" t="s">
        <v>384</v>
      </c>
      <c r="B33" s="67"/>
      <c r="C33" s="67"/>
      <c r="D33" s="68">
        <v>100</v>
      </c>
      <c r="E33" s="70"/>
      <c r="F33" s="104" t="str">
        <f>HYPERLINK("http://pbs.twimg.com/profile_images/1231486337032826885/J26kp1W2_normal.jpg")</f>
        <v>http://pbs.twimg.com/profile_images/1231486337032826885/J26kp1W2_normal.jpg</v>
      </c>
      <c r="G33" s="67"/>
      <c r="H33" s="71" t="s">
        <v>384</v>
      </c>
      <c r="I33" s="72"/>
      <c r="J33" s="72"/>
      <c r="K33" s="71" t="s">
        <v>2032</v>
      </c>
      <c r="L33" s="75">
        <v>1</v>
      </c>
      <c r="M33" s="76">
        <v>2364.921142578125</v>
      </c>
      <c r="N33" s="76">
        <v>3316.307861328125</v>
      </c>
      <c r="O33" s="77"/>
      <c r="P33" s="78"/>
      <c r="Q33" s="78"/>
      <c r="R33" s="90"/>
      <c r="S33" s="48">
        <v>0</v>
      </c>
      <c r="T33" s="48">
        <v>2</v>
      </c>
      <c r="U33" s="49">
        <v>0</v>
      </c>
      <c r="V33" s="49">
        <v>0.013158</v>
      </c>
      <c r="W33" s="49">
        <v>0.021547</v>
      </c>
      <c r="X33" s="49">
        <v>0.566735</v>
      </c>
      <c r="Y33" s="49">
        <v>1</v>
      </c>
      <c r="Z33" s="49">
        <v>0</v>
      </c>
      <c r="AA33" s="73">
        <v>33</v>
      </c>
      <c r="AB33" s="73"/>
      <c r="AC33" s="74"/>
      <c r="AD33" s="80" t="s">
        <v>1230</v>
      </c>
      <c r="AE33" s="88" t="s">
        <v>1451</v>
      </c>
      <c r="AF33" s="80">
        <v>1874</v>
      </c>
      <c r="AG33" s="80">
        <v>829</v>
      </c>
      <c r="AH33" s="80">
        <v>9311</v>
      </c>
      <c r="AI33" s="80">
        <v>15426</v>
      </c>
      <c r="AJ33" s="80"/>
      <c r="AK33" s="80" t="s">
        <v>1673</v>
      </c>
      <c r="AL33" s="80" t="s">
        <v>1879</v>
      </c>
      <c r="AM33" s="80"/>
      <c r="AN33" s="80"/>
      <c r="AO33" s="82">
        <v>40269.4503125</v>
      </c>
      <c r="AP33" s="85" t="str">
        <f>HYPERLINK("https://pbs.twimg.com/profile_banners/128515402/1580766073")</f>
        <v>https://pbs.twimg.com/profile_banners/128515402/1580766073</v>
      </c>
      <c r="AQ33" s="80" t="b">
        <v>1</v>
      </c>
      <c r="AR33" s="80" t="b">
        <v>0</v>
      </c>
      <c r="AS33" s="80" t="b">
        <v>1</v>
      </c>
      <c r="AT33" s="80"/>
      <c r="AU33" s="80">
        <v>36</v>
      </c>
      <c r="AV33" s="85" t="str">
        <f>HYPERLINK("http://abs.twimg.com/images/themes/theme1/bg.png")</f>
        <v>http://abs.twimg.com/images/themes/theme1/bg.png</v>
      </c>
      <c r="AW33" s="80" t="b">
        <v>0</v>
      </c>
      <c r="AX33" s="80" t="s">
        <v>2002</v>
      </c>
      <c r="AY33" s="85" t="str">
        <f>HYPERLINK("https://twitter.com/mets1977")</f>
        <v>https://twitter.com/mets1977</v>
      </c>
      <c r="AZ33" s="80" t="s">
        <v>66</v>
      </c>
      <c r="BA33" s="80" t="str">
        <f>REPLACE(INDEX(GroupVertices[Group],MATCH(Vertices[[#This Row],[Vertex]],GroupVertices[Vertex],0)),1,1,"")</f>
        <v>2</v>
      </c>
      <c r="BB33" s="48">
        <v>3</v>
      </c>
      <c r="BC33" s="49">
        <v>7.5</v>
      </c>
      <c r="BD33" s="48">
        <v>0</v>
      </c>
      <c r="BE33" s="49">
        <v>0</v>
      </c>
      <c r="BF33" s="48">
        <v>0</v>
      </c>
      <c r="BG33" s="49">
        <v>0</v>
      </c>
      <c r="BH33" s="48">
        <v>37</v>
      </c>
      <c r="BI33" s="49">
        <v>92.5</v>
      </c>
      <c r="BJ33" s="48">
        <v>40</v>
      </c>
      <c r="BK33" s="48"/>
      <c r="BL33" s="48"/>
      <c r="BM33" s="48"/>
      <c r="BN33" s="48"/>
      <c r="BO33" s="48"/>
      <c r="BP33" s="48"/>
      <c r="BQ33" s="125" t="s">
        <v>3088</v>
      </c>
      <c r="BR33" s="125" t="s">
        <v>3088</v>
      </c>
      <c r="BS33" s="125" t="s">
        <v>2976</v>
      </c>
      <c r="BT33" s="125" t="s">
        <v>2976</v>
      </c>
      <c r="BU33" s="2"/>
      <c r="BV33" s="3"/>
      <c r="BW33" s="3"/>
      <c r="BX33" s="3"/>
      <c r="BY33" s="3"/>
    </row>
    <row r="34" spans="1:77" ht="15">
      <c r="A34" s="66" t="s">
        <v>385</v>
      </c>
      <c r="B34" s="67"/>
      <c r="C34" s="67"/>
      <c r="D34" s="68">
        <v>100</v>
      </c>
      <c r="E34" s="70"/>
      <c r="F34" s="104" t="str">
        <f>HYPERLINK("http://pbs.twimg.com/profile_images/1227314820749418496/ispRUpJU_normal.jpg")</f>
        <v>http://pbs.twimg.com/profile_images/1227314820749418496/ispRUpJU_normal.jpg</v>
      </c>
      <c r="G34" s="67"/>
      <c r="H34" s="71" t="s">
        <v>385</v>
      </c>
      <c r="I34" s="72"/>
      <c r="J34" s="72"/>
      <c r="K34" s="71" t="s">
        <v>2033</v>
      </c>
      <c r="L34" s="75">
        <v>1</v>
      </c>
      <c r="M34" s="76">
        <v>826.6336669921875</v>
      </c>
      <c r="N34" s="76">
        <v>3650.860107421875</v>
      </c>
      <c r="O34" s="77"/>
      <c r="P34" s="78"/>
      <c r="Q34" s="78"/>
      <c r="R34" s="90"/>
      <c r="S34" s="48">
        <v>0</v>
      </c>
      <c r="T34" s="48">
        <v>2</v>
      </c>
      <c r="U34" s="49">
        <v>0</v>
      </c>
      <c r="V34" s="49">
        <v>0.013158</v>
      </c>
      <c r="W34" s="49">
        <v>0.021547</v>
      </c>
      <c r="X34" s="49">
        <v>0.566735</v>
      </c>
      <c r="Y34" s="49">
        <v>1</v>
      </c>
      <c r="Z34" s="49">
        <v>0</v>
      </c>
      <c r="AA34" s="73">
        <v>34</v>
      </c>
      <c r="AB34" s="73"/>
      <c r="AC34" s="74"/>
      <c r="AD34" s="80" t="s">
        <v>1231</v>
      </c>
      <c r="AE34" s="88" t="s">
        <v>1452</v>
      </c>
      <c r="AF34" s="80">
        <v>1469</v>
      </c>
      <c r="AG34" s="80">
        <v>802</v>
      </c>
      <c r="AH34" s="80">
        <v>5350</v>
      </c>
      <c r="AI34" s="80">
        <v>5275</v>
      </c>
      <c r="AJ34" s="80"/>
      <c r="AK34" s="80" t="s">
        <v>1674</v>
      </c>
      <c r="AL34" s="80" t="s">
        <v>1880</v>
      </c>
      <c r="AM34" s="85" t="str">
        <f>HYPERLINK("https://t.co/ypJoO4T2Pd")</f>
        <v>https://t.co/ypJoO4T2Pd</v>
      </c>
      <c r="AN34" s="80"/>
      <c r="AO34" s="82">
        <v>39437.83179398148</v>
      </c>
      <c r="AP34" s="85" t="str">
        <f>HYPERLINK("https://pbs.twimg.com/profile_banners/11414482/1540332510")</f>
        <v>https://pbs.twimg.com/profile_banners/11414482/1540332510</v>
      </c>
      <c r="AQ34" s="80" t="b">
        <v>0</v>
      </c>
      <c r="AR34" s="80" t="b">
        <v>0</v>
      </c>
      <c r="AS34" s="80" t="b">
        <v>1</v>
      </c>
      <c r="AT34" s="80"/>
      <c r="AU34" s="80">
        <v>34</v>
      </c>
      <c r="AV34" s="85" t="str">
        <f>HYPERLINK("http://abs.twimg.com/images/themes/theme2/bg.gif")</f>
        <v>http://abs.twimg.com/images/themes/theme2/bg.gif</v>
      </c>
      <c r="AW34" s="80" t="b">
        <v>0</v>
      </c>
      <c r="AX34" s="80" t="s">
        <v>2002</v>
      </c>
      <c r="AY34" s="85" t="str">
        <f>HYPERLINK("https://twitter.com/mrj1971")</f>
        <v>https://twitter.com/mrj1971</v>
      </c>
      <c r="AZ34" s="80" t="s">
        <v>66</v>
      </c>
      <c r="BA34" s="80" t="str">
        <f>REPLACE(INDEX(GroupVertices[Group],MATCH(Vertices[[#This Row],[Vertex]],GroupVertices[Vertex],0)),1,1,"")</f>
        <v>2</v>
      </c>
      <c r="BB34" s="48">
        <v>3</v>
      </c>
      <c r="BC34" s="49">
        <v>7.5</v>
      </c>
      <c r="BD34" s="48">
        <v>0</v>
      </c>
      <c r="BE34" s="49">
        <v>0</v>
      </c>
      <c r="BF34" s="48">
        <v>0</v>
      </c>
      <c r="BG34" s="49">
        <v>0</v>
      </c>
      <c r="BH34" s="48">
        <v>37</v>
      </c>
      <c r="BI34" s="49">
        <v>92.5</v>
      </c>
      <c r="BJ34" s="48">
        <v>40</v>
      </c>
      <c r="BK34" s="48"/>
      <c r="BL34" s="48"/>
      <c r="BM34" s="48"/>
      <c r="BN34" s="48"/>
      <c r="BO34" s="48"/>
      <c r="BP34" s="48"/>
      <c r="BQ34" s="125" t="s">
        <v>3088</v>
      </c>
      <c r="BR34" s="125" t="s">
        <v>3088</v>
      </c>
      <c r="BS34" s="125" t="s">
        <v>2976</v>
      </c>
      <c r="BT34" s="125" t="s">
        <v>2976</v>
      </c>
      <c r="BU34" s="2"/>
      <c r="BV34" s="3"/>
      <c r="BW34" s="3"/>
      <c r="BX34" s="3"/>
      <c r="BY34" s="3"/>
    </row>
    <row r="35" spans="1:77" ht="15">
      <c r="A35" s="66" t="s">
        <v>386</v>
      </c>
      <c r="B35" s="67"/>
      <c r="C35" s="67"/>
      <c r="D35" s="68">
        <v>100</v>
      </c>
      <c r="E35" s="70"/>
      <c r="F35" s="104" t="str">
        <f>HYPERLINK("http://pbs.twimg.com/profile_images/1119172166526885888/kPKCJx4E_normal.png")</f>
        <v>http://pbs.twimg.com/profile_images/1119172166526885888/kPKCJx4E_normal.png</v>
      </c>
      <c r="G35" s="67"/>
      <c r="H35" s="71" t="s">
        <v>386</v>
      </c>
      <c r="I35" s="72"/>
      <c r="J35" s="72"/>
      <c r="K35" s="71" t="s">
        <v>2034</v>
      </c>
      <c r="L35" s="75">
        <v>1</v>
      </c>
      <c r="M35" s="76">
        <v>1480.30810546875</v>
      </c>
      <c r="N35" s="76">
        <v>3211.27685546875</v>
      </c>
      <c r="O35" s="77"/>
      <c r="P35" s="78"/>
      <c r="Q35" s="78"/>
      <c r="R35" s="90"/>
      <c r="S35" s="48">
        <v>0</v>
      </c>
      <c r="T35" s="48">
        <v>2</v>
      </c>
      <c r="U35" s="49">
        <v>0</v>
      </c>
      <c r="V35" s="49">
        <v>0.013158</v>
      </c>
      <c r="W35" s="49">
        <v>0.021547</v>
      </c>
      <c r="X35" s="49">
        <v>0.566735</v>
      </c>
      <c r="Y35" s="49">
        <v>1</v>
      </c>
      <c r="Z35" s="49">
        <v>0</v>
      </c>
      <c r="AA35" s="73">
        <v>35</v>
      </c>
      <c r="AB35" s="73"/>
      <c r="AC35" s="74"/>
      <c r="AD35" s="80" t="s">
        <v>1232</v>
      </c>
      <c r="AE35" s="88" t="s">
        <v>1453</v>
      </c>
      <c r="AF35" s="80">
        <v>1149</v>
      </c>
      <c r="AG35" s="80">
        <v>1016</v>
      </c>
      <c r="AH35" s="80">
        <v>3861</v>
      </c>
      <c r="AI35" s="80">
        <v>8787</v>
      </c>
      <c r="AJ35" s="80"/>
      <c r="AK35" s="80" t="s">
        <v>1675</v>
      </c>
      <c r="AL35" s="80" t="s">
        <v>1881</v>
      </c>
      <c r="AM35" s="85" t="str">
        <f>HYPERLINK("https://t.co/ynVbPJjpn5")</f>
        <v>https://t.co/ynVbPJjpn5</v>
      </c>
      <c r="AN35" s="80"/>
      <c r="AO35" s="82">
        <v>42901.41667824074</v>
      </c>
      <c r="AP35" s="85" t="str">
        <f>HYPERLINK("https://pbs.twimg.com/profile_banners/875291797936885761/1591193991")</f>
        <v>https://pbs.twimg.com/profile_banners/875291797936885761/1591193991</v>
      </c>
      <c r="AQ35" s="80" t="b">
        <v>0</v>
      </c>
      <c r="AR35" s="80" t="b">
        <v>0</v>
      </c>
      <c r="AS35" s="80" t="b">
        <v>0</v>
      </c>
      <c r="AT35" s="80"/>
      <c r="AU35" s="80">
        <v>12</v>
      </c>
      <c r="AV35" s="85" t="str">
        <f>HYPERLINK("http://abs.twimg.com/images/themes/theme1/bg.png")</f>
        <v>http://abs.twimg.com/images/themes/theme1/bg.png</v>
      </c>
      <c r="AW35" s="80" t="b">
        <v>0</v>
      </c>
      <c r="AX35" s="80" t="s">
        <v>2002</v>
      </c>
      <c r="AY35" s="85" t="str">
        <f>HYPERLINK("https://twitter.com/sophietaysom")</f>
        <v>https://twitter.com/sophietaysom</v>
      </c>
      <c r="AZ35" s="80" t="s">
        <v>66</v>
      </c>
      <c r="BA35" s="80" t="str">
        <f>REPLACE(INDEX(GroupVertices[Group],MATCH(Vertices[[#This Row],[Vertex]],GroupVertices[Vertex],0)),1,1,"")</f>
        <v>2</v>
      </c>
      <c r="BB35" s="48">
        <v>3</v>
      </c>
      <c r="BC35" s="49">
        <v>7.5</v>
      </c>
      <c r="BD35" s="48">
        <v>0</v>
      </c>
      <c r="BE35" s="49">
        <v>0</v>
      </c>
      <c r="BF35" s="48">
        <v>0</v>
      </c>
      <c r="BG35" s="49">
        <v>0</v>
      </c>
      <c r="BH35" s="48">
        <v>37</v>
      </c>
      <c r="BI35" s="49">
        <v>92.5</v>
      </c>
      <c r="BJ35" s="48">
        <v>40</v>
      </c>
      <c r="BK35" s="48"/>
      <c r="BL35" s="48"/>
      <c r="BM35" s="48"/>
      <c r="BN35" s="48"/>
      <c r="BO35" s="48"/>
      <c r="BP35" s="48"/>
      <c r="BQ35" s="125" t="s">
        <v>3088</v>
      </c>
      <c r="BR35" s="125" t="s">
        <v>3088</v>
      </c>
      <c r="BS35" s="125" t="s">
        <v>2976</v>
      </c>
      <c r="BT35" s="125" t="s">
        <v>2976</v>
      </c>
      <c r="BU35" s="2"/>
      <c r="BV35" s="3"/>
      <c r="BW35" s="3"/>
      <c r="BX35" s="3"/>
      <c r="BY35" s="3"/>
    </row>
    <row r="36" spans="1:77" ht="15">
      <c r="A36" s="66" t="s">
        <v>387</v>
      </c>
      <c r="B36" s="67"/>
      <c r="C36" s="67"/>
      <c r="D36" s="68">
        <v>100</v>
      </c>
      <c r="E36" s="70"/>
      <c r="F36" s="104" t="str">
        <f>HYPERLINK("http://pbs.twimg.com/profile_images/783046525010206720/2ZGn4mZm_normal.jpg")</f>
        <v>http://pbs.twimg.com/profile_images/783046525010206720/2ZGn4mZm_normal.jpg</v>
      </c>
      <c r="G36" s="67"/>
      <c r="H36" s="71" t="s">
        <v>387</v>
      </c>
      <c r="I36" s="72"/>
      <c r="J36" s="72"/>
      <c r="K36" s="71" t="s">
        <v>2035</v>
      </c>
      <c r="L36" s="75">
        <v>1</v>
      </c>
      <c r="M36" s="76">
        <v>8183.89501953125</v>
      </c>
      <c r="N36" s="76">
        <v>2570.78173828125</v>
      </c>
      <c r="O36" s="77"/>
      <c r="P36" s="78"/>
      <c r="Q36" s="78"/>
      <c r="R36" s="90"/>
      <c r="S36" s="48">
        <v>0</v>
      </c>
      <c r="T36" s="48">
        <v>2</v>
      </c>
      <c r="U36" s="49">
        <v>0</v>
      </c>
      <c r="V36" s="49">
        <v>0.25</v>
      </c>
      <c r="W36" s="49">
        <v>0</v>
      </c>
      <c r="X36" s="49">
        <v>0.819147</v>
      </c>
      <c r="Y36" s="49">
        <v>0.5</v>
      </c>
      <c r="Z36" s="49">
        <v>0</v>
      </c>
      <c r="AA36" s="73">
        <v>36</v>
      </c>
      <c r="AB36" s="73"/>
      <c r="AC36" s="74"/>
      <c r="AD36" s="80" t="s">
        <v>1233</v>
      </c>
      <c r="AE36" s="88" t="s">
        <v>1454</v>
      </c>
      <c r="AF36" s="80">
        <v>17963</v>
      </c>
      <c r="AG36" s="80">
        <v>48891</v>
      </c>
      <c r="AH36" s="80">
        <v>106079</v>
      </c>
      <c r="AI36" s="80">
        <v>102972</v>
      </c>
      <c r="AJ36" s="80"/>
      <c r="AK36" s="80" t="s">
        <v>1676</v>
      </c>
      <c r="AL36" s="80" t="s">
        <v>1882</v>
      </c>
      <c r="AM36" s="85" t="str">
        <f>HYPERLINK("https://t.co/wYJbIViXn4")</f>
        <v>https://t.co/wYJbIViXn4</v>
      </c>
      <c r="AN36" s="80"/>
      <c r="AO36" s="82">
        <v>42453.6540625</v>
      </c>
      <c r="AP36" s="85" t="str">
        <f>HYPERLINK("https://pbs.twimg.com/profile_banners/713028058207358976/1477579219")</f>
        <v>https://pbs.twimg.com/profile_banners/713028058207358976/1477579219</v>
      </c>
      <c r="AQ36" s="80" t="b">
        <v>1</v>
      </c>
      <c r="AR36" s="80" t="b">
        <v>0</v>
      </c>
      <c r="AS36" s="80" t="b">
        <v>0</v>
      </c>
      <c r="AT36" s="80"/>
      <c r="AU36" s="80">
        <v>150</v>
      </c>
      <c r="AV36" s="80"/>
      <c r="AW36" s="80" t="b">
        <v>0</v>
      </c>
      <c r="AX36" s="80" t="s">
        <v>2002</v>
      </c>
      <c r="AY36" s="85" t="str">
        <f>HYPERLINK("https://twitter.com/aliciacastroar")</f>
        <v>https://twitter.com/aliciacastroar</v>
      </c>
      <c r="AZ36" s="80" t="s">
        <v>66</v>
      </c>
      <c r="BA36" s="80" t="str">
        <f>REPLACE(INDEX(GroupVertices[Group],MATCH(Vertices[[#This Row],[Vertex]],GroupVertices[Vertex],0)),1,1,"")</f>
        <v>14</v>
      </c>
      <c r="BB36" s="48">
        <v>0</v>
      </c>
      <c r="BC36" s="49">
        <v>0</v>
      </c>
      <c r="BD36" s="48">
        <v>1</v>
      </c>
      <c r="BE36" s="49">
        <v>4.166666666666667</v>
      </c>
      <c r="BF36" s="48">
        <v>0</v>
      </c>
      <c r="BG36" s="49">
        <v>0</v>
      </c>
      <c r="BH36" s="48">
        <v>23</v>
      </c>
      <c r="BI36" s="49">
        <v>95.83333333333333</v>
      </c>
      <c r="BJ36" s="48">
        <v>24</v>
      </c>
      <c r="BK36" s="48"/>
      <c r="BL36" s="48"/>
      <c r="BM36" s="48"/>
      <c r="BN36" s="48"/>
      <c r="BO36" s="48" t="s">
        <v>701</v>
      </c>
      <c r="BP36" s="48" t="s">
        <v>701</v>
      </c>
      <c r="BQ36" s="125" t="s">
        <v>2873</v>
      </c>
      <c r="BR36" s="125" t="s">
        <v>2873</v>
      </c>
      <c r="BS36" s="125" t="s">
        <v>2988</v>
      </c>
      <c r="BT36" s="125" t="s">
        <v>2988</v>
      </c>
      <c r="BU36" s="2"/>
      <c r="BV36" s="3"/>
      <c r="BW36" s="3"/>
      <c r="BX36" s="3"/>
      <c r="BY36" s="3"/>
    </row>
    <row r="37" spans="1:77" ht="15">
      <c r="A37" s="66" t="s">
        <v>523</v>
      </c>
      <c r="B37" s="67"/>
      <c r="C37" s="67"/>
      <c r="D37" s="68">
        <v>105.26315789473685</v>
      </c>
      <c r="E37" s="70"/>
      <c r="F37" s="104" t="str">
        <f>HYPERLINK("http://pbs.twimg.com/profile_images/1198017855792521217/N0eM5R6T_normal.jpg")</f>
        <v>http://pbs.twimg.com/profile_images/1198017855792521217/N0eM5R6T_normal.jpg</v>
      </c>
      <c r="G37" s="67"/>
      <c r="H37" s="71" t="s">
        <v>523</v>
      </c>
      <c r="I37" s="72"/>
      <c r="J37" s="72"/>
      <c r="K37" s="71" t="s">
        <v>2036</v>
      </c>
      <c r="L37" s="75">
        <v>5.669780476412891</v>
      </c>
      <c r="M37" s="76">
        <v>7513.208984375</v>
      </c>
      <c r="N37" s="76">
        <v>2803.187744140625</v>
      </c>
      <c r="O37" s="77"/>
      <c r="P37" s="78"/>
      <c r="Q37" s="78"/>
      <c r="R37" s="90"/>
      <c r="S37" s="48">
        <v>3</v>
      </c>
      <c r="T37" s="48">
        <v>0</v>
      </c>
      <c r="U37" s="49">
        <v>1</v>
      </c>
      <c r="V37" s="49">
        <v>0.333333</v>
      </c>
      <c r="W37" s="49">
        <v>0</v>
      </c>
      <c r="X37" s="49">
        <v>1.180848</v>
      </c>
      <c r="Y37" s="49">
        <v>0.3333333333333333</v>
      </c>
      <c r="Z37" s="49">
        <v>0</v>
      </c>
      <c r="AA37" s="73">
        <v>37</v>
      </c>
      <c r="AB37" s="73"/>
      <c r="AC37" s="74"/>
      <c r="AD37" s="80" t="s">
        <v>1234</v>
      </c>
      <c r="AE37" s="88" t="s">
        <v>1455</v>
      </c>
      <c r="AF37" s="80">
        <v>2755</v>
      </c>
      <c r="AG37" s="80">
        <v>3375</v>
      </c>
      <c r="AH37" s="80">
        <v>1213</v>
      </c>
      <c r="AI37" s="80">
        <v>1177</v>
      </c>
      <c r="AJ37" s="80"/>
      <c r="AK37" s="80" t="s">
        <v>1677</v>
      </c>
      <c r="AL37" s="80" t="s">
        <v>1871</v>
      </c>
      <c r="AM37" s="85" t="str">
        <f>HYPERLINK("https://t.co/WHX5m7F9nN")</f>
        <v>https://t.co/WHX5m7F9nN</v>
      </c>
      <c r="AN37" s="80"/>
      <c r="AO37" s="82">
        <v>40681.95379629629</v>
      </c>
      <c r="AP37" s="85" t="str">
        <f>HYPERLINK("https://pbs.twimg.com/profile_banners/301127457/1584121153")</f>
        <v>https://pbs.twimg.com/profile_banners/301127457/1584121153</v>
      </c>
      <c r="AQ37" s="80" t="b">
        <v>0</v>
      </c>
      <c r="AR37" s="80" t="b">
        <v>0</v>
      </c>
      <c r="AS37" s="80" t="b">
        <v>0</v>
      </c>
      <c r="AT37" s="80"/>
      <c r="AU37" s="80">
        <v>160</v>
      </c>
      <c r="AV37" s="85" t="str">
        <f>HYPERLINK("http://abs.twimg.com/images/themes/theme18/bg.gif")</f>
        <v>http://abs.twimg.com/images/themes/theme18/bg.gif</v>
      </c>
      <c r="AW37" s="80" t="b">
        <v>1</v>
      </c>
      <c r="AX37" s="80" t="s">
        <v>2002</v>
      </c>
      <c r="AY37" s="85" t="str">
        <f>HYPERLINK("https://twitter.com/porcelinad")</f>
        <v>https://twitter.com/porcelinad</v>
      </c>
      <c r="AZ37" s="80" t="s">
        <v>65</v>
      </c>
      <c r="BA37" s="80" t="str">
        <f>REPLACE(INDEX(GroupVertices[Group],MATCH(Vertices[[#This Row],[Vertex]],GroupVertices[Vertex],0)),1,1,"")</f>
        <v>14</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6" t="s">
        <v>392</v>
      </c>
      <c r="B38" s="67"/>
      <c r="C38" s="67"/>
      <c r="D38" s="68">
        <v>105.26315789473685</v>
      </c>
      <c r="E38" s="70"/>
      <c r="F38" s="104" t="str">
        <f>HYPERLINK("http://pbs.twimg.com/profile_images/991229612708564992/xm-1PiC-_normal.jpg")</f>
        <v>http://pbs.twimg.com/profile_images/991229612708564992/xm-1PiC-_normal.jpg</v>
      </c>
      <c r="G38" s="67"/>
      <c r="H38" s="71" t="s">
        <v>392</v>
      </c>
      <c r="I38" s="72"/>
      <c r="J38" s="72"/>
      <c r="K38" s="71" t="s">
        <v>2037</v>
      </c>
      <c r="L38" s="75">
        <v>5.669780476412891</v>
      </c>
      <c r="M38" s="76">
        <v>7708.19873046875</v>
      </c>
      <c r="N38" s="76">
        <v>1546.088134765625</v>
      </c>
      <c r="O38" s="77"/>
      <c r="P38" s="78"/>
      <c r="Q38" s="78"/>
      <c r="R38" s="90"/>
      <c r="S38" s="48">
        <v>2</v>
      </c>
      <c r="T38" s="48">
        <v>1</v>
      </c>
      <c r="U38" s="49">
        <v>1</v>
      </c>
      <c r="V38" s="49">
        <v>0.333333</v>
      </c>
      <c r="W38" s="49">
        <v>0</v>
      </c>
      <c r="X38" s="49">
        <v>1.180848</v>
      </c>
      <c r="Y38" s="49">
        <v>0.3333333333333333</v>
      </c>
      <c r="Z38" s="49">
        <v>0</v>
      </c>
      <c r="AA38" s="73">
        <v>38</v>
      </c>
      <c r="AB38" s="73"/>
      <c r="AC38" s="74"/>
      <c r="AD38" s="80" t="s">
        <v>1235</v>
      </c>
      <c r="AE38" s="88" t="s">
        <v>1456</v>
      </c>
      <c r="AF38" s="80">
        <v>1939</v>
      </c>
      <c r="AG38" s="80">
        <v>22744</v>
      </c>
      <c r="AH38" s="80">
        <v>11234</v>
      </c>
      <c r="AI38" s="80">
        <v>8292</v>
      </c>
      <c r="AJ38" s="80"/>
      <c r="AK38" s="80" t="s">
        <v>1678</v>
      </c>
      <c r="AL38" s="80" t="s">
        <v>1871</v>
      </c>
      <c r="AM38" s="85" t="str">
        <f>HYPERLINK("http://t.co/9AnfPQ0iHH")</f>
        <v>http://t.co/9AnfPQ0iHH</v>
      </c>
      <c r="AN38" s="80"/>
      <c r="AO38" s="82">
        <v>39833.53884259259</v>
      </c>
      <c r="AP38" s="85" t="str">
        <f>HYPERLINK("https://pbs.twimg.com/profile_banners/19234681/1589285749")</f>
        <v>https://pbs.twimg.com/profile_banners/19234681/1589285749</v>
      </c>
      <c r="AQ38" s="80" t="b">
        <v>1</v>
      </c>
      <c r="AR38" s="80" t="b">
        <v>0</v>
      </c>
      <c r="AS38" s="80" t="b">
        <v>1</v>
      </c>
      <c r="AT38" s="80"/>
      <c r="AU38" s="80">
        <v>864</v>
      </c>
      <c r="AV38" s="85" t="str">
        <f>HYPERLINK("http://abs.twimg.com/images/themes/theme1/bg.png")</f>
        <v>http://abs.twimg.com/images/themes/theme1/bg.png</v>
      </c>
      <c r="AW38" s="80" t="b">
        <v>1</v>
      </c>
      <c r="AX38" s="80" t="s">
        <v>2002</v>
      </c>
      <c r="AY38" s="85" t="str">
        <f>HYPERLINK("https://twitter.com/cijournalism")</f>
        <v>https://twitter.com/cijournalism</v>
      </c>
      <c r="AZ38" s="80" t="s">
        <v>66</v>
      </c>
      <c r="BA38" s="80" t="str">
        <f>REPLACE(INDEX(GroupVertices[Group],MATCH(Vertices[[#This Row],[Vertex]],GroupVertices[Vertex],0)),1,1,"")</f>
        <v>14</v>
      </c>
      <c r="BB38" s="48">
        <v>0</v>
      </c>
      <c r="BC38" s="49">
        <v>0</v>
      </c>
      <c r="BD38" s="48">
        <v>1</v>
      </c>
      <c r="BE38" s="49">
        <v>4.166666666666667</v>
      </c>
      <c r="BF38" s="48">
        <v>0</v>
      </c>
      <c r="BG38" s="49">
        <v>0</v>
      </c>
      <c r="BH38" s="48">
        <v>23</v>
      </c>
      <c r="BI38" s="49">
        <v>95.83333333333333</v>
      </c>
      <c r="BJ38" s="48">
        <v>24</v>
      </c>
      <c r="BK38" s="48" t="s">
        <v>2783</v>
      </c>
      <c r="BL38" s="48" t="s">
        <v>2783</v>
      </c>
      <c r="BM38" s="48" t="s">
        <v>677</v>
      </c>
      <c r="BN38" s="48" t="s">
        <v>677</v>
      </c>
      <c r="BO38" s="48" t="s">
        <v>702</v>
      </c>
      <c r="BP38" s="48" t="s">
        <v>702</v>
      </c>
      <c r="BQ38" s="125" t="s">
        <v>2873</v>
      </c>
      <c r="BR38" s="125" t="s">
        <v>2873</v>
      </c>
      <c r="BS38" s="125" t="s">
        <v>2988</v>
      </c>
      <c r="BT38" s="125" t="s">
        <v>2988</v>
      </c>
      <c r="BU38" s="2"/>
      <c r="BV38" s="3"/>
      <c r="BW38" s="3"/>
      <c r="BX38" s="3"/>
      <c r="BY38" s="3"/>
    </row>
    <row r="39" spans="1:77" ht="15">
      <c r="A39" s="66" t="s">
        <v>388</v>
      </c>
      <c r="B39" s="67"/>
      <c r="C39" s="67"/>
      <c r="D39" s="68">
        <v>100</v>
      </c>
      <c r="E39" s="70"/>
      <c r="F39" s="104" t="str">
        <f>HYPERLINK("http://pbs.twimg.com/profile_images/1217745234/For_twet_normal.jpg")</f>
        <v>http://pbs.twimg.com/profile_images/1217745234/For_twet_normal.jpg</v>
      </c>
      <c r="G39" s="67"/>
      <c r="H39" s="71" t="s">
        <v>388</v>
      </c>
      <c r="I39" s="72"/>
      <c r="J39" s="72"/>
      <c r="K39" s="71" t="s">
        <v>2038</v>
      </c>
      <c r="L39" s="75">
        <v>1</v>
      </c>
      <c r="M39" s="76">
        <v>8852.6181640625</v>
      </c>
      <c r="N39" s="76">
        <v>5626.40185546875</v>
      </c>
      <c r="O39" s="77"/>
      <c r="P39" s="78"/>
      <c r="Q39" s="78"/>
      <c r="R39" s="90"/>
      <c r="S39" s="48">
        <v>0</v>
      </c>
      <c r="T39" s="48">
        <v>1</v>
      </c>
      <c r="U39" s="49">
        <v>0</v>
      </c>
      <c r="V39" s="49">
        <v>0.111111</v>
      </c>
      <c r="W39" s="49">
        <v>0</v>
      </c>
      <c r="X39" s="49">
        <v>0.585365</v>
      </c>
      <c r="Y39" s="49">
        <v>0</v>
      </c>
      <c r="Z39" s="49">
        <v>0</v>
      </c>
      <c r="AA39" s="73">
        <v>39</v>
      </c>
      <c r="AB39" s="73"/>
      <c r="AC39" s="74"/>
      <c r="AD39" s="80" t="s">
        <v>1236</v>
      </c>
      <c r="AE39" s="88" t="s">
        <v>1457</v>
      </c>
      <c r="AF39" s="80">
        <v>3058</v>
      </c>
      <c r="AG39" s="80">
        <v>7860</v>
      </c>
      <c r="AH39" s="80">
        <v>39644</v>
      </c>
      <c r="AI39" s="80">
        <v>3384</v>
      </c>
      <c r="AJ39" s="80"/>
      <c r="AK39" s="80" t="s">
        <v>1679</v>
      </c>
      <c r="AL39" s="80"/>
      <c r="AM39" s="80"/>
      <c r="AN39" s="80"/>
      <c r="AO39" s="82">
        <v>39923.31199074074</v>
      </c>
      <c r="AP39" s="80"/>
      <c r="AQ39" s="80" t="b">
        <v>1</v>
      </c>
      <c r="AR39" s="80" t="b">
        <v>0</v>
      </c>
      <c r="AS39" s="80" t="b">
        <v>1</v>
      </c>
      <c r="AT39" s="80"/>
      <c r="AU39" s="80">
        <v>154</v>
      </c>
      <c r="AV39" s="85" t="str">
        <f>HYPERLINK("http://abs.twimg.com/images/themes/theme1/bg.png")</f>
        <v>http://abs.twimg.com/images/themes/theme1/bg.png</v>
      </c>
      <c r="AW39" s="80" t="b">
        <v>0</v>
      </c>
      <c r="AX39" s="80" t="s">
        <v>2002</v>
      </c>
      <c r="AY39" s="85" t="str">
        <f>HYPERLINK("https://twitter.com/ecarrascobe")</f>
        <v>https://twitter.com/ecarrascobe</v>
      </c>
      <c r="AZ39" s="80" t="s">
        <v>66</v>
      </c>
      <c r="BA39" s="80" t="str">
        <f>REPLACE(INDEX(GroupVertices[Group],MATCH(Vertices[[#This Row],[Vertex]],GroupVertices[Vertex],0)),1,1,"")</f>
        <v>9</v>
      </c>
      <c r="BB39" s="48">
        <v>1</v>
      </c>
      <c r="BC39" s="49">
        <v>16.666666666666668</v>
      </c>
      <c r="BD39" s="48">
        <v>0</v>
      </c>
      <c r="BE39" s="49">
        <v>0</v>
      </c>
      <c r="BF39" s="48">
        <v>0</v>
      </c>
      <c r="BG39" s="49">
        <v>0</v>
      </c>
      <c r="BH39" s="48">
        <v>5</v>
      </c>
      <c r="BI39" s="49">
        <v>83.33333333333333</v>
      </c>
      <c r="BJ39" s="48">
        <v>6</v>
      </c>
      <c r="BK39" s="48"/>
      <c r="BL39" s="48"/>
      <c r="BM39" s="48"/>
      <c r="BN39" s="48"/>
      <c r="BO39" s="48" t="s">
        <v>698</v>
      </c>
      <c r="BP39" s="48" t="s">
        <v>698</v>
      </c>
      <c r="BQ39" s="125" t="s">
        <v>3083</v>
      </c>
      <c r="BR39" s="125" t="s">
        <v>3083</v>
      </c>
      <c r="BS39" s="125" t="s">
        <v>2983</v>
      </c>
      <c r="BT39" s="125" t="s">
        <v>2983</v>
      </c>
      <c r="BU39" s="2"/>
      <c r="BV39" s="3"/>
      <c r="BW39" s="3"/>
      <c r="BX39" s="3"/>
      <c r="BY39" s="3"/>
    </row>
    <row r="40" spans="1:77" ht="15">
      <c r="A40" s="66" t="s">
        <v>389</v>
      </c>
      <c r="B40" s="67"/>
      <c r="C40" s="67"/>
      <c r="D40" s="68">
        <v>100</v>
      </c>
      <c r="E40" s="70"/>
      <c r="F40" s="104" t="str">
        <f>HYPERLINK("http://pbs.twimg.com/profile_images/1181222482612817921/Y8P69F8B_normal.jpg")</f>
        <v>http://pbs.twimg.com/profile_images/1181222482612817921/Y8P69F8B_normal.jpg</v>
      </c>
      <c r="G40" s="67"/>
      <c r="H40" s="71" t="s">
        <v>389</v>
      </c>
      <c r="I40" s="72"/>
      <c r="J40" s="72"/>
      <c r="K40" s="71" t="s">
        <v>2039</v>
      </c>
      <c r="L40" s="75">
        <v>1</v>
      </c>
      <c r="M40" s="76">
        <v>787.5176391601562</v>
      </c>
      <c r="N40" s="76">
        <v>782.2178344726562</v>
      </c>
      <c r="O40" s="77"/>
      <c r="P40" s="78"/>
      <c r="Q40" s="78"/>
      <c r="R40" s="90"/>
      <c r="S40" s="48">
        <v>0</v>
      </c>
      <c r="T40" s="48">
        <v>2</v>
      </c>
      <c r="U40" s="49">
        <v>0</v>
      </c>
      <c r="V40" s="49">
        <v>0.013158</v>
      </c>
      <c r="W40" s="49">
        <v>0.021547</v>
      </c>
      <c r="X40" s="49">
        <v>0.566735</v>
      </c>
      <c r="Y40" s="49">
        <v>1</v>
      </c>
      <c r="Z40" s="49">
        <v>0</v>
      </c>
      <c r="AA40" s="73">
        <v>40</v>
      </c>
      <c r="AB40" s="73"/>
      <c r="AC40" s="74"/>
      <c r="AD40" s="80" t="s">
        <v>1237</v>
      </c>
      <c r="AE40" s="88" t="s">
        <v>1458</v>
      </c>
      <c r="AF40" s="80">
        <v>1470</v>
      </c>
      <c r="AG40" s="80">
        <v>800</v>
      </c>
      <c r="AH40" s="80">
        <v>11174</v>
      </c>
      <c r="AI40" s="80">
        <v>14174</v>
      </c>
      <c r="AJ40" s="80"/>
      <c r="AK40" s="80" t="s">
        <v>1680</v>
      </c>
      <c r="AL40" s="80" t="s">
        <v>1883</v>
      </c>
      <c r="AM40" s="85" t="str">
        <f>HYPERLINK("https://t.co/Et8IVPr4S0")</f>
        <v>https://t.co/Et8IVPr4S0</v>
      </c>
      <c r="AN40" s="80"/>
      <c r="AO40" s="82">
        <v>39904.34840277778</v>
      </c>
      <c r="AP40" s="85" t="str">
        <f>HYPERLINK("https://pbs.twimg.com/profile_banners/28072697/1398688399")</f>
        <v>https://pbs.twimg.com/profile_banners/28072697/1398688399</v>
      </c>
      <c r="AQ40" s="80" t="b">
        <v>0</v>
      </c>
      <c r="AR40" s="80" t="b">
        <v>0</v>
      </c>
      <c r="AS40" s="80" t="b">
        <v>1</v>
      </c>
      <c r="AT40" s="80"/>
      <c r="AU40" s="80">
        <v>57</v>
      </c>
      <c r="AV40" s="85" t="str">
        <f>HYPERLINK("http://abs.twimg.com/images/themes/theme1/bg.png")</f>
        <v>http://abs.twimg.com/images/themes/theme1/bg.png</v>
      </c>
      <c r="AW40" s="80" t="b">
        <v>0</v>
      </c>
      <c r="AX40" s="80" t="s">
        <v>2002</v>
      </c>
      <c r="AY40" s="85" t="str">
        <f>HYPERLINK("https://twitter.com/joesb")</f>
        <v>https://twitter.com/joesb</v>
      </c>
      <c r="AZ40" s="80" t="s">
        <v>66</v>
      </c>
      <c r="BA40" s="80" t="str">
        <f>REPLACE(INDEX(GroupVertices[Group],MATCH(Vertices[[#This Row],[Vertex]],GroupVertices[Vertex],0)),1,1,"")</f>
        <v>2</v>
      </c>
      <c r="BB40" s="48">
        <v>3</v>
      </c>
      <c r="BC40" s="49">
        <v>7.5</v>
      </c>
      <c r="BD40" s="48">
        <v>0</v>
      </c>
      <c r="BE40" s="49">
        <v>0</v>
      </c>
      <c r="BF40" s="48">
        <v>0</v>
      </c>
      <c r="BG40" s="49">
        <v>0</v>
      </c>
      <c r="BH40" s="48">
        <v>37</v>
      </c>
      <c r="BI40" s="49">
        <v>92.5</v>
      </c>
      <c r="BJ40" s="48">
        <v>40</v>
      </c>
      <c r="BK40" s="48"/>
      <c r="BL40" s="48"/>
      <c r="BM40" s="48"/>
      <c r="BN40" s="48"/>
      <c r="BO40" s="48"/>
      <c r="BP40" s="48"/>
      <c r="BQ40" s="125" t="s">
        <v>3088</v>
      </c>
      <c r="BR40" s="125" t="s">
        <v>3088</v>
      </c>
      <c r="BS40" s="125" t="s">
        <v>2976</v>
      </c>
      <c r="BT40" s="125" t="s">
        <v>2976</v>
      </c>
      <c r="BU40" s="2"/>
      <c r="BV40" s="3"/>
      <c r="BW40" s="3"/>
      <c r="BX40" s="3"/>
      <c r="BY40" s="3"/>
    </row>
    <row r="41" spans="1:77" ht="15">
      <c r="A41" s="66" t="s">
        <v>390</v>
      </c>
      <c r="B41" s="67"/>
      <c r="C41" s="67"/>
      <c r="D41" s="68">
        <v>101.50375789473684</v>
      </c>
      <c r="E41" s="70"/>
      <c r="F41" s="104" t="str">
        <f>HYPERLINK("http://pbs.twimg.com/profile_images/1249468566811934725/02Zw7Jf6_normal.jpg")</f>
        <v>http://pbs.twimg.com/profile_images/1249468566811934725/02Zw7Jf6_normal.jpg</v>
      </c>
      <c r="G41" s="67"/>
      <c r="H41" s="71" t="s">
        <v>390</v>
      </c>
      <c r="I41" s="72"/>
      <c r="J41" s="72"/>
      <c r="K41" s="71" t="s">
        <v>2040</v>
      </c>
      <c r="L41" s="75">
        <v>2.3342216590378326</v>
      </c>
      <c r="M41" s="76">
        <v>4122.349609375</v>
      </c>
      <c r="N41" s="76">
        <v>3654.80859375</v>
      </c>
      <c r="O41" s="77"/>
      <c r="P41" s="78"/>
      <c r="Q41" s="78"/>
      <c r="R41" s="90"/>
      <c r="S41" s="48">
        <v>0</v>
      </c>
      <c r="T41" s="48">
        <v>3</v>
      </c>
      <c r="U41" s="49">
        <v>0.285714</v>
      </c>
      <c r="V41" s="49">
        <v>0.028571</v>
      </c>
      <c r="W41" s="49">
        <v>0</v>
      </c>
      <c r="X41" s="49">
        <v>0.761422</v>
      </c>
      <c r="Y41" s="49">
        <v>0.3333333333333333</v>
      </c>
      <c r="Z41" s="49">
        <v>0</v>
      </c>
      <c r="AA41" s="73">
        <v>41</v>
      </c>
      <c r="AB41" s="73"/>
      <c r="AC41" s="74"/>
      <c r="AD41" s="80" t="s">
        <v>1238</v>
      </c>
      <c r="AE41" s="88" t="s">
        <v>1459</v>
      </c>
      <c r="AF41" s="80">
        <v>1806</v>
      </c>
      <c r="AG41" s="80">
        <v>1000</v>
      </c>
      <c r="AH41" s="80">
        <v>4829</v>
      </c>
      <c r="AI41" s="80">
        <v>2413</v>
      </c>
      <c r="AJ41" s="80"/>
      <c r="AK41" s="80" t="s">
        <v>1681</v>
      </c>
      <c r="AL41" s="80" t="s">
        <v>1884</v>
      </c>
      <c r="AM41" s="85" t="str">
        <f>HYPERLINK("https://t.co/4jBWUPLLZq")</f>
        <v>https://t.co/4jBWUPLLZq</v>
      </c>
      <c r="AN41" s="80"/>
      <c r="AO41" s="82">
        <v>40003.76642361111</v>
      </c>
      <c r="AP41" s="85" t="str">
        <f>HYPERLINK("https://pbs.twimg.com/profile_banners/55316186/1592334822")</f>
        <v>https://pbs.twimg.com/profile_banners/55316186/1592334822</v>
      </c>
      <c r="AQ41" s="80" t="b">
        <v>0</v>
      </c>
      <c r="AR41" s="80" t="b">
        <v>0</v>
      </c>
      <c r="AS41" s="80" t="b">
        <v>1</v>
      </c>
      <c r="AT41" s="80"/>
      <c r="AU41" s="80">
        <v>105</v>
      </c>
      <c r="AV41" s="85" t="str">
        <f>HYPERLINK("http://abs.twimg.com/images/themes/theme1/bg.png")</f>
        <v>http://abs.twimg.com/images/themes/theme1/bg.png</v>
      </c>
      <c r="AW41" s="80" t="b">
        <v>0</v>
      </c>
      <c r="AX41" s="80" t="s">
        <v>2002</v>
      </c>
      <c r="AY41" s="85" t="str">
        <f>HYPERLINK("https://twitter.com/fvas")</f>
        <v>https://twitter.com/fvas</v>
      </c>
      <c r="AZ41" s="80" t="s">
        <v>66</v>
      </c>
      <c r="BA41" s="80" t="str">
        <f>REPLACE(INDEX(GroupVertices[Group],MATCH(Vertices[[#This Row],[Vertex]],GroupVertices[Vertex],0)),1,1,"")</f>
        <v>5</v>
      </c>
      <c r="BB41" s="48">
        <v>2</v>
      </c>
      <c r="BC41" s="49">
        <v>5.555555555555555</v>
      </c>
      <c r="BD41" s="48">
        <v>0</v>
      </c>
      <c r="BE41" s="49">
        <v>0</v>
      </c>
      <c r="BF41" s="48">
        <v>0</v>
      </c>
      <c r="BG41" s="49">
        <v>0</v>
      </c>
      <c r="BH41" s="48">
        <v>34</v>
      </c>
      <c r="BI41" s="49">
        <v>94.44444444444444</v>
      </c>
      <c r="BJ41" s="48">
        <v>36</v>
      </c>
      <c r="BK41" s="48"/>
      <c r="BL41" s="48"/>
      <c r="BM41" s="48"/>
      <c r="BN41" s="48"/>
      <c r="BO41" s="48" t="s">
        <v>699</v>
      </c>
      <c r="BP41" s="48" t="s">
        <v>699</v>
      </c>
      <c r="BQ41" s="125" t="s">
        <v>3090</v>
      </c>
      <c r="BR41" s="125" t="s">
        <v>3090</v>
      </c>
      <c r="BS41" s="125" t="s">
        <v>3120</v>
      </c>
      <c r="BT41" s="125" t="s">
        <v>3120</v>
      </c>
      <c r="BU41" s="2"/>
      <c r="BV41" s="3"/>
      <c r="BW41" s="3"/>
      <c r="BX41" s="3"/>
      <c r="BY41" s="3"/>
    </row>
    <row r="42" spans="1:77" ht="15">
      <c r="A42" s="66" t="s">
        <v>524</v>
      </c>
      <c r="B42" s="67"/>
      <c r="C42" s="67"/>
      <c r="D42" s="68">
        <v>152.6315789473684</v>
      </c>
      <c r="E42" s="70"/>
      <c r="F42" s="104" t="str">
        <f>HYPERLINK("http://pbs.twimg.com/profile_images/1217855271550291969/3eymxn07_normal.jpg")</f>
        <v>http://pbs.twimg.com/profile_images/1217855271550291969/3eymxn07_normal.jpg</v>
      </c>
      <c r="G42" s="67"/>
      <c r="H42" s="71" t="s">
        <v>524</v>
      </c>
      <c r="I42" s="72"/>
      <c r="J42" s="72"/>
      <c r="K42" s="71" t="s">
        <v>2041</v>
      </c>
      <c r="L42" s="75">
        <v>47.69780476412891</v>
      </c>
      <c r="M42" s="76">
        <v>4388.49951171875</v>
      </c>
      <c r="N42" s="76">
        <v>4588.57568359375</v>
      </c>
      <c r="O42" s="77"/>
      <c r="P42" s="78"/>
      <c r="Q42" s="78"/>
      <c r="R42" s="90"/>
      <c r="S42" s="48">
        <v>7</v>
      </c>
      <c r="T42" s="48">
        <v>0</v>
      </c>
      <c r="U42" s="49">
        <v>10</v>
      </c>
      <c r="V42" s="49">
        <v>0.032258</v>
      </c>
      <c r="W42" s="49">
        <v>0</v>
      </c>
      <c r="X42" s="49">
        <v>1.654124</v>
      </c>
      <c r="Y42" s="49">
        <v>0.14285714285714285</v>
      </c>
      <c r="Z42" s="49">
        <v>0</v>
      </c>
      <c r="AA42" s="73">
        <v>42</v>
      </c>
      <c r="AB42" s="73"/>
      <c r="AC42" s="74"/>
      <c r="AD42" s="80" t="s">
        <v>1239</v>
      </c>
      <c r="AE42" s="88" t="s">
        <v>1460</v>
      </c>
      <c r="AF42" s="80">
        <v>2211</v>
      </c>
      <c r="AG42" s="80">
        <v>4894</v>
      </c>
      <c r="AH42" s="80">
        <v>8846</v>
      </c>
      <c r="AI42" s="80">
        <v>3706</v>
      </c>
      <c r="AJ42" s="80"/>
      <c r="AK42" s="80" t="s">
        <v>1682</v>
      </c>
      <c r="AL42" s="80" t="s">
        <v>1885</v>
      </c>
      <c r="AM42" s="85" t="str">
        <f>HYPERLINK("https://t.co/LDpwUfetb4")</f>
        <v>https://t.co/LDpwUfetb4</v>
      </c>
      <c r="AN42" s="80"/>
      <c r="AO42" s="82">
        <v>40569.04416666667</v>
      </c>
      <c r="AP42" s="85" t="str">
        <f>HYPERLINK("https://pbs.twimg.com/profile_banners/242974118/1584714532")</f>
        <v>https://pbs.twimg.com/profile_banners/242974118/1584714532</v>
      </c>
      <c r="AQ42" s="80" t="b">
        <v>0</v>
      </c>
      <c r="AR42" s="80" t="b">
        <v>0</v>
      </c>
      <c r="AS42" s="80" t="b">
        <v>0</v>
      </c>
      <c r="AT42" s="80"/>
      <c r="AU42" s="80">
        <v>376</v>
      </c>
      <c r="AV42" s="85" t="str">
        <f>HYPERLINK("http://abs.twimg.com/images/themes/theme1/bg.png")</f>
        <v>http://abs.twimg.com/images/themes/theme1/bg.png</v>
      </c>
      <c r="AW42" s="80" t="b">
        <v>1</v>
      </c>
      <c r="AX42" s="80" t="s">
        <v>2002</v>
      </c>
      <c r="AY42" s="85" t="str">
        <f>HYPERLINK("https://twitter.com/j_la28")</f>
        <v>https://twitter.com/j_la28</v>
      </c>
      <c r="AZ42" s="80" t="s">
        <v>65</v>
      </c>
      <c r="BA42" s="80" t="str">
        <f>REPLACE(INDEX(GroupVertices[Group],MATCH(Vertices[[#This Row],[Vertex]],GroupVertices[Vertex],0)),1,1,"")</f>
        <v>5</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6" t="s">
        <v>525</v>
      </c>
      <c r="B43" s="67"/>
      <c r="C43" s="67"/>
      <c r="D43" s="68">
        <v>152.6315789473684</v>
      </c>
      <c r="E43" s="70"/>
      <c r="F43" s="104" t="str">
        <f>HYPERLINK("http://pbs.twimg.com/profile_images/1084636351394271232/zWkRnNM1_normal.jpg")</f>
        <v>http://pbs.twimg.com/profile_images/1084636351394271232/zWkRnNM1_normal.jpg</v>
      </c>
      <c r="G43" s="67"/>
      <c r="H43" s="71" t="s">
        <v>525</v>
      </c>
      <c r="I43" s="72"/>
      <c r="J43" s="72"/>
      <c r="K43" s="71" t="s">
        <v>2042</v>
      </c>
      <c r="L43" s="75">
        <v>47.69780476412891</v>
      </c>
      <c r="M43" s="76">
        <v>4418.22705078125</v>
      </c>
      <c r="N43" s="76">
        <v>5098.4482421875</v>
      </c>
      <c r="O43" s="77"/>
      <c r="P43" s="78"/>
      <c r="Q43" s="78"/>
      <c r="R43" s="90"/>
      <c r="S43" s="48">
        <v>7</v>
      </c>
      <c r="T43" s="48">
        <v>0</v>
      </c>
      <c r="U43" s="49">
        <v>10</v>
      </c>
      <c r="V43" s="49">
        <v>0.032258</v>
      </c>
      <c r="W43" s="49">
        <v>0</v>
      </c>
      <c r="X43" s="49">
        <v>1.654124</v>
      </c>
      <c r="Y43" s="49">
        <v>0.14285714285714285</v>
      </c>
      <c r="Z43" s="49">
        <v>0</v>
      </c>
      <c r="AA43" s="73">
        <v>43</v>
      </c>
      <c r="AB43" s="73"/>
      <c r="AC43" s="74"/>
      <c r="AD43" s="80" t="s">
        <v>1240</v>
      </c>
      <c r="AE43" s="88" t="s">
        <v>1461</v>
      </c>
      <c r="AF43" s="80">
        <v>612</v>
      </c>
      <c r="AG43" s="80">
        <v>1176</v>
      </c>
      <c r="AH43" s="80">
        <v>1251</v>
      </c>
      <c r="AI43" s="80">
        <v>188</v>
      </c>
      <c r="AJ43" s="80"/>
      <c r="AK43" s="80" t="s">
        <v>1683</v>
      </c>
      <c r="AL43" s="80"/>
      <c r="AM43" s="85" t="str">
        <f>HYPERLINK("https://t.co/2QmQWtmJc7")</f>
        <v>https://t.co/2QmQWtmJc7</v>
      </c>
      <c r="AN43" s="80"/>
      <c r="AO43" s="82">
        <v>40964.335393518515</v>
      </c>
      <c r="AP43" s="85" t="str">
        <f>HYPERLINK("https://pbs.twimg.com/profile_banners/502668994/1490506674")</f>
        <v>https://pbs.twimg.com/profile_banners/502668994/1490506674</v>
      </c>
      <c r="AQ43" s="80" t="b">
        <v>1</v>
      </c>
      <c r="AR43" s="80" t="b">
        <v>0</v>
      </c>
      <c r="AS43" s="80" t="b">
        <v>0</v>
      </c>
      <c r="AT43" s="80"/>
      <c r="AU43" s="80">
        <v>80</v>
      </c>
      <c r="AV43" s="85" t="str">
        <f>HYPERLINK("http://abs.twimg.com/images/themes/theme1/bg.png")</f>
        <v>http://abs.twimg.com/images/themes/theme1/bg.png</v>
      </c>
      <c r="AW43" s="80" t="b">
        <v>1</v>
      </c>
      <c r="AX43" s="80" t="s">
        <v>2002</v>
      </c>
      <c r="AY43" s="85" t="str">
        <f>HYPERLINK("https://twitter.com/maudbeelman")</f>
        <v>https://twitter.com/maudbeelman</v>
      </c>
      <c r="AZ43" s="80" t="s">
        <v>65</v>
      </c>
      <c r="BA43" s="80" t="str">
        <f>REPLACE(INDEX(GroupVertices[Group],MATCH(Vertices[[#This Row],[Vertex]],GroupVertices[Vertex],0)),1,1,"")</f>
        <v>5</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6" t="s">
        <v>391</v>
      </c>
      <c r="B44" s="67"/>
      <c r="C44" s="67"/>
      <c r="D44" s="68">
        <v>100</v>
      </c>
      <c r="E44" s="70"/>
      <c r="F44" s="104" t="str">
        <f>HYPERLINK("http://pbs.twimg.com/profile_images/1175825868532461569/L1ohgpWh_normal.jpg")</f>
        <v>http://pbs.twimg.com/profile_images/1175825868532461569/L1ohgpWh_normal.jpg</v>
      </c>
      <c r="G44" s="67"/>
      <c r="H44" s="71" t="s">
        <v>391</v>
      </c>
      <c r="I44" s="72"/>
      <c r="J44" s="72"/>
      <c r="K44" s="71" t="s">
        <v>2043</v>
      </c>
      <c r="L44" s="75">
        <v>1</v>
      </c>
      <c r="M44" s="76">
        <v>2806.3193359375</v>
      </c>
      <c r="N44" s="76">
        <v>406.1130676269531</v>
      </c>
      <c r="O44" s="77"/>
      <c r="P44" s="78"/>
      <c r="Q44" s="78"/>
      <c r="R44" s="90"/>
      <c r="S44" s="48">
        <v>0</v>
      </c>
      <c r="T44" s="48">
        <v>2</v>
      </c>
      <c r="U44" s="49">
        <v>0</v>
      </c>
      <c r="V44" s="49">
        <v>0.013158</v>
      </c>
      <c r="W44" s="49">
        <v>0.021547</v>
      </c>
      <c r="X44" s="49">
        <v>0.566735</v>
      </c>
      <c r="Y44" s="49">
        <v>1</v>
      </c>
      <c r="Z44" s="49">
        <v>0</v>
      </c>
      <c r="AA44" s="73">
        <v>44</v>
      </c>
      <c r="AB44" s="73"/>
      <c r="AC44" s="74"/>
      <c r="AD44" s="80" t="s">
        <v>1241</v>
      </c>
      <c r="AE44" s="88" t="s">
        <v>1462</v>
      </c>
      <c r="AF44" s="80">
        <v>3073</v>
      </c>
      <c r="AG44" s="80">
        <v>4287</v>
      </c>
      <c r="AH44" s="80">
        <v>16499</v>
      </c>
      <c r="AI44" s="80">
        <v>26603</v>
      </c>
      <c r="AJ44" s="80"/>
      <c r="AK44" s="80" t="s">
        <v>1684</v>
      </c>
      <c r="AL44" s="80" t="s">
        <v>1886</v>
      </c>
      <c r="AM44" s="85" t="str">
        <f>HYPERLINK("https://t.co/IvwVU6ljU3")</f>
        <v>https://t.co/IvwVU6ljU3</v>
      </c>
      <c r="AN44" s="80"/>
      <c r="AO44" s="82">
        <v>40415.96697916667</v>
      </c>
      <c r="AP44" s="85" t="str">
        <f>HYPERLINK("https://pbs.twimg.com/profile_banners/183010626/1579873367")</f>
        <v>https://pbs.twimg.com/profile_banners/183010626/1579873367</v>
      </c>
      <c r="AQ44" s="80" t="b">
        <v>0</v>
      </c>
      <c r="AR44" s="80" t="b">
        <v>0</v>
      </c>
      <c r="AS44" s="80" t="b">
        <v>0</v>
      </c>
      <c r="AT44" s="80"/>
      <c r="AU44" s="80">
        <v>152</v>
      </c>
      <c r="AV44" s="85" t="str">
        <f>HYPERLINK("http://abs.twimg.com/images/themes/theme1/bg.png")</f>
        <v>http://abs.twimg.com/images/themes/theme1/bg.png</v>
      </c>
      <c r="AW44" s="80" t="b">
        <v>0</v>
      </c>
      <c r="AX44" s="80" t="s">
        <v>2002</v>
      </c>
      <c r="AY44" s="85" t="str">
        <f>HYPERLINK("https://twitter.com/dasbarrett")</f>
        <v>https://twitter.com/dasbarrett</v>
      </c>
      <c r="AZ44" s="80" t="s">
        <v>66</v>
      </c>
      <c r="BA44" s="80" t="str">
        <f>REPLACE(INDEX(GroupVertices[Group],MATCH(Vertices[[#This Row],[Vertex]],GroupVertices[Vertex],0)),1,1,"")</f>
        <v>2</v>
      </c>
      <c r="BB44" s="48">
        <v>3</v>
      </c>
      <c r="BC44" s="49">
        <v>7.5</v>
      </c>
      <c r="BD44" s="48">
        <v>0</v>
      </c>
      <c r="BE44" s="49">
        <v>0</v>
      </c>
      <c r="BF44" s="48">
        <v>0</v>
      </c>
      <c r="BG44" s="49">
        <v>0</v>
      </c>
      <c r="BH44" s="48">
        <v>37</v>
      </c>
      <c r="BI44" s="49">
        <v>92.5</v>
      </c>
      <c r="BJ44" s="48">
        <v>40</v>
      </c>
      <c r="BK44" s="48"/>
      <c r="BL44" s="48"/>
      <c r="BM44" s="48"/>
      <c r="BN44" s="48"/>
      <c r="BO44" s="48"/>
      <c r="BP44" s="48"/>
      <c r="BQ44" s="125" t="s">
        <v>3088</v>
      </c>
      <c r="BR44" s="125" t="s">
        <v>3088</v>
      </c>
      <c r="BS44" s="125" t="s">
        <v>2976</v>
      </c>
      <c r="BT44" s="125" t="s">
        <v>2976</v>
      </c>
      <c r="BU44" s="2"/>
      <c r="BV44" s="3"/>
      <c r="BW44" s="3"/>
      <c r="BX44" s="3"/>
      <c r="BY44" s="3"/>
    </row>
    <row r="45" spans="1:77" ht="15">
      <c r="A45" s="66" t="s">
        <v>393</v>
      </c>
      <c r="B45" s="67"/>
      <c r="C45" s="67"/>
      <c r="D45" s="68">
        <v>100</v>
      </c>
      <c r="E45" s="70"/>
      <c r="F45" s="104" t="str">
        <f>HYPERLINK("http://pbs.twimg.com/profile_images/911891391/paaaaaaaaaa_normal.jpg")</f>
        <v>http://pbs.twimg.com/profile_images/911891391/paaaaaaaaaa_normal.jpg</v>
      </c>
      <c r="G45" s="67"/>
      <c r="H45" s="71" t="s">
        <v>393</v>
      </c>
      <c r="I45" s="72"/>
      <c r="J45" s="72"/>
      <c r="K45" s="71" t="s">
        <v>2044</v>
      </c>
      <c r="L45" s="75">
        <v>1</v>
      </c>
      <c r="M45" s="76">
        <v>7037.5126953125</v>
      </c>
      <c r="N45" s="76">
        <v>1778.4942626953125</v>
      </c>
      <c r="O45" s="77"/>
      <c r="P45" s="78"/>
      <c r="Q45" s="78"/>
      <c r="R45" s="90"/>
      <c r="S45" s="48">
        <v>0</v>
      </c>
      <c r="T45" s="48">
        <v>2</v>
      </c>
      <c r="U45" s="49">
        <v>0</v>
      </c>
      <c r="V45" s="49">
        <v>0.25</v>
      </c>
      <c r="W45" s="49">
        <v>0</v>
      </c>
      <c r="X45" s="49">
        <v>0.819147</v>
      </c>
      <c r="Y45" s="49">
        <v>0.5</v>
      </c>
      <c r="Z45" s="49">
        <v>0</v>
      </c>
      <c r="AA45" s="73">
        <v>45</v>
      </c>
      <c r="AB45" s="73"/>
      <c r="AC45" s="74"/>
      <c r="AD45" s="80" t="s">
        <v>1242</v>
      </c>
      <c r="AE45" s="88" t="s">
        <v>1463</v>
      </c>
      <c r="AF45" s="80">
        <v>2682</v>
      </c>
      <c r="AG45" s="80">
        <v>602</v>
      </c>
      <c r="AH45" s="80">
        <v>14573</v>
      </c>
      <c r="AI45" s="80">
        <v>17305</v>
      </c>
      <c r="AJ45" s="80"/>
      <c r="AK45" s="80"/>
      <c r="AL45" s="80"/>
      <c r="AM45" s="80"/>
      <c r="AN45" s="80"/>
      <c r="AO45" s="82">
        <v>40314.03805555555</v>
      </c>
      <c r="AP45" s="80"/>
      <c r="AQ45" s="80" t="b">
        <v>0</v>
      </c>
      <c r="AR45" s="80" t="b">
        <v>0</v>
      </c>
      <c r="AS45" s="80" t="b">
        <v>0</v>
      </c>
      <c r="AT45" s="80"/>
      <c r="AU45" s="80">
        <v>0</v>
      </c>
      <c r="AV45" s="85" t="str">
        <f>HYPERLINK("http://abs.twimg.com/images/themes/theme6/bg.gif")</f>
        <v>http://abs.twimg.com/images/themes/theme6/bg.gif</v>
      </c>
      <c r="AW45" s="80" t="b">
        <v>0</v>
      </c>
      <c r="AX45" s="80" t="s">
        <v>2002</v>
      </c>
      <c r="AY45" s="85" t="str">
        <f>HYPERLINK("https://twitter.com/marcelodgr67")</f>
        <v>https://twitter.com/marcelodgr67</v>
      </c>
      <c r="AZ45" s="80" t="s">
        <v>66</v>
      </c>
      <c r="BA45" s="80" t="str">
        <f>REPLACE(INDEX(GroupVertices[Group],MATCH(Vertices[[#This Row],[Vertex]],GroupVertices[Vertex],0)),1,1,"")</f>
        <v>14</v>
      </c>
      <c r="BB45" s="48">
        <v>0</v>
      </c>
      <c r="BC45" s="49">
        <v>0</v>
      </c>
      <c r="BD45" s="48">
        <v>1</v>
      </c>
      <c r="BE45" s="49">
        <v>4.166666666666667</v>
      </c>
      <c r="BF45" s="48">
        <v>0</v>
      </c>
      <c r="BG45" s="49">
        <v>0</v>
      </c>
      <c r="BH45" s="48">
        <v>23</v>
      </c>
      <c r="BI45" s="49">
        <v>95.83333333333333</v>
      </c>
      <c r="BJ45" s="48">
        <v>24</v>
      </c>
      <c r="BK45" s="48"/>
      <c r="BL45" s="48"/>
      <c r="BM45" s="48"/>
      <c r="BN45" s="48"/>
      <c r="BO45" s="48" t="s">
        <v>701</v>
      </c>
      <c r="BP45" s="48" t="s">
        <v>701</v>
      </c>
      <c r="BQ45" s="125" t="s">
        <v>2873</v>
      </c>
      <c r="BR45" s="125" t="s">
        <v>2873</v>
      </c>
      <c r="BS45" s="125" t="s">
        <v>2988</v>
      </c>
      <c r="BT45" s="125" t="s">
        <v>2988</v>
      </c>
      <c r="BU45" s="2"/>
      <c r="BV45" s="3"/>
      <c r="BW45" s="3"/>
      <c r="BX45" s="3"/>
      <c r="BY45" s="3"/>
    </row>
    <row r="46" spans="1:77" ht="15">
      <c r="A46" s="66" t="s">
        <v>394</v>
      </c>
      <c r="B46" s="67"/>
      <c r="C46" s="67"/>
      <c r="D46" s="68">
        <v>101.50375789473684</v>
      </c>
      <c r="E46" s="70"/>
      <c r="F46" s="104" t="str">
        <f>HYPERLINK("http://pbs.twimg.com/profile_images/1180539516811124736/U0w4DB3S_normal.jpg")</f>
        <v>http://pbs.twimg.com/profile_images/1180539516811124736/U0w4DB3S_normal.jpg</v>
      </c>
      <c r="G46" s="67"/>
      <c r="H46" s="71" t="s">
        <v>394</v>
      </c>
      <c r="I46" s="72"/>
      <c r="J46" s="72"/>
      <c r="K46" s="71" t="s">
        <v>2045</v>
      </c>
      <c r="L46" s="75">
        <v>2.3342216590378326</v>
      </c>
      <c r="M46" s="76">
        <v>4012.337646484375</v>
      </c>
      <c r="N46" s="76">
        <v>4598.4130859375</v>
      </c>
      <c r="O46" s="77"/>
      <c r="P46" s="78"/>
      <c r="Q46" s="78"/>
      <c r="R46" s="90"/>
      <c r="S46" s="48">
        <v>0</v>
      </c>
      <c r="T46" s="48">
        <v>3</v>
      </c>
      <c r="U46" s="49">
        <v>0.285714</v>
      </c>
      <c r="V46" s="49">
        <v>0.028571</v>
      </c>
      <c r="W46" s="49">
        <v>0</v>
      </c>
      <c r="X46" s="49">
        <v>0.761422</v>
      </c>
      <c r="Y46" s="49">
        <v>0.3333333333333333</v>
      </c>
      <c r="Z46" s="49">
        <v>0</v>
      </c>
      <c r="AA46" s="73">
        <v>46</v>
      </c>
      <c r="AB46" s="73"/>
      <c r="AC46" s="74"/>
      <c r="AD46" s="80" t="s">
        <v>1243</v>
      </c>
      <c r="AE46" s="88" t="s">
        <v>1464</v>
      </c>
      <c r="AF46" s="80">
        <v>3014</v>
      </c>
      <c r="AG46" s="80">
        <v>1330</v>
      </c>
      <c r="AH46" s="80">
        <v>23430</v>
      </c>
      <c r="AI46" s="80">
        <v>480</v>
      </c>
      <c r="AJ46" s="80"/>
      <c r="AK46" s="80" t="s">
        <v>1685</v>
      </c>
      <c r="AL46" s="80"/>
      <c r="AM46" s="85" t="str">
        <f>HYPERLINK("https://t.co/xRrpjLjLLy")</f>
        <v>https://t.co/xRrpjLjLLy</v>
      </c>
      <c r="AN46" s="80"/>
      <c r="AO46" s="82">
        <v>40200.43636574074</v>
      </c>
      <c r="AP46" s="85" t="str">
        <f>HYPERLINK("https://pbs.twimg.com/profile_banners/107374564/1464455535")</f>
        <v>https://pbs.twimg.com/profile_banners/107374564/1464455535</v>
      </c>
      <c r="AQ46" s="80" t="b">
        <v>0</v>
      </c>
      <c r="AR46" s="80" t="b">
        <v>0</v>
      </c>
      <c r="AS46" s="80" t="b">
        <v>0</v>
      </c>
      <c r="AT46" s="80"/>
      <c r="AU46" s="80">
        <v>127</v>
      </c>
      <c r="AV46" s="85" t="str">
        <f>HYPERLINK("http://abs.twimg.com/images/themes/theme7/bg.gif")</f>
        <v>http://abs.twimg.com/images/themes/theme7/bg.gif</v>
      </c>
      <c r="AW46" s="80" t="b">
        <v>0</v>
      </c>
      <c r="AX46" s="80" t="s">
        <v>2002</v>
      </c>
      <c r="AY46" s="85" t="str">
        <f>HYPERLINK("https://twitter.com/anaserranot")</f>
        <v>https://twitter.com/anaserranot</v>
      </c>
      <c r="AZ46" s="80" t="s">
        <v>66</v>
      </c>
      <c r="BA46" s="80" t="str">
        <f>REPLACE(INDEX(GroupVertices[Group],MATCH(Vertices[[#This Row],[Vertex]],GroupVertices[Vertex],0)),1,1,"")</f>
        <v>5</v>
      </c>
      <c r="BB46" s="48">
        <v>2</v>
      </c>
      <c r="BC46" s="49">
        <v>5.555555555555555</v>
      </c>
      <c r="BD46" s="48">
        <v>0</v>
      </c>
      <c r="BE46" s="49">
        <v>0</v>
      </c>
      <c r="BF46" s="48">
        <v>0</v>
      </c>
      <c r="BG46" s="49">
        <v>0</v>
      </c>
      <c r="BH46" s="48">
        <v>34</v>
      </c>
      <c r="BI46" s="49">
        <v>94.44444444444444</v>
      </c>
      <c r="BJ46" s="48">
        <v>36</v>
      </c>
      <c r="BK46" s="48"/>
      <c r="BL46" s="48"/>
      <c r="BM46" s="48"/>
      <c r="BN46" s="48"/>
      <c r="BO46" s="48" t="s">
        <v>699</v>
      </c>
      <c r="BP46" s="48" t="s">
        <v>699</v>
      </c>
      <c r="BQ46" s="125" t="s">
        <v>3090</v>
      </c>
      <c r="BR46" s="125" t="s">
        <v>3090</v>
      </c>
      <c r="BS46" s="125" t="s">
        <v>3120</v>
      </c>
      <c r="BT46" s="125" t="s">
        <v>3120</v>
      </c>
      <c r="BU46" s="2"/>
      <c r="BV46" s="3"/>
      <c r="BW46" s="3"/>
      <c r="BX46" s="3"/>
      <c r="BY46" s="3"/>
    </row>
    <row r="47" spans="1:77" ht="15">
      <c r="A47" s="66" t="s">
        <v>395</v>
      </c>
      <c r="B47" s="67"/>
      <c r="C47" s="67"/>
      <c r="D47" s="68">
        <v>100</v>
      </c>
      <c r="E47" s="70"/>
      <c r="F47" s="104" t="str">
        <f>HYPERLINK("http://pbs.twimg.com/profile_images/1018391950406373376/oAMTohyh_normal.jpg")</f>
        <v>http://pbs.twimg.com/profile_images/1018391950406373376/oAMTohyh_normal.jpg</v>
      </c>
      <c r="G47" s="67"/>
      <c r="H47" s="71" t="s">
        <v>395</v>
      </c>
      <c r="I47" s="72"/>
      <c r="J47" s="72"/>
      <c r="K47" s="71" t="s">
        <v>2046</v>
      </c>
      <c r="L47" s="75">
        <v>1</v>
      </c>
      <c r="M47" s="76">
        <v>3530.308349609375</v>
      </c>
      <c r="N47" s="76">
        <v>3634.67041015625</v>
      </c>
      <c r="O47" s="77"/>
      <c r="P47" s="78"/>
      <c r="Q47" s="78"/>
      <c r="R47" s="90"/>
      <c r="S47" s="48">
        <v>0</v>
      </c>
      <c r="T47" s="48">
        <v>2</v>
      </c>
      <c r="U47" s="49">
        <v>0</v>
      </c>
      <c r="V47" s="49">
        <v>0.013158</v>
      </c>
      <c r="W47" s="49">
        <v>0.021547</v>
      </c>
      <c r="X47" s="49">
        <v>0.566735</v>
      </c>
      <c r="Y47" s="49">
        <v>1</v>
      </c>
      <c r="Z47" s="49">
        <v>0</v>
      </c>
      <c r="AA47" s="73">
        <v>47</v>
      </c>
      <c r="AB47" s="73"/>
      <c r="AC47" s="74"/>
      <c r="AD47" s="80" t="s">
        <v>1244</v>
      </c>
      <c r="AE47" s="88" t="s">
        <v>1465</v>
      </c>
      <c r="AF47" s="80">
        <v>2709</v>
      </c>
      <c r="AG47" s="80">
        <v>2954</v>
      </c>
      <c r="AH47" s="80">
        <v>23315</v>
      </c>
      <c r="AI47" s="80">
        <v>29750</v>
      </c>
      <c r="AJ47" s="80"/>
      <c r="AK47" s="80" t="s">
        <v>1686</v>
      </c>
      <c r="AL47" s="80" t="s">
        <v>1887</v>
      </c>
      <c r="AM47" s="85" t="str">
        <f>HYPERLINK("https://t.co/0EctOHOPmN")</f>
        <v>https://t.co/0EctOHOPmN</v>
      </c>
      <c r="AN47" s="80"/>
      <c r="AO47" s="82">
        <v>39765.72782407407</v>
      </c>
      <c r="AP47" s="85" t="str">
        <f>HYPERLINK("https://pbs.twimg.com/profile_banners/17369505/1367967467")</f>
        <v>https://pbs.twimg.com/profile_banners/17369505/1367967467</v>
      </c>
      <c r="AQ47" s="80" t="b">
        <v>0</v>
      </c>
      <c r="AR47" s="80" t="b">
        <v>0</v>
      </c>
      <c r="AS47" s="80" t="b">
        <v>1</v>
      </c>
      <c r="AT47" s="80"/>
      <c r="AU47" s="80">
        <v>264</v>
      </c>
      <c r="AV47" s="85" t="str">
        <f>HYPERLINK("http://abs.twimg.com/images/themes/theme5/bg.gif")</f>
        <v>http://abs.twimg.com/images/themes/theme5/bg.gif</v>
      </c>
      <c r="AW47" s="80" t="b">
        <v>0</v>
      </c>
      <c r="AX47" s="80" t="s">
        <v>2002</v>
      </c>
      <c r="AY47" s="85" t="str">
        <f>HYPERLINK("https://twitter.com/jeremy_morley")</f>
        <v>https://twitter.com/jeremy_morley</v>
      </c>
      <c r="AZ47" s="80" t="s">
        <v>66</v>
      </c>
      <c r="BA47" s="80" t="str">
        <f>REPLACE(INDEX(GroupVertices[Group],MATCH(Vertices[[#This Row],[Vertex]],GroupVertices[Vertex],0)),1,1,"")</f>
        <v>2</v>
      </c>
      <c r="BB47" s="48">
        <v>3</v>
      </c>
      <c r="BC47" s="49">
        <v>7.5</v>
      </c>
      <c r="BD47" s="48">
        <v>0</v>
      </c>
      <c r="BE47" s="49">
        <v>0</v>
      </c>
      <c r="BF47" s="48">
        <v>0</v>
      </c>
      <c r="BG47" s="49">
        <v>0</v>
      </c>
      <c r="BH47" s="48">
        <v>37</v>
      </c>
      <c r="BI47" s="49">
        <v>92.5</v>
      </c>
      <c r="BJ47" s="48">
        <v>40</v>
      </c>
      <c r="BK47" s="48"/>
      <c r="BL47" s="48"/>
      <c r="BM47" s="48"/>
      <c r="BN47" s="48"/>
      <c r="BO47" s="48"/>
      <c r="BP47" s="48"/>
      <c r="BQ47" s="125" t="s">
        <v>3088</v>
      </c>
      <c r="BR47" s="125" t="s">
        <v>3088</v>
      </c>
      <c r="BS47" s="125" t="s">
        <v>2976</v>
      </c>
      <c r="BT47" s="125" t="s">
        <v>2976</v>
      </c>
      <c r="BU47" s="2"/>
      <c r="BV47" s="3"/>
      <c r="BW47" s="3"/>
      <c r="BX47" s="3"/>
      <c r="BY47" s="3"/>
    </row>
    <row r="48" spans="1:77" ht="15">
      <c r="A48" s="66" t="s">
        <v>396</v>
      </c>
      <c r="B48" s="67"/>
      <c r="C48" s="67"/>
      <c r="D48" s="68">
        <v>100</v>
      </c>
      <c r="E48" s="70"/>
      <c r="F48" s="104" t="str">
        <f>HYPERLINK("http://pbs.twimg.com/profile_images/1035175023437336576/PlWu55Xt_normal.jpg")</f>
        <v>http://pbs.twimg.com/profile_images/1035175023437336576/PlWu55Xt_normal.jpg</v>
      </c>
      <c r="G48" s="67"/>
      <c r="H48" s="71" t="s">
        <v>396</v>
      </c>
      <c r="I48" s="72"/>
      <c r="J48" s="72"/>
      <c r="K48" s="71" t="s">
        <v>2047</v>
      </c>
      <c r="L48" s="75">
        <v>1</v>
      </c>
      <c r="M48" s="76">
        <v>485.0145568847656</v>
      </c>
      <c r="N48" s="76">
        <v>1282.966552734375</v>
      </c>
      <c r="O48" s="77"/>
      <c r="P48" s="78"/>
      <c r="Q48" s="78"/>
      <c r="R48" s="90"/>
      <c r="S48" s="48">
        <v>0</v>
      </c>
      <c r="T48" s="48">
        <v>2</v>
      </c>
      <c r="U48" s="49">
        <v>0</v>
      </c>
      <c r="V48" s="49">
        <v>0.013158</v>
      </c>
      <c r="W48" s="49">
        <v>0.021547</v>
      </c>
      <c r="X48" s="49">
        <v>0.566735</v>
      </c>
      <c r="Y48" s="49">
        <v>1</v>
      </c>
      <c r="Z48" s="49">
        <v>0</v>
      </c>
      <c r="AA48" s="73">
        <v>48</v>
      </c>
      <c r="AB48" s="73"/>
      <c r="AC48" s="74"/>
      <c r="AD48" s="80" t="s">
        <v>1245</v>
      </c>
      <c r="AE48" s="88" t="s">
        <v>1466</v>
      </c>
      <c r="AF48" s="80">
        <v>1826</v>
      </c>
      <c r="AG48" s="80">
        <v>8799</v>
      </c>
      <c r="AH48" s="80">
        <v>21926</v>
      </c>
      <c r="AI48" s="80">
        <v>812</v>
      </c>
      <c r="AJ48" s="80"/>
      <c r="AK48" s="80" t="s">
        <v>1687</v>
      </c>
      <c r="AL48" s="80" t="s">
        <v>1871</v>
      </c>
      <c r="AM48" s="85" t="str">
        <f>HYPERLINK("https://t.co/pBnGClOooy")</f>
        <v>https://t.co/pBnGClOooy</v>
      </c>
      <c r="AN48" s="80"/>
      <c r="AO48" s="82">
        <v>39578.80484953704</v>
      </c>
      <c r="AP48" s="85" t="str">
        <f>HYPERLINK("https://pbs.twimg.com/profile_banners/14727078/1582059135")</f>
        <v>https://pbs.twimg.com/profile_banners/14727078/1582059135</v>
      </c>
      <c r="AQ48" s="80" t="b">
        <v>0</v>
      </c>
      <c r="AR48" s="80" t="b">
        <v>0</v>
      </c>
      <c r="AS48" s="80" t="b">
        <v>1</v>
      </c>
      <c r="AT48" s="80"/>
      <c r="AU48" s="80">
        <v>642</v>
      </c>
      <c r="AV48" s="85" t="str">
        <f>HYPERLINK("http://abs.twimg.com/images/themes/theme2/bg.gif")</f>
        <v>http://abs.twimg.com/images/themes/theme2/bg.gif</v>
      </c>
      <c r="AW48" s="80" t="b">
        <v>0</v>
      </c>
      <c r="AX48" s="80" t="s">
        <v>2002</v>
      </c>
      <c r="AY48" s="85" t="str">
        <f>HYPERLINK("https://twitter.com/jenit")</f>
        <v>https://twitter.com/jenit</v>
      </c>
      <c r="AZ48" s="80" t="s">
        <v>66</v>
      </c>
      <c r="BA48" s="80" t="str">
        <f>REPLACE(INDEX(GroupVertices[Group],MATCH(Vertices[[#This Row],[Vertex]],GroupVertices[Vertex],0)),1,1,"")</f>
        <v>2</v>
      </c>
      <c r="BB48" s="48">
        <v>3</v>
      </c>
      <c r="BC48" s="49">
        <v>7.5</v>
      </c>
      <c r="BD48" s="48">
        <v>0</v>
      </c>
      <c r="BE48" s="49">
        <v>0</v>
      </c>
      <c r="BF48" s="48">
        <v>0</v>
      </c>
      <c r="BG48" s="49">
        <v>0</v>
      </c>
      <c r="BH48" s="48">
        <v>37</v>
      </c>
      <c r="BI48" s="49">
        <v>92.5</v>
      </c>
      <c r="BJ48" s="48">
        <v>40</v>
      </c>
      <c r="BK48" s="48"/>
      <c r="BL48" s="48"/>
      <c r="BM48" s="48"/>
      <c r="BN48" s="48"/>
      <c r="BO48" s="48"/>
      <c r="BP48" s="48"/>
      <c r="BQ48" s="125" t="s">
        <v>3088</v>
      </c>
      <c r="BR48" s="125" t="s">
        <v>3088</v>
      </c>
      <c r="BS48" s="125" t="s">
        <v>2976</v>
      </c>
      <c r="BT48" s="125" t="s">
        <v>2976</v>
      </c>
      <c r="BU48" s="2"/>
      <c r="BV48" s="3"/>
      <c r="BW48" s="3"/>
      <c r="BX48" s="3"/>
      <c r="BY48" s="3"/>
    </row>
    <row r="49" spans="1:77" ht="15">
      <c r="A49" s="66" t="s">
        <v>397</v>
      </c>
      <c r="B49" s="67"/>
      <c r="C49" s="67"/>
      <c r="D49" s="68">
        <v>101.50375789473684</v>
      </c>
      <c r="E49" s="70"/>
      <c r="F49" s="104" t="str">
        <f>HYPERLINK("http://pbs.twimg.com/profile_images/1042441961368629249/OZo_zt9b_normal.jpg")</f>
        <v>http://pbs.twimg.com/profile_images/1042441961368629249/OZo_zt9b_normal.jpg</v>
      </c>
      <c r="G49" s="67"/>
      <c r="H49" s="71" t="s">
        <v>397</v>
      </c>
      <c r="I49" s="72"/>
      <c r="J49" s="72"/>
      <c r="K49" s="71" t="s">
        <v>2048</v>
      </c>
      <c r="L49" s="75">
        <v>2.3342216590378326</v>
      </c>
      <c r="M49" s="76">
        <v>4291.765625</v>
      </c>
      <c r="N49" s="76">
        <v>5802.451171875</v>
      </c>
      <c r="O49" s="77"/>
      <c r="P49" s="78"/>
      <c r="Q49" s="78"/>
      <c r="R49" s="90"/>
      <c r="S49" s="48">
        <v>0</v>
      </c>
      <c r="T49" s="48">
        <v>3</v>
      </c>
      <c r="U49" s="49">
        <v>0.285714</v>
      </c>
      <c r="V49" s="49">
        <v>0.028571</v>
      </c>
      <c r="W49" s="49">
        <v>0</v>
      </c>
      <c r="X49" s="49">
        <v>0.761422</v>
      </c>
      <c r="Y49" s="49">
        <v>0.3333333333333333</v>
      </c>
      <c r="Z49" s="49">
        <v>0</v>
      </c>
      <c r="AA49" s="73">
        <v>49</v>
      </c>
      <c r="AB49" s="73"/>
      <c r="AC49" s="74"/>
      <c r="AD49" s="80" t="s">
        <v>1246</v>
      </c>
      <c r="AE49" s="88" t="s">
        <v>1467</v>
      </c>
      <c r="AF49" s="80">
        <v>2350</v>
      </c>
      <c r="AG49" s="80">
        <v>2296</v>
      </c>
      <c r="AH49" s="80">
        <v>5979</v>
      </c>
      <c r="AI49" s="80">
        <v>5941</v>
      </c>
      <c r="AJ49" s="80"/>
      <c r="AK49" s="80" t="s">
        <v>1688</v>
      </c>
      <c r="AL49" s="80" t="s">
        <v>1888</v>
      </c>
      <c r="AM49" s="85" t="str">
        <f>HYPERLINK("https://t.co/KW1rRbVDa9")</f>
        <v>https://t.co/KW1rRbVDa9</v>
      </c>
      <c r="AN49" s="80"/>
      <c r="AO49" s="82">
        <v>40287.38756944444</v>
      </c>
      <c r="AP49" s="85" t="str">
        <f>HYPERLINK("https://pbs.twimg.com/profile_banners/134740685/1537372537")</f>
        <v>https://pbs.twimg.com/profile_banners/134740685/1537372537</v>
      </c>
      <c r="AQ49" s="80" t="b">
        <v>0</v>
      </c>
      <c r="AR49" s="80" t="b">
        <v>0</v>
      </c>
      <c r="AS49" s="80" t="b">
        <v>1</v>
      </c>
      <c r="AT49" s="80"/>
      <c r="AU49" s="80">
        <v>208</v>
      </c>
      <c r="AV49" s="85" t="str">
        <f>HYPERLINK("http://abs.twimg.com/images/themes/theme5/bg.gif")</f>
        <v>http://abs.twimg.com/images/themes/theme5/bg.gif</v>
      </c>
      <c r="AW49" s="80" t="b">
        <v>0</v>
      </c>
      <c r="AX49" s="80" t="s">
        <v>2002</v>
      </c>
      <c r="AY49" s="85" t="str">
        <f>HYPERLINK("https://twitter.com/susanagarayoa")</f>
        <v>https://twitter.com/susanagarayoa</v>
      </c>
      <c r="AZ49" s="80" t="s">
        <v>66</v>
      </c>
      <c r="BA49" s="80" t="str">
        <f>REPLACE(INDEX(GroupVertices[Group],MATCH(Vertices[[#This Row],[Vertex]],GroupVertices[Vertex],0)),1,1,"")</f>
        <v>5</v>
      </c>
      <c r="BB49" s="48">
        <v>2</v>
      </c>
      <c r="BC49" s="49">
        <v>5.555555555555555</v>
      </c>
      <c r="BD49" s="48">
        <v>0</v>
      </c>
      <c r="BE49" s="49">
        <v>0</v>
      </c>
      <c r="BF49" s="48">
        <v>0</v>
      </c>
      <c r="BG49" s="49">
        <v>0</v>
      </c>
      <c r="BH49" s="48">
        <v>34</v>
      </c>
      <c r="BI49" s="49">
        <v>94.44444444444444</v>
      </c>
      <c r="BJ49" s="48">
        <v>36</v>
      </c>
      <c r="BK49" s="48"/>
      <c r="BL49" s="48"/>
      <c r="BM49" s="48"/>
      <c r="BN49" s="48"/>
      <c r="BO49" s="48" t="s">
        <v>699</v>
      </c>
      <c r="BP49" s="48" t="s">
        <v>699</v>
      </c>
      <c r="BQ49" s="125" t="s">
        <v>3090</v>
      </c>
      <c r="BR49" s="125" t="s">
        <v>3090</v>
      </c>
      <c r="BS49" s="125" t="s">
        <v>3120</v>
      </c>
      <c r="BT49" s="125" t="s">
        <v>3120</v>
      </c>
      <c r="BU49" s="2"/>
      <c r="BV49" s="3"/>
      <c r="BW49" s="3"/>
      <c r="BX49" s="3"/>
      <c r="BY49" s="3"/>
    </row>
    <row r="50" spans="1:77" ht="15">
      <c r="A50" s="66" t="s">
        <v>398</v>
      </c>
      <c r="B50" s="67"/>
      <c r="C50" s="67"/>
      <c r="D50" s="68">
        <v>100.47846842105263</v>
      </c>
      <c r="E50" s="70"/>
      <c r="F50" s="104" t="str">
        <f>HYPERLINK("http://pbs.twimg.com/profile_images/1023052984811438080/R5xMoijf_normal.jpg")</f>
        <v>http://pbs.twimg.com/profile_images/1023052984811438080/R5xMoijf_normal.jpg</v>
      </c>
      <c r="G50" s="67"/>
      <c r="H50" s="71" t="s">
        <v>398</v>
      </c>
      <c r="I50" s="72"/>
      <c r="J50" s="72"/>
      <c r="K50" s="71" t="s">
        <v>2049</v>
      </c>
      <c r="L50" s="75">
        <v>1.4245250733302195</v>
      </c>
      <c r="M50" s="76">
        <v>6596.7373046875</v>
      </c>
      <c r="N50" s="76">
        <v>9703.9345703125</v>
      </c>
      <c r="O50" s="77"/>
      <c r="P50" s="78"/>
      <c r="Q50" s="78"/>
      <c r="R50" s="90"/>
      <c r="S50" s="48">
        <v>0</v>
      </c>
      <c r="T50" s="48">
        <v>2</v>
      </c>
      <c r="U50" s="49">
        <v>0.090909</v>
      </c>
      <c r="V50" s="49">
        <v>0.02</v>
      </c>
      <c r="W50" s="49">
        <v>0</v>
      </c>
      <c r="X50" s="49">
        <v>0.508988</v>
      </c>
      <c r="Y50" s="49">
        <v>0</v>
      </c>
      <c r="Z50" s="49">
        <v>0</v>
      </c>
      <c r="AA50" s="73">
        <v>50</v>
      </c>
      <c r="AB50" s="73"/>
      <c r="AC50" s="74"/>
      <c r="AD50" s="80" t="s">
        <v>1247</v>
      </c>
      <c r="AE50" s="88" t="s">
        <v>1468</v>
      </c>
      <c r="AF50" s="80">
        <v>140</v>
      </c>
      <c r="AG50" s="80">
        <v>310</v>
      </c>
      <c r="AH50" s="80">
        <v>4501</v>
      </c>
      <c r="AI50" s="80">
        <v>7698</v>
      </c>
      <c r="AJ50" s="80"/>
      <c r="AK50" s="80" t="s">
        <v>1689</v>
      </c>
      <c r="AL50" s="80" t="s">
        <v>1889</v>
      </c>
      <c r="AM50" s="80"/>
      <c r="AN50" s="80"/>
      <c r="AO50" s="82">
        <v>40758.45704861111</v>
      </c>
      <c r="AP50" s="85" t="str">
        <f>HYPERLINK("https://pbs.twimg.com/profile_banners/347790846/1553443664")</f>
        <v>https://pbs.twimg.com/profile_banners/347790846/1553443664</v>
      </c>
      <c r="AQ50" s="80" t="b">
        <v>1</v>
      </c>
      <c r="AR50" s="80" t="b">
        <v>0</v>
      </c>
      <c r="AS50" s="80" t="b">
        <v>1</v>
      </c>
      <c r="AT50" s="80"/>
      <c r="AU50" s="80">
        <v>9</v>
      </c>
      <c r="AV50" s="85" t="str">
        <f>HYPERLINK("http://abs.twimg.com/images/themes/theme1/bg.png")</f>
        <v>http://abs.twimg.com/images/themes/theme1/bg.png</v>
      </c>
      <c r="AW50" s="80" t="b">
        <v>0</v>
      </c>
      <c r="AX50" s="80" t="s">
        <v>2002</v>
      </c>
      <c r="AY50" s="85" t="str">
        <f>HYPERLINK("https://twitter.com/hlutwama")</f>
        <v>https://twitter.com/hlutwama</v>
      </c>
      <c r="AZ50" s="80" t="s">
        <v>66</v>
      </c>
      <c r="BA50" s="80" t="str">
        <f>REPLACE(INDEX(GroupVertices[Group],MATCH(Vertices[[#This Row],[Vertex]],GroupVertices[Vertex],0)),1,1,"")</f>
        <v>3</v>
      </c>
      <c r="BB50" s="48">
        <v>1</v>
      </c>
      <c r="BC50" s="49">
        <v>5.2631578947368425</v>
      </c>
      <c r="BD50" s="48">
        <v>0</v>
      </c>
      <c r="BE50" s="49">
        <v>0</v>
      </c>
      <c r="BF50" s="48">
        <v>0</v>
      </c>
      <c r="BG50" s="49">
        <v>0</v>
      </c>
      <c r="BH50" s="48">
        <v>18</v>
      </c>
      <c r="BI50" s="49">
        <v>94.73684210526316</v>
      </c>
      <c r="BJ50" s="48">
        <v>19</v>
      </c>
      <c r="BK50" s="48" t="s">
        <v>2724</v>
      </c>
      <c r="BL50" s="48" t="s">
        <v>2724</v>
      </c>
      <c r="BM50" s="48" t="s">
        <v>678</v>
      </c>
      <c r="BN50" s="48" t="s">
        <v>678</v>
      </c>
      <c r="BO50" s="48" t="s">
        <v>703</v>
      </c>
      <c r="BP50" s="48" t="s">
        <v>703</v>
      </c>
      <c r="BQ50" s="125" t="s">
        <v>3091</v>
      </c>
      <c r="BR50" s="125" t="s">
        <v>3091</v>
      </c>
      <c r="BS50" s="125" t="s">
        <v>2977</v>
      </c>
      <c r="BT50" s="125" t="s">
        <v>2977</v>
      </c>
      <c r="BU50" s="2"/>
      <c r="BV50" s="3"/>
      <c r="BW50" s="3"/>
      <c r="BX50" s="3"/>
      <c r="BY50" s="3"/>
    </row>
    <row r="51" spans="1:77" ht="15">
      <c r="A51" s="66" t="s">
        <v>526</v>
      </c>
      <c r="B51" s="67"/>
      <c r="C51" s="67"/>
      <c r="D51" s="68">
        <v>1000</v>
      </c>
      <c r="E51" s="70"/>
      <c r="F51" s="104" t="str">
        <f>HYPERLINK("http://pbs.twimg.com/profile_images/1190503555901394944/T4qowO0X_normal.jpg")</f>
        <v>http://pbs.twimg.com/profile_images/1190503555901394944/T4qowO0X_normal.jpg</v>
      </c>
      <c r="G51" s="67"/>
      <c r="H51" s="71" t="s">
        <v>526</v>
      </c>
      <c r="I51" s="72"/>
      <c r="J51" s="72"/>
      <c r="K51" s="71" t="s">
        <v>2050</v>
      </c>
      <c r="L51" s="75">
        <v>1138.8698443092014</v>
      </c>
      <c r="M51" s="76">
        <v>6025.8896484375</v>
      </c>
      <c r="N51" s="76">
        <v>8172.52587890625</v>
      </c>
      <c r="O51" s="77"/>
      <c r="P51" s="78"/>
      <c r="Q51" s="78"/>
      <c r="R51" s="90"/>
      <c r="S51" s="48">
        <v>22</v>
      </c>
      <c r="T51" s="48">
        <v>0</v>
      </c>
      <c r="U51" s="49">
        <v>243.666667</v>
      </c>
      <c r="V51" s="49">
        <v>0.035714</v>
      </c>
      <c r="W51" s="49">
        <v>0</v>
      </c>
      <c r="X51" s="49">
        <v>4.645727</v>
      </c>
      <c r="Y51" s="49">
        <v>0.023809523809523808</v>
      </c>
      <c r="Z51" s="49">
        <v>0</v>
      </c>
      <c r="AA51" s="73">
        <v>51</v>
      </c>
      <c r="AB51" s="73"/>
      <c r="AC51" s="74"/>
      <c r="AD51" s="80" t="s">
        <v>1248</v>
      </c>
      <c r="AE51" s="88" t="s">
        <v>1469</v>
      </c>
      <c r="AF51" s="80">
        <v>213</v>
      </c>
      <c r="AG51" s="80">
        <v>6277641</v>
      </c>
      <c r="AH51" s="80">
        <v>253784</v>
      </c>
      <c r="AI51" s="80">
        <v>6002</v>
      </c>
      <c r="AJ51" s="80"/>
      <c r="AK51" s="80" t="s">
        <v>1690</v>
      </c>
      <c r="AL51" s="80" t="s">
        <v>1890</v>
      </c>
      <c r="AM51" s="85" t="str">
        <f>HYPERLINK("https://t.co/D38RZjLnhI")</f>
        <v>https://t.co/D38RZjLnhI</v>
      </c>
      <c r="AN51" s="80"/>
      <c r="AO51" s="82">
        <v>39189.34939814815</v>
      </c>
      <c r="AP51" s="85" t="str">
        <f>HYPERLINK("https://pbs.twimg.com/profile_banners/4970411/1592832352")</f>
        <v>https://pbs.twimg.com/profile_banners/4970411/1592832352</v>
      </c>
      <c r="AQ51" s="80" t="b">
        <v>0</v>
      </c>
      <c r="AR51" s="80" t="b">
        <v>0</v>
      </c>
      <c r="AS51" s="80" t="b">
        <v>1</v>
      </c>
      <c r="AT51" s="80"/>
      <c r="AU51" s="80">
        <v>51049</v>
      </c>
      <c r="AV51" s="85" t="str">
        <f>HYPERLINK("http://abs.twimg.com/images/themes/theme1/bg.png")</f>
        <v>http://abs.twimg.com/images/themes/theme1/bg.png</v>
      </c>
      <c r="AW51" s="80" t="b">
        <v>1</v>
      </c>
      <c r="AX51" s="80" t="s">
        <v>2002</v>
      </c>
      <c r="AY51" s="85" t="str">
        <f>HYPERLINK("https://twitter.com/ajenglish")</f>
        <v>https://twitter.com/ajenglish</v>
      </c>
      <c r="AZ51" s="80" t="s">
        <v>65</v>
      </c>
      <c r="BA51" s="80" t="str">
        <f>REPLACE(INDEX(GroupVertices[Group],MATCH(Vertices[[#This Row],[Vertex]],GroupVertices[Vertex],0)),1,1,"")</f>
        <v>3</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6" t="s">
        <v>527</v>
      </c>
      <c r="B52" s="67"/>
      <c r="C52" s="67"/>
      <c r="D52" s="68">
        <v>1000</v>
      </c>
      <c r="E52" s="70"/>
      <c r="F52" s="104" t="str">
        <f>HYPERLINK("http://pbs.twimg.com/profile_images/861586626480402432/jDiQR4G4_normal.jpg")</f>
        <v>http://pbs.twimg.com/profile_images/861586626480402432/jDiQR4G4_normal.jpg</v>
      </c>
      <c r="G52" s="67"/>
      <c r="H52" s="71" t="s">
        <v>527</v>
      </c>
      <c r="I52" s="72"/>
      <c r="J52" s="72"/>
      <c r="K52" s="71" t="s">
        <v>2051</v>
      </c>
      <c r="L52" s="75">
        <v>1138.8698443092014</v>
      </c>
      <c r="M52" s="76">
        <v>6140.77490234375</v>
      </c>
      <c r="N52" s="76">
        <v>8241.662109375</v>
      </c>
      <c r="O52" s="77"/>
      <c r="P52" s="78"/>
      <c r="Q52" s="78"/>
      <c r="R52" s="90"/>
      <c r="S52" s="48">
        <v>22</v>
      </c>
      <c r="T52" s="48">
        <v>0</v>
      </c>
      <c r="U52" s="49">
        <v>243.666667</v>
      </c>
      <c r="V52" s="49">
        <v>0.035714</v>
      </c>
      <c r="W52" s="49">
        <v>0</v>
      </c>
      <c r="X52" s="49">
        <v>4.645727</v>
      </c>
      <c r="Y52" s="49">
        <v>0.023809523809523808</v>
      </c>
      <c r="Z52" s="49">
        <v>0</v>
      </c>
      <c r="AA52" s="73">
        <v>52</v>
      </c>
      <c r="AB52" s="73"/>
      <c r="AC52" s="74"/>
      <c r="AD52" s="80" t="s">
        <v>1249</v>
      </c>
      <c r="AE52" s="88" t="s">
        <v>1470</v>
      </c>
      <c r="AF52" s="80">
        <v>99</v>
      </c>
      <c r="AG52" s="80">
        <v>5137</v>
      </c>
      <c r="AH52" s="80">
        <v>796</v>
      </c>
      <c r="AI52" s="80">
        <v>377</v>
      </c>
      <c r="AJ52" s="80"/>
      <c r="AK52" s="80" t="s">
        <v>1691</v>
      </c>
      <c r="AL52" s="80" t="s">
        <v>1891</v>
      </c>
      <c r="AM52" s="85" t="str">
        <f>HYPERLINK("https://t.co/o1KPHFTZn4")</f>
        <v>https://t.co/o1KPHFTZn4</v>
      </c>
      <c r="AN52" s="80"/>
      <c r="AO52" s="82">
        <v>40644.294965277775</v>
      </c>
      <c r="AP52" s="85" t="str">
        <f>HYPERLINK("https://pbs.twimg.com/profile_banners/280386209/1469536823")</f>
        <v>https://pbs.twimg.com/profile_banners/280386209/1469536823</v>
      </c>
      <c r="AQ52" s="80" t="b">
        <v>1</v>
      </c>
      <c r="AR52" s="80" t="b">
        <v>0</v>
      </c>
      <c r="AS52" s="80" t="b">
        <v>1</v>
      </c>
      <c r="AT52" s="80"/>
      <c r="AU52" s="80">
        <v>124</v>
      </c>
      <c r="AV52" s="85" t="str">
        <f>HYPERLINK("http://abs.twimg.com/images/themes/theme1/bg.png")</f>
        <v>http://abs.twimg.com/images/themes/theme1/bg.png</v>
      </c>
      <c r="AW52" s="80" t="b">
        <v>1</v>
      </c>
      <c r="AX52" s="80" t="s">
        <v>2002</v>
      </c>
      <c r="AY52" s="85" t="str">
        <f>HYPERLINK("https://twitter.com/ajlabs")</f>
        <v>https://twitter.com/ajlabs</v>
      </c>
      <c r="AZ52" s="80" t="s">
        <v>65</v>
      </c>
      <c r="BA52" s="80" t="str">
        <f>REPLACE(INDEX(GroupVertices[Group],MATCH(Vertices[[#This Row],[Vertex]],GroupVertices[Vertex],0)),1,1,"")</f>
        <v>3</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6" t="s">
        <v>399</v>
      </c>
      <c r="B53" s="67"/>
      <c r="C53" s="67"/>
      <c r="D53" s="68">
        <v>100</v>
      </c>
      <c r="E53" s="70"/>
      <c r="F53" s="104" t="str">
        <f>HYPERLINK("http://pbs.twimg.com/profile_images/378800000573874304/8d69ae96654c67dbde48e40b2b94638d_normal.jpeg")</f>
        <v>http://pbs.twimg.com/profile_images/378800000573874304/8d69ae96654c67dbde48e40b2b94638d_normal.jpeg</v>
      </c>
      <c r="G53" s="67"/>
      <c r="H53" s="71" t="s">
        <v>399</v>
      </c>
      <c r="I53" s="72"/>
      <c r="J53" s="72"/>
      <c r="K53" s="71" t="s">
        <v>2052</v>
      </c>
      <c r="L53" s="75">
        <v>1</v>
      </c>
      <c r="M53" s="76">
        <v>9884.892578125</v>
      </c>
      <c r="N53" s="76">
        <v>5596.65869140625</v>
      </c>
      <c r="O53" s="77"/>
      <c r="P53" s="78"/>
      <c r="Q53" s="78"/>
      <c r="R53" s="90"/>
      <c r="S53" s="48">
        <v>0</v>
      </c>
      <c r="T53" s="48">
        <v>1</v>
      </c>
      <c r="U53" s="49">
        <v>0</v>
      </c>
      <c r="V53" s="49">
        <v>0.111111</v>
      </c>
      <c r="W53" s="49">
        <v>0</v>
      </c>
      <c r="X53" s="49">
        <v>0.585365</v>
      </c>
      <c r="Y53" s="49">
        <v>0</v>
      </c>
      <c r="Z53" s="49">
        <v>0</v>
      </c>
      <c r="AA53" s="73">
        <v>53</v>
      </c>
      <c r="AB53" s="73"/>
      <c r="AC53" s="74"/>
      <c r="AD53" s="80" t="s">
        <v>1250</v>
      </c>
      <c r="AE53" s="88" t="s">
        <v>1471</v>
      </c>
      <c r="AF53" s="80">
        <v>2155</v>
      </c>
      <c r="AG53" s="80">
        <v>708</v>
      </c>
      <c r="AH53" s="80">
        <v>12742</v>
      </c>
      <c r="AI53" s="80">
        <v>87940</v>
      </c>
      <c r="AJ53" s="80"/>
      <c r="AK53" s="80" t="s">
        <v>1692</v>
      </c>
      <c r="AL53" s="80" t="s">
        <v>1892</v>
      </c>
      <c r="AM53" s="85" t="str">
        <f>HYPERLINK("https://t.co/xFrxkKfpr3")</f>
        <v>https://t.co/xFrxkKfpr3</v>
      </c>
      <c r="AN53" s="80"/>
      <c r="AO53" s="82">
        <v>40374.21944444445</v>
      </c>
      <c r="AP53" s="85" t="str">
        <f>HYPERLINK("https://pbs.twimg.com/profile_banners/166866466/1381371701")</f>
        <v>https://pbs.twimg.com/profile_banners/166866466/1381371701</v>
      </c>
      <c r="AQ53" s="80" t="b">
        <v>0</v>
      </c>
      <c r="AR53" s="80" t="b">
        <v>0</v>
      </c>
      <c r="AS53" s="80" t="b">
        <v>0</v>
      </c>
      <c r="AT53" s="80"/>
      <c r="AU53" s="80">
        <v>14</v>
      </c>
      <c r="AV53" s="85" t="str">
        <f>HYPERLINK("http://abs.twimg.com/images/themes/theme1/bg.png")</f>
        <v>http://abs.twimg.com/images/themes/theme1/bg.png</v>
      </c>
      <c r="AW53" s="80" t="b">
        <v>0</v>
      </c>
      <c r="AX53" s="80" t="s">
        <v>2002</v>
      </c>
      <c r="AY53" s="85" t="str">
        <f>HYPERLINK("https://twitter.com/sergiogarciamor")</f>
        <v>https://twitter.com/sergiogarciamor</v>
      </c>
      <c r="AZ53" s="80" t="s">
        <v>66</v>
      </c>
      <c r="BA53" s="80" t="str">
        <f>REPLACE(INDEX(GroupVertices[Group],MATCH(Vertices[[#This Row],[Vertex]],GroupVertices[Vertex],0)),1,1,"")</f>
        <v>9</v>
      </c>
      <c r="BB53" s="48">
        <v>1</v>
      </c>
      <c r="BC53" s="49">
        <v>16.666666666666668</v>
      </c>
      <c r="BD53" s="48">
        <v>0</v>
      </c>
      <c r="BE53" s="49">
        <v>0</v>
      </c>
      <c r="BF53" s="48">
        <v>0</v>
      </c>
      <c r="BG53" s="49">
        <v>0</v>
      </c>
      <c r="BH53" s="48">
        <v>5</v>
      </c>
      <c r="BI53" s="49">
        <v>83.33333333333333</v>
      </c>
      <c r="BJ53" s="48">
        <v>6</v>
      </c>
      <c r="BK53" s="48"/>
      <c r="BL53" s="48"/>
      <c r="BM53" s="48"/>
      <c r="BN53" s="48"/>
      <c r="BO53" s="48" t="s">
        <v>698</v>
      </c>
      <c r="BP53" s="48" t="s">
        <v>698</v>
      </c>
      <c r="BQ53" s="125" t="s">
        <v>3083</v>
      </c>
      <c r="BR53" s="125" t="s">
        <v>3083</v>
      </c>
      <c r="BS53" s="125" t="s">
        <v>2983</v>
      </c>
      <c r="BT53" s="125" t="s">
        <v>2983</v>
      </c>
      <c r="BU53" s="2"/>
      <c r="BV53" s="3"/>
      <c r="BW53" s="3"/>
      <c r="BX53" s="3"/>
      <c r="BY53" s="3"/>
    </row>
    <row r="54" spans="1:77" ht="15">
      <c r="A54" s="66" t="s">
        <v>400</v>
      </c>
      <c r="B54" s="67"/>
      <c r="C54" s="67"/>
      <c r="D54" s="68">
        <v>100.47846842105263</v>
      </c>
      <c r="E54" s="70"/>
      <c r="F54" s="104" t="str">
        <f>HYPERLINK("http://abs.twimg.com/sticky/default_profile_images/default_profile_normal.png")</f>
        <v>http://abs.twimg.com/sticky/default_profile_images/default_profile_normal.png</v>
      </c>
      <c r="G54" s="67"/>
      <c r="H54" s="71" t="s">
        <v>400</v>
      </c>
      <c r="I54" s="72"/>
      <c r="J54" s="72"/>
      <c r="K54" s="71" t="s">
        <v>2053</v>
      </c>
      <c r="L54" s="75">
        <v>1.4245250733302195</v>
      </c>
      <c r="M54" s="76">
        <v>5805.2412109375</v>
      </c>
      <c r="N54" s="76">
        <v>9803.8759765625</v>
      </c>
      <c r="O54" s="77"/>
      <c r="P54" s="78"/>
      <c r="Q54" s="78"/>
      <c r="R54" s="90"/>
      <c r="S54" s="48">
        <v>0</v>
      </c>
      <c r="T54" s="48">
        <v>2</v>
      </c>
      <c r="U54" s="49">
        <v>0.090909</v>
      </c>
      <c r="V54" s="49">
        <v>0.02</v>
      </c>
      <c r="W54" s="49">
        <v>0</v>
      </c>
      <c r="X54" s="49">
        <v>0.508988</v>
      </c>
      <c r="Y54" s="49">
        <v>0</v>
      </c>
      <c r="Z54" s="49">
        <v>0</v>
      </c>
      <c r="AA54" s="73">
        <v>54</v>
      </c>
      <c r="AB54" s="73"/>
      <c r="AC54" s="74"/>
      <c r="AD54" s="80" t="s">
        <v>1251</v>
      </c>
      <c r="AE54" s="88" t="s">
        <v>1472</v>
      </c>
      <c r="AF54" s="80">
        <v>915</v>
      </c>
      <c r="AG54" s="80">
        <v>175</v>
      </c>
      <c r="AH54" s="80">
        <v>588</v>
      </c>
      <c r="AI54" s="80">
        <v>15973</v>
      </c>
      <c r="AJ54" s="80"/>
      <c r="AK54" s="80"/>
      <c r="AL54" s="80"/>
      <c r="AM54" s="80"/>
      <c r="AN54" s="80"/>
      <c r="AO54" s="82">
        <v>41219.32502314815</v>
      </c>
      <c r="AP54" s="80"/>
      <c r="AQ54" s="80" t="b">
        <v>1</v>
      </c>
      <c r="AR54" s="80" t="b">
        <v>1</v>
      </c>
      <c r="AS54" s="80" t="b">
        <v>0</v>
      </c>
      <c r="AT54" s="80"/>
      <c r="AU54" s="80">
        <v>0</v>
      </c>
      <c r="AV54" s="85" t="str">
        <f>HYPERLINK("http://abs.twimg.com/images/themes/theme1/bg.png")</f>
        <v>http://abs.twimg.com/images/themes/theme1/bg.png</v>
      </c>
      <c r="AW54" s="80" t="b">
        <v>0</v>
      </c>
      <c r="AX54" s="80" t="s">
        <v>2002</v>
      </c>
      <c r="AY54" s="85" t="str">
        <f>HYPERLINK("https://twitter.com/rorisangshomang")</f>
        <v>https://twitter.com/rorisangshomang</v>
      </c>
      <c r="AZ54" s="80" t="s">
        <v>66</v>
      </c>
      <c r="BA54" s="80" t="str">
        <f>REPLACE(INDEX(GroupVertices[Group],MATCH(Vertices[[#This Row],[Vertex]],GroupVertices[Vertex],0)),1,1,"")</f>
        <v>3</v>
      </c>
      <c r="BB54" s="48">
        <v>1</v>
      </c>
      <c r="BC54" s="49">
        <v>5.2631578947368425</v>
      </c>
      <c r="BD54" s="48">
        <v>0</v>
      </c>
      <c r="BE54" s="49">
        <v>0</v>
      </c>
      <c r="BF54" s="48">
        <v>0</v>
      </c>
      <c r="BG54" s="49">
        <v>0</v>
      </c>
      <c r="BH54" s="48">
        <v>18</v>
      </c>
      <c r="BI54" s="49">
        <v>94.73684210526316</v>
      </c>
      <c r="BJ54" s="48">
        <v>19</v>
      </c>
      <c r="BK54" s="48" t="s">
        <v>2724</v>
      </c>
      <c r="BL54" s="48" t="s">
        <v>2724</v>
      </c>
      <c r="BM54" s="48" t="s">
        <v>678</v>
      </c>
      <c r="BN54" s="48" t="s">
        <v>678</v>
      </c>
      <c r="BO54" s="48" t="s">
        <v>703</v>
      </c>
      <c r="BP54" s="48" t="s">
        <v>703</v>
      </c>
      <c r="BQ54" s="125" t="s">
        <v>3091</v>
      </c>
      <c r="BR54" s="125" t="s">
        <v>3091</v>
      </c>
      <c r="BS54" s="125" t="s">
        <v>2977</v>
      </c>
      <c r="BT54" s="125" t="s">
        <v>2977</v>
      </c>
      <c r="BU54" s="2"/>
      <c r="BV54" s="3"/>
      <c r="BW54" s="3"/>
      <c r="BX54" s="3"/>
      <c r="BY54" s="3"/>
    </row>
    <row r="55" spans="1:77" ht="15">
      <c r="A55" s="66" t="s">
        <v>401</v>
      </c>
      <c r="B55" s="67"/>
      <c r="C55" s="67"/>
      <c r="D55" s="68">
        <v>100.47846842105263</v>
      </c>
      <c r="E55" s="70"/>
      <c r="F55" s="104" t="str">
        <f>HYPERLINK("http://pbs.twimg.com/profile_images/1154077318664663041/hcieLb5Z_normal.jpg")</f>
        <v>http://pbs.twimg.com/profile_images/1154077318664663041/hcieLb5Z_normal.jpg</v>
      </c>
      <c r="G55" s="67"/>
      <c r="H55" s="71" t="s">
        <v>401</v>
      </c>
      <c r="I55" s="72"/>
      <c r="J55" s="72"/>
      <c r="K55" s="71" t="s">
        <v>2054</v>
      </c>
      <c r="L55" s="75">
        <v>1.4245250733302195</v>
      </c>
      <c r="M55" s="76">
        <v>5432.4677734375</v>
      </c>
      <c r="N55" s="76">
        <v>9514.34765625</v>
      </c>
      <c r="O55" s="77"/>
      <c r="P55" s="78"/>
      <c r="Q55" s="78"/>
      <c r="R55" s="90"/>
      <c r="S55" s="48">
        <v>0</v>
      </c>
      <c r="T55" s="48">
        <v>2</v>
      </c>
      <c r="U55" s="49">
        <v>0.090909</v>
      </c>
      <c r="V55" s="49">
        <v>0.02</v>
      </c>
      <c r="W55" s="49">
        <v>0</v>
      </c>
      <c r="X55" s="49">
        <v>0.508988</v>
      </c>
      <c r="Y55" s="49">
        <v>0</v>
      </c>
      <c r="Z55" s="49">
        <v>0</v>
      </c>
      <c r="AA55" s="73">
        <v>55</v>
      </c>
      <c r="AB55" s="73"/>
      <c r="AC55" s="74"/>
      <c r="AD55" s="80" t="s">
        <v>1252</v>
      </c>
      <c r="AE55" s="88" t="s">
        <v>1473</v>
      </c>
      <c r="AF55" s="80">
        <v>1950</v>
      </c>
      <c r="AG55" s="80">
        <v>1066</v>
      </c>
      <c r="AH55" s="80">
        <v>6369</v>
      </c>
      <c r="AI55" s="80">
        <v>1246</v>
      </c>
      <c r="AJ55" s="80"/>
      <c r="AK55" s="80" t="s">
        <v>1693</v>
      </c>
      <c r="AL55" s="80" t="s">
        <v>1893</v>
      </c>
      <c r="AM55" s="85" t="str">
        <f>HYPERLINK("https://t.co/CuTEPgTBC3")</f>
        <v>https://t.co/CuTEPgTBC3</v>
      </c>
      <c r="AN55" s="80"/>
      <c r="AO55" s="82">
        <v>41393.650659722225</v>
      </c>
      <c r="AP55" s="85" t="str">
        <f>HYPERLINK("https://pbs.twimg.com/profile_banners/1389780283/1568206436")</f>
        <v>https://pbs.twimg.com/profile_banners/1389780283/1568206436</v>
      </c>
      <c r="AQ55" s="80" t="b">
        <v>0</v>
      </c>
      <c r="AR55" s="80" t="b">
        <v>0</v>
      </c>
      <c r="AS55" s="80" t="b">
        <v>1</v>
      </c>
      <c r="AT55" s="80"/>
      <c r="AU55" s="80">
        <v>59</v>
      </c>
      <c r="AV55" s="85" t="str">
        <f>HYPERLINK("http://abs.twimg.com/images/themes/theme14/bg.gif")</f>
        <v>http://abs.twimg.com/images/themes/theme14/bg.gif</v>
      </c>
      <c r="AW55" s="80" t="b">
        <v>0</v>
      </c>
      <c r="AX55" s="80" t="s">
        <v>2002</v>
      </c>
      <c r="AY55" s="85" t="str">
        <f>HYPERLINK("https://twitter.com/natalia_ojewska")</f>
        <v>https://twitter.com/natalia_ojewska</v>
      </c>
      <c r="AZ55" s="80" t="s">
        <v>66</v>
      </c>
      <c r="BA55" s="80" t="str">
        <f>REPLACE(INDEX(GroupVertices[Group],MATCH(Vertices[[#This Row],[Vertex]],GroupVertices[Vertex],0)),1,1,"")</f>
        <v>3</v>
      </c>
      <c r="BB55" s="48">
        <v>1</v>
      </c>
      <c r="BC55" s="49">
        <v>5.2631578947368425</v>
      </c>
      <c r="BD55" s="48">
        <v>0</v>
      </c>
      <c r="BE55" s="49">
        <v>0</v>
      </c>
      <c r="BF55" s="48">
        <v>0</v>
      </c>
      <c r="BG55" s="49">
        <v>0</v>
      </c>
      <c r="BH55" s="48">
        <v>18</v>
      </c>
      <c r="BI55" s="49">
        <v>94.73684210526316</v>
      </c>
      <c r="BJ55" s="48">
        <v>19</v>
      </c>
      <c r="BK55" s="48" t="s">
        <v>2724</v>
      </c>
      <c r="BL55" s="48" t="s">
        <v>2724</v>
      </c>
      <c r="BM55" s="48" t="s">
        <v>678</v>
      </c>
      <c r="BN55" s="48" t="s">
        <v>678</v>
      </c>
      <c r="BO55" s="48" t="s">
        <v>703</v>
      </c>
      <c r="BP55" s="48" t="s">
        <v>703</v>
      </c>
      <c r="BQ55" s="125" t="s">
        <v>3091</v>
      </c>
      <c r="BR55" s="125" t="s">
        <v>3091</v>
      </c>
      <c r="BS55" s="125" t="s">
        <v>2977</v>
      </c>
      <c r="BT55" s="125" t="s">
        <v>2977</v>
      </c>
      <c r="BU55" s="2"/>
      <c r="BV55" s="3"/>
      <c r="BW55" s="3"/>
      <c r="BX55" s="3"/>
      <c r="BY55" s="3"/>
    </row>
    <row r="56" spans="1:77" ht="15">
      <c r="A56" s="66" t="s">
        <v>402</v>
      </c>
      <c r="B56" s="67"/>
      <c r="C56" s="67"/>
      <c r="D56" s="68">
        <v>100</v>
      </c>
      <c r="E56" s="70"/>
      <c r="F56" s="104" t="str">
        <f>HYPERLINK("http://pbs.twimg.com/profile_images/1054905398749265920/6BN7Qsue_normal.jpg")</f>
        <v>http://pbs.twimg.com/profile_images/1054905398749265920/6BN7Qsue_normal.jpg</v>
      </c>
      <c r="G56" s="67"/>
      <c r="H56" s="71" t="s">
        <v>402</v>
      </c>
      <c r="I56" s="72"/>
      <c r="J56" s="72"/>
      <c r="K56" s="71" t="s">
        <v>2055</v>
      </c>
      <c r="L56" s="75">
        <v>1</v>
      </c>
      <c r="M56" s="76">
        <v>7331.98046875</v>
      </c>
      <c r="N56" s="76">
        <v>2947.68212890625</v>
      </c>
      <c r="O56" s="77"/>
      <c r="P56" s="78"/>
      <c r="Q56" s="78"/>
      <c r="R56" s="90"/>
      <c r="S56" s="48">
        <v>0</v>
      </c>
      <c r="T56" s="48">
        <v>2</v>
      </c>
      <c r="U56" s="49">
        <v>0</v>
      </c>
      <c r="V56" s="49">
        <v>0.166667</v>
      </c>
      <c r="W56" s="49">
        <v>0</v>
      </c>
      <c r="X56" s="49">
        <v>0.740456</v>
      </c>
      <c r="Y56" s="49">
        <v>0.5</v>
      </c>
      <c r="Z56" s="49">
        <v>0</v>
      </c>
      <c r="AA56" s="73">
        <v>56</v>
      </c>
      <c r="AB56" s="73"/>
      <c r="AC56" s="74"/>
      <c r="AD56" s="80" t="s">
        <v>1253</v>
      </c>
      <c r="AE56" s="88" t="s">
        <v>1474</v>
      </c>
      <c r="AF56" s="80">
        <v>406</v>
      </c>
      <c r="AG56" s="80">
        <v>335</v>
      </c>
      <c r="AH56" s="80">
        <v>309</v>
      </c>
      <c r="AI56" s="80">
        <v>446</v>
      </c>
      <c r="AJ56" s="80"/>
      <c r="AK56" s="80" t="s">
        <v>1694</v>
      </c>
      <c r="AL56" s="80" t="s">
        <v>1894</v>
      </c>
      <c r="AM56" s="80"/>
      <c r="AN56" s="80"/>
      <c r="AO56" s="82">
        <v>42295.3797337963</v>
      </c>
      <c r="AP56" s="85" t="str">
        <f>HYPERLINK("https://pbs.twimg.com/profile_banners/3985953844/1540344050")</f>
        <v>https://pbs.twimg.com/profile_banners/3985953844/1540344050</v>
      </c>
      <c r="AQ56" s="80" t="b">
        <v>0</v>
      </c>
      <c r="AR56" s="80" t="b">
        <v>0</v>
      </c>
      <c r="AS56" s="80" t="b">
        <v>0</v>
      </c>
      <c r="AT56" s="80"/>
      <c r="AU56" s="80">
        <v>8</v>
      </c>
      <c r="AV56" s="85" t="str">
        <f>HYPERLINK("http://abs.twimg.com/images/themes/theme1/bg.png")</f>
        <v>http://abs.twimg.com/images/themes/theme1/bg.png</v>
      </c>
      <c r="AW56" s="80" t="b">
        <v>0</v>
      </c>
      <c r="AX56" s="80" t="s">
        <v>2002</v>
      </c>
      <c r="AY56" s="85" t="str">
        <f>HYPERLINK("https://twitter.com/_davidmeidinger")</f>
        <v>https://twitter.com/_davidmeidinger</v>
      </c>
      <c r="AZ56" s="80" t="s">
        <v>66</v>
      </c>
      <c r="BA56" s="80" t="str">
        <f>REPLACE(INDEX(GroupVertices[Group],MATCH(Vertices[[#This Row],[Vertex]],GroupVertices[Vertex],0)),1,1,"")</f>
        <v>10</v>
      </c>
      <c r="BB56" s="48">
        <v>0</v>
      </c>
      <c r="BC56" s="49">
        <v>0</v>
      </c>
      <c r="BD56" s="48">
        <v>2</v>
      </c>
      <c r="BE56" s="49">
        <v>5.128205128205129</v>
      </c>
      <c r="BF56" s="48">
        <v>0</v>
      </c>
      <c r="BG56" s="49">
        <v>0</v>
      </c>
      <c r="BH56" s="48">
        <v>37</v>
      </c>
      <c r="BI56" s="49">
        <v>94.87179487179488</v>
      </c>
      <c r="BJ56" s="48">
        <v>39</v>
      </c>
      <c r="BK56" s="48"/>
      <c r="BL56" s="48"/>
      <c r="BM56" s="48"/>
      <c r="BN56" s="48"/>
      <c r="BO56" s="48" t="s">
        <v>704</v>
      </c>
      <c r="BP56" s="48" t="s">
        <v>704</v>
      </c>
      <c r="BQ56" s="125" t="s">
        <v>2869</v>
      </c>
      <c r="BR56" s="125" t="s">
        <v>2869</v>
      </c>
      <c r="BS56" s="125" t="s">
        <v>2984</v>
      </c>
      <c r="BT56" s="125" t="s">
        <v>2984</v>
      </c>
      <c r="BU56" s="2"/>
      <c r="BV56" s="3"/>
      <c r="BW56" s="3"/>
      <c r="BX56" s="3"/>
      <c r="BY56" s="3"/>
    </row>
    <row r="57" spans="1:77" ht="15">
      <c r="A57" s="66" t="s">
        <v>528</v>
      </c>
      <c r="B57" s="67"/>
      <c r="C57" s="67"/>
      <c r="D57" s="68">
        <v>115.78947368421052</v>
      </c>
      <c r="E57" s="70"/>
      <c r="F57" s="104" t="str">
        <f>HYPERLINK("http://pbs.twimg.com/profile_images/989224444152504320/a06BJJ2y_normal.jpg")</f>
        <v>http://pbs.twimg.com/profile_images/989224444152504320/a06BJJ2y_normal.jpg</v>
      </c>
      <c r="G57" s="67"/>
      <c r="H57" s="71" t="s">
        <v>528</v>
      </c>
      <c r="I57" s="72"/>
      <c r="J57" s="72"/>
      <c r="K57" s="71" t="s">
        <v>2056</v>
      </c>
      <c r="L57" s="75">
        <v>15.009341429238674</v>
      </c>
      <c r="M57" s="76">
        <v>7899.99560546875</v>
      </c>
      <c r="N57" s="76">
        <v>3507.405029296875</v>
      </c>
      <c r="O57" s="77"/>
      <c r="P57" s="78"/>
      <c r="Q57" s="78"/>
      <c r="R57" s="90"/>
      <c r="S57" s="48">
        <v>4</v>
      </c>
      <c r="T57" s="48">
        <v>0</v>
      </c>
      <c r="U57" s="49">
        <v>3</v>
      </c>
      <c r="V57" s="49">
        <v>0.25</v>
      </c>
      <c r="W57" s="49">
        <v>0</v>
      </c>
      <c r="X57" s="49">
        <v>1.38931</v>
      </c>
      <c r="Y57" s="49">
        <v>0.25</v>
      </c>
      <c r="Z57" s="49">
        <v>0</v>
      </c>
      <c r="AA57" s="73">
        <v>57</v>
      </c>
      <c r="AB57" s="73"/>
      <c r="AC57" s="74"/>
      <c r="AD57" s="80" t="s">
        <v>1254</v>
      </c>
      <c r="AE57" s="88" t="s">
        <v>1475</v>
      </c>
      <c r="AF57" s="80">
        <v>1456</v>
      </c>
      <c r="AG57" s="80">
        <v>407708</v>
      </c>
      <c r="AH57" s="80">
        <v>233577</v>
      </c>
      <c r="AI57" s="80">
        <v>6639</v>
      </c>
      <c r="AJ57" s="80"/>
      <c r="AK57" s="80" t="s">
        <v>1695</v>
      </c>
      <c r="AL57" s="80" t="s">
        <v>1894</v>
      </c>
      <c r="AM57" s="85" t="str">
        <f>HYPERLINK("https://t.co/gAjTXHhkYD")</f>
        <v>https://t.co/gAjTXHhkYD</v>
      </c>
      <c r="AN57" s="80"/>
      <c r="AO57" s="82">
        <v>39877.616006944445</v>
      </c>
      <c r="AP57" s="85" t="str">
        <f>HYPERLINK("https://pbs.twimg.com/profile_banners/22926365/1527165587")</f>
        <v>https://pbs.twimg.com/profile_banners/22926365/1527165587</v>
      </c>
      <c r="AQ57" s="80" t="b">
        <v>0</v>
      </c>
      <c r="AR57" s="80" t="b">
        <v>0</v>
      </c>
      <c r="AS57" s="80" t="b">
        <v>0</v>
      </c>
      <c r="AT57" s="80"/>
      <c r="AU57" s="80">
        <v>3809</v>
      </c>
      <c r="AV57" s="85" t="str">
        <f>HYPERLINK("http://abs.twimg.com/images/themes/theme1/bg.png")</f>
        <v>http://abs.twimg.com/images/themes/theme1/bg.png</v>
      </c>
      <c r="AW57" s="80" t="b">
        <v>1</v>
      </c>
      <c r="AX57" s="80" t="s">
        <v>2002</v>
      </c>
      <c r="AY57" s="85" t="str">
        <f>HYPERLINK("https://twitter.com/tagesspiegel")</f>
        <v>https://twitter.com/tagesspiegel</v>
      </c>
      <c r="AZ57" s="80" t="s">
        <v>65</v>
      </c>
      <c r="BA57" s="80" t="str">
        <f>REPLACE(INDEX(GroupVertices[Group],MATCH(Vertices[[#This Row],[Vertex]],GroupVertices[Vertex],0)),1,1,"")</f>
        <v>10</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6" t="s">
        <v>516</v>
      </c>
      <c r="B58" s="67"/>
      <c r="C58" s="67"/>
      <c r="D58" s="68">
        <v>115.78947368421052</v>
      </c>
      <c r="E58" s="70"/>
      <c r="F58" s="104" t="str">
        <f>HYPERLINK("http://pbs.twimg.com/profile_images/704762750665248768/GAMAedso_normal.jpg")</f>
        <v>http://pbs.twimg.com/profile_images/704762750665248768/GAMAedso_normal.jpg</v>
      </c>
      <c r="G58" s="67"/>
      <c r="H58" s="71" t="s">
        <v>516</v>
      </c>
      <c r="I58" s="72"/>
      <c r="J58" s="72"/>
      <c r="K58" s="71" t="s">
        <v>2057</v>
      </c>
      <c r="L58" s="75">
        <v>15.009341429238674</v>
      </c>
      <c r="M58" s="76">
        <v>7331.75439453125</v>
      </c>
      <c r="N58" s="76">
        <v>3621.139404296875</v>
      </c>
      <c r="O58" s="77"/>
      <c r="P58" s="78"/>
      <c r="Q58" s="78"/>
      <c r="R58" s="90"/>
      <c r="S58" s="48">
        <v>3</v>
      </c>
      <c r="T58" s="48">
        <v>1</v>
      </c>
      <c r="U58" s="49">
        <v>3</v>
      </c>
      <c r="V58" s="49">
        <v>0.25</v>
      </c>
      <c r="W58" s="49">
        <v>0</v>
      </c>
      <c r="X58" s="49">
        <v>1.38931</v>
      </c>
      <c r="Y58" s="49">
        <v>0.25</v>
      </c>
      <c r="Z58" s="49">
        <v>0</v>
      </c>
      <c r="AA58" s="73">
        <v>58</v>
      </c>
      <c r="AB58" s="73"/>
      <c r="AC58" s="74"/>
      <c r="AD58" s="80" t="s">
        <v>1255</v>
      </c>
      <c r="AE58" s="88" t="s">
        <v>1476</v>
      </c>
      <c r="AF58" s="80">
        <v>560</v>
      </c>
      <c r="AG58" s="80">
        <v>1134</v>
      </c>
      <c r="AH58" s="80">
        <v>849</v>
      </c>
      <c r="AI58" s="80">
        <v>434</v>
      </c>
      <c r="AJ58" s="80"/>
      <c r="AK58" s="80" t="s">
        <v>1696</v>
      </c>
      <c r="AL58" s="80" t="s">
        <v>1894</v>
      </c>
      <c r="AM58" s="80"/>
      <c r="AN58" s="80"/>
      <c r="AO58" s="82">
        <v>39863.62936342593</v>
      </c>
      <c r="AP58" s="85" t="str">
        <f>HYPERLINK("https://pbs.twimg.com/profile_banners/21305448/1456864308")</f>
        <v>https://pbs.twimg.com/profile_banners/21305448/1456864308</v>
      </c>
      <c r="AQ58" s="80" t="b">
        <v>0</v>
      </c>
      <c r="AR58" s="80" t="b">
        <v>0</v>
      </c>
      <c r="AS58" s="80" t="b">
        <v>1</v>
      </c>
      <c r="AT58" s="80"/>
      <c r="AU58" s="80">
        <v>32</v>
      </c>
      <c r="AV58" s="85" t="str">
        <f>HYPERLINK("http://abs.twimg.com/images/themes/theme1/bg.png")</f>
        <v>http://abs.twimg.com/images/themes/theme1/bg.png</v>
      </c>
      <c r="AW58" s="80" t="b">
        <v>0</v>
      </c>
      <c r="AX58" s="80" t="s">
        <v>2002</v>
      </c>
      <c r="AY58" s="85" t="str">
        <f>HYPERLINK("https://twitter.com/helenawittlich")</f>
        <v>https://twitter.com/helenawittlich</v>
      </c>
      <c r="AZ58" s="80" t="s">
        <v>66</v>
      </c>
      <c r="BA58" s="80" t="str">
        <f>REPLACE(INDEX(GroupVertices[Group],MATCH(Vertices[[#This Row],[Vertex]],GroupVertices[Vertex],0)),1,1,"")</f>
        <v>10</v>
      </c>
      <c r="BB58" s="48">
        <v>0</v>
      </c>
      <c r="BC58" s="49">
        <v>0</v>
      </c>
      <c r="BD58" s="48">
        <v>2</v>
      </c>
      <c r="BE58" s="49">
        <v>5.128205128205129</v>
      </c>
      <c r="BF58" s="48">
        <v>0</v>
      </c>
      <c r="BG58" s="49">
        <v>0</v>
      </c>
      <c r="BH58" s="48">
        <v>37</v>
      </c>
      <c r="BI58" s="49">
        <v>94.87179487179488</v>
      </c>
      <c r="BJ58" s="48">
        <v>39</v>
      </c>
      <c r="BK58" s="48" t="s">
        <v>2774</v>
      </c>
      <c r="BL58" s="48" t="s">
        <v>2774</v>
      </c>
      <c r="BM58" s="48" t="s">
        <v>692</v>
      </c>
      <c r="BN58" s="48" t="s">
        <v>692</v>
      </c>
      <c r="BO58" s="48" t="s">
        <v>730</v>
      </c>
      <c r="BP58" s="48" t="s">
        <v>730</v>
      </c>
      <c r="BQ58" s="125" t="s">
        <v>2869</v>
      </c>
      <c r="BR58" s="125" t="s">
        <v>2869</v>
      </c>
      <c r="BS58" s="125" t="s">
        <v>2984</v>
      </c>
      <c r="BT58" s="125" t="s">
        <v>2984</v>
      </c>
      <c r="BU58" s="2"/>
      <c r="BV58" s="3"/>
      <c r="BW58" s="3"/>
      <c r="BX58" s="3"/>
      <c r="BY58" s="3"/>
    </row>
    <row r="59" spans="1:77" ht="15">
      <c r="A59" s="66" t="s">
        <v>403</v>
      </c>
      <c r="B59" s="67"/>
      <c r="C59" s="67"/>
      <c r="D59" s="68">
        <v>100</v>
      </c>
      <c r="E59" s="70"/>
      <c r="F59" s="104" t="str">
        <f>HYPERLINK("http://pbs.twimg.com/profile_images/1031312316430725120/IzOnwH8b_normal.jpg")</f>
        <v>http://pbs.twimg.com/profile_images/1031312316430725120/IzOnwH8b_normal.jpg</v>
      </c>
      <c r="G59" s="67"/>
      <c r="H59" s="71" t="s">
        <v>403</v>
      </c>
      <c r="I59" s="72"/>
      <c r="J59" s="72"/>
      <c r="K59" s="71" t="s">
        <v>2058</v>
      </c>
      <c r="L59" s="75">
        <v>1</v>
      </c>
      <c r="M59" s="76">
        <v>8576.63671875</v>
      </c>
      <c r="N59" s="76">
        <v>3821.31640625</v>
      </c>
      <c r="O59" s="77"/>
      <c r="P59" s="78"/>
      <c r="Q59" s="78"/>
      <c r="R59" s="90"/>
      <c r="S59" s="48">
        <v>0</v>
      </c>
      <c r="T59" s="48">
        <v>2</v>
      </c>
      <c r="U59" s="49">
        <v>0</v>
      </c>
      <c r="V59" s="49">
        <v>0.166667</v>
      </c>
      <c r="W59" s="49">
        <v>0</v>
      </c>
      <c r="X59" s="49">
        <v>0.740456</v>
      </c>
      <c r="Y59" s="49">
        <v>0.5</v>
      </c>
      <c r="Z59" s="49">
        <v>0</v>
      </c>
      <c r="AA59" s="73">
        <v>59</v>
      </c>
      <c r="AB59" s="73"/>
      <c r="AC59" s="74"/>
      <c r="AD59" s="80" t="s">
        <v>1256</v>
      </c>
      <c r="AE59" s="88" t="s">
        <v>1477</v>
      </c>
      <c r="AF59" s="80">
        <v>291</v>
      </c>
      <c r="AG59" s="80">
        <v>401</v>
      </c>
      <c r="AH59" s="80">
        <v>494</v>
      </c>
      <c r="AI59" s="80">
        <v>1068</v>
      </c>
      <c r="AJ59" s="80"/>
      <c r="AK59" s="80" t="s">
        <v>1697</v>
      </c>
      <c r="AL59" s="80"/>
      <c r="AM59" s="80"/>
      <c r="AN59" s="80"/>
      <c r="AO59" s="82">
        <v>43251.475636574076</v>
      </c>
      <c r="AP59" s="80"/>
      <c r="AQ59" s="80" t="b">
        <v>1</v>
      </c>
      <c r="AR59" s="80" t="b">
        <v>0</v>
      </c>
      <c r="AS59" s="80" t="b">
        <v>0</v>
      </c>
      <c r="AT59" s="80"/>
      <c r="AU59" s="80">
        <v>8</v>
      </c>
      <c r="AV59" s="80"/>
      <c r="AW59" s="80" t="b">
        <v>0</v>
      </c>
      <c r="AX59" s="80" t="s">
        <v>2002</v>
      </c>
      <c r="AY59" s="85" t="str">
        <f>HYPERLINK("https://twitter.com/michael_gegg")</f>
        <v>https://twitter.com/michael_gegg</v>
      </c>
      <c r="AZ59" s="80" t="s">
        <v>66</v>
      </c>
      <c r="BA59" s="80" t="str">
        <f>REPLACE(INDEX(GroupVertices[Group],MATCH(Vertices[[#This Row],[Vertex]],GroupVertices[Vertex],0)),1,1,"")</f>
        <v>10</v>
      </c>
      <c r="BB59" s="48">
        <v>0</v>
      </c>
      <c r="BC59" s="49">
        <v>0</v>
      </c>
      <c r="BD59" s="48">
        <v>2</v>
      </c>
      <c r="BE59" s="49">
        <v>5.128205128205129</v>
      </c>
      <c r="BF59" s="48">
        <v>0</v>
      </c>
      <c r="BG59" s="49">
        <v>0</v>
      </c>
      <c r="BH59" s="48">
        <v>37</v>
      </c>
      <c r="BI59" s="49">
        <v>94.87179487179488</v>
      </c>
      <c r="BJ59" s="48">
        <v>39</v>
      </c>
      <c r="BK59" s="48"/>
      <c r="BL59" s="48"/>
      <c r="BM59" s="48"/>
      <c r="BN59" s="48"/>
      <c r="BO59" s="48" t="s">
        <v>704</v>
      </c>
      <c r="BP59" s="48" t="s">
        <v>704</v>
      </c>
      <c r="BQ59" s="125" t="s">
        <v>2869</v>
      </c>
      <c r="BR59" s="125" t="s">
        <v>2869</v>
      </c>
      <c r="BS59" s="125" t="s">
        <v>2984</v>
      </c>
      <c r="BT59" s="125" t="s">
        <v>2984</v>
      </c>
      <c r="BU59" s="2"/>
      <c r="BV59" s="3"/>
      <c r="BW59" s="3"/>
      <c r="BX59" s="3"/>
      <c r="BY59" s="3"/>
    </row>
    <row r="60" spans="1:77" ht="15">
      <c r="A60" s="66" t="s">
        <v>404</v>
      </c>
      <c r="B60" s="67"/>
      <c r="C60" s="67"/>
      <c r="D60" s="68">
        <v>100</v>
      </c>
      <c r="E60" s="70"/>
      <c r="F60" s="104" t="str">
        <f>HYPERLINK("http://pbs.twimg.com/profile_images/1049422406476009472/MXDKrEeP_normal.jpg")</f>
        <v>http://pbs.twimg.com/profile_images/1049422406476009472/MXDKrEeP_normal.jpg</v>
      </c>
      <c r="G60" s="67"/>
      <c r="H60" s="71" t="s">
        <v>404</v>
      </c>
      <c r="I60" s="72"/>
      <c r="J60" s="72"/>
      <c r="K60" s="71" t="s">
        <v>2059</v>
      </c>
      <c r="L60" s="75">
        <v>1</v>
      </c>
      <c r="M60" s="76">
        <v>6430.37939453125</v>
      </c>
      <c r="N60" s="76">
        <v>2066.267333984375</v>
      </c>
      <c r="O60" s="77"/>
      <c r="P60" s="78"/>
      <c r="Q60" s="78"/>
      <c r="R60" s="90"/>
      <c r="S60" s="48">
        <v>0</v>
      </c>
      <c r="T60" s="48">
        <v>2</v>
      </c>
      <c r="U60" s="49">
        <v>0</v>
      </c>
      <c r="V60" s="49">
        <v>0.166667</v>
      </c>
      <c r="W60" s="49">
        <v>0</v>
      </c>
      <c r="X60" s="49">
        <v>0.740456</v>
      </c>
      <c r="Y60" s="49">
        <v>0.5</v>
      </c>
      <c r="Z60" s="49">
        <v>0</v>
      </c>
      <c r="AA60" s="73">
        <v>60</v>
      </c>
      <c r="AB60" s="73"/>
      <c r="AC60" s="74"/>
      <c r="AD60" s="80" t="s">
        <v>1257</v>
      </c>
      <c r="AE60" s="88" t="s">
        <v>1478</v>
      </c>
      <c r="AF60" s="80">
        <v>861</v>
      </c>
      <c r="AG60" s="80">
        <v>318</v>
      </c>
      <c r="AH60" s="80">
        <v>2401</v>
      </c>
      <c r="AI60" s="80">
        <v>2680</v>
      </c>
      <c r="AJ60" s="80"/>
      <c r="AK60" s="80" t="s">
        <v>1698</v>
      </c>
      <c r="AL60" s="80" t="s">
        <v>1895</v>
      </c>
      <c r="AM60" s="80"/>
      <c r="AN60" s="80"/>
      <c r="AO60" s="82">
        <v>41104.60418981482</v>
      </c>
      <c r="AP60" s="85" t="str">
        <f>HYPERLINK("https://pbs.twimg.com/profile_banners/635425048/1539030687")</f>
        <v>https://pbs.twimg.com/profile_banners/635425048/1539030687</v>
      </c>
      <c r="AQ60" s="80" t="b">
        <v>0</v>
      </c>
      <c r="AR60" s="80" t="b">
        <v>0</v>
      </c>
      <c r="AS60" s="80" t="b">
        <v>1</v>
      </c>
      <c r="AT60" s="80"/>
      <c r="AU60" s="80">
        <v>3</v>
      </c>
      <c r="AV60" s="85" t="str">
        <f>HYPERLINK("http://abs.twimg.com/images/themes/theme1/bg.png")</f>
        <v>http://abs.twimg.com/images/themes/theme1/bg.png</v>
      </c>
      <c r="AW60" s="80" t="b">
        <v>0</v>
      </c>
      <c r="AX60" s="80" t="s">
        <v>2002</v>
      </c>
      <c r="AY60" s="85" t="str">
        <f>HYPERLINK("https://twitter.com/emielvnh")</f>
        <v>https://twitter.com/emielvnh</v>
      </c>
      <c r="AZ60" s="80" t="s">
        <v>66</v>
      </c>
      <c r="BA60" s="80" t="str">
        <f>REPLACE(INDEX(GroupVertices[Group],MATCH(Vertices[[#This Row],[Vertex]],GroupVertices[Vertex],0)),1,1,"")</f>
        <v>11</v>
      </c>
      <c r="BB60" s="48">
        <v>0</v>
      </c>
      <c r="BC60" s="49">
        <v>0</v>
      </c>
      <c r="BD60" s="48">
        <v>0</v>
      </c>
      <c r="BE60" s="49">
        <v>0</v>
      </c>
      <c r="BF60" s="48">
        <v>0</v>
      </c>
      <c r="BG60" s="49">
        <v>0</v>
      </c>
      <c r="BH60" s="48">
        <v>33</v>
      </c>
      <c r="BI60" s="49">
        <v>100</v>
      </c>
      <c r="BJ60" s="48">
        <v>33</v>
      </c>
      <c r="BK60" s="48"/>
      <c r="BL60" s="48"/>
      <c r="BM60" s="48"/>
      <c r="BN60" s="48"/>
      <c r="BO60" s="48"/>
      <c r="BP60" s="48"/>
      <c r="BQ60" s="125" t="s">
        <v>2870</v>
      </c>
      <c r="BR60" s="125" t="s">
        <v>2870</v>
      </c>
      <c r="BS60" s="125" t="s">
        <v>2985</v>
      </c>
      <c r="BT60" s="125" t="s">
        <v>2985</v>
      </c>
      <c r="BU60" s="2"/>
      <c r="BV60" s="3"/>
      <c r="BW60" s="3"/>
      <c r="BX60" s="3"/>
      <c r="BY60" s="3"/>
    </row>
    <row r="61" spans="1:77" ht="15">
      <c r="A61" s="66" t="s">
        <v>529</v>
      </c>
      <c r="B61" s="67"/>
      <c r="C61" s="67"/>
      <c r="D61" s="68">
        <v>115.78947368421052</v>
      </c>
      <c r="E61" s="70"/>
      <c r="F61" s="104" t="str">
        <f>HYPERLINK("http://pbs.twimg.com/profile_images/875668634621927425/lo6KbvoQ_normal.jpg")</f>
        <v>http://pbs.twimg.com/profile_images/875668634621927425/lo6KbvoQ_normal.jpg</v>
      </c>
      <c r="G61" s="67"/>
      <c r="H61" s="71" t="s">
        <v>529</v>
      </c>
      <c r="I61" s="72"/>
      <c r="J61" s="72"/>
      <c r="K61" s="71" t="s">
        <v>2060</v>
      </c>
      <c r="L61" s="75">
        <v>15.009341429238674</v>
      </c>
      <c r="M61" s="76">
        <v>6494.8759765625</v>
      </c>
      <c r="N61" s="76">
        <v>544.51318359375</v>
      </c>
      <c r="O61" s="77"/>
      <c r="P61" s="78"/>
      <c r="Q61" s="78"/>
      <c r="R61" s="90"/>
      <c r="S61" s="48">
        <v>4</v>
      </c>
      <c r="T61" s="48">
        <v>0</v>
      </c>
      <c r="U61" s="49">
        <v>3</v>
      </c>
      <c r="V61" s="49">
        <v>0.25</v>
      </c>
      <c r="W61" s="49">
        <v>0</v>
      </c>
      <c r="X61" s="49">
        <v>1.38931</v>
      </c>
      <c r="Y61" s="49">
        <v>0.25</v>
      </c>
      <c r="Z61" s="49">
        <v>0</v>
      </c>
      <c r="AA61" s="73">
        <v>61</v>
      </c>
      <c r="AB61" s="73"/>
      <c r="AC61" s="74"/>
      <c r="AD61" s="80" t="s">
        <v>1258</v>
      </c>
      <c r="AE61" s="88" t="s">
        <v>1479</v>
      </c>
      <c r="AF61" s="80">
        <v>167</v>
      </c>
      <c r="AG61" s="80">
        <v>83160</v>
      </c>
      <c r="AH61" s="80">
        <v>189125</v>
      </c>
      <c r="AI61" s="80">
        <v>170</v>
      </c>
      <c r="AJ61" s="80"/>
      <c r="AK61" s="80" t="s">
        <v>1699</v>
      </c>
      <c r="AL61" s="80" t="s">
        <v>1896</v>
      </c>
      <c r="AM61" s="85" t="str">
        <f>HYPERLINK("http://t.co/GEZehWQXfO")</f>
        <v>http://t.co/GEZehWQXfO</v>
      </c>
      <c r="AN61" s="80"/>
      <c r="AO61" s="82">
        <v>39173.79858796296</v>
      </c>
      <c r="AP61" s="85" t="str">
        <f>HYPERLINK("https://pbs.twimg.com/profile_banners/3147651/1591175032")</f>
        <v>https://pbs.twimg.com/profile_banners/3147651/1591175032</v>
      </c>
      <c r="AQ61" s="80" t="b">
        <v>0</v>
      </c>
      <c r="AR61" s="80" t="b">
        <v>0</v>
      </c>
      <c r="AS61" s="80" t="b">
        <v>1</v>
      </c>
      <c r="AT61" s="80"/>
      <c r="AU61" s="80">
        <v>1288</v>
      </c>
      <c r="AV61" s="85" t="str">
        <f>HYPERLINK("http://abs.twimg.com/images/themes/theme1/bg.png")</f>
        <v>http://abs.twimg.com/images/themes/theme1/bg.png</v>
      </c>
      <c r="AW61" s="80" t="b">
        <v>1</v>
      </c>
      <c r="AX61" s="80" t="s">
        <v>2002</v>
      </c>
      <c r="AY61" s="85" t="str">
        <f>HYPERLINK("https://twitter.com/tijd")</f>
        <v>https://twitter.com/tijd</v>
      </c>
      <c r="AZ61" s="80" t="s">
        <v>65</v>
      </c>
      <c r="BA61" s="80" t="str">
        <f>REPLACE(INDEX(GroupVertices[Group],MATCH(Vertices[[#This Row],[Vertex]],GroupVertices[Vertex],0)),1,1,"")</f>
        <v>11</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6" t="s">
        <v>487</v>
      </c>
      <c r="B62" s="67"/>
      <c r="C62" s="67"/>
      <c r="D62" s="68">
        <v>115.78947368421052</v>
      </c>
      <c r="E62" s="70"/>
      <c r="F62" s="104" t="str">
        <f>HYPERLINK("http://pbs.twimg.com/profile_images/715521125212499968/dTSeMQF6_normal.jpg")</f>
        <v>http://pbs.twimg.com/profile_images/715521125212499968/dTSeMQF6_normal.jpg</v>
      </c>
      <c r="G62" s="67"/>
      <c r="H62" s="71" t="s">
        <v>487</v>
      </c>
      <c r="I62" s="72"/>
      <c r="J62" s="72"/>
      <c r="K62" s="71" t="s">
        <v>2061</v>
      </c>
      <c r="L62" s="75">
        <v>15.009341429238674</v>
      </c>
      <c r="M62" s="76">
        <v>6310.056640625</v>
      </c>
      <c r="N62" s="76">
        <v>1117.058349609375</v>
      </c>
      <c r="O62" s="77"/>
      <c r="P62" s="78"/>
      <c r="Q62" s="78"/>
      <c r="R62" s="90"/>
      <c r="S62" s="48">
        <v>3</v>
      </c>
      <c r="T62" s="48">
        <v>1</v>
      </c>
      <c r="U62" s="49">
        <v>3</v>
      </c>
      <c r="V62" s="49">
        <v>0.25</v>
      </c>
      <c r="W62" s="49">
        <v>0</v>
      </c>
      <c r="X62" s="49">
        <v>1.38931</v>
      </c>
      <c r="Y62" s="49">
        <v>0.25</v>
      </c>
      <c r="Z62" s="49">
        <v>0</v>
      </c>
      <c r="AA62" s="73">
        <v>62</v>
      </c>
      <c r="AB62" s="73"/>
      <c r="AC62" s="74"/>
      <c r="AD62" s="80" t="s">
        <v>1259</v>
      </c>
      <c r="AE62" s="88" t="s">
        <v>1480</v>
      </c>
      <c r="AF62" s="80">
        <v>607</v>
      </c>
      <c r="AG62" s="80">
        <v>1045</v>
      </c>
      <c r="AH62" s="80">
        <v>4728</v>
      </c>
      <c r="AI62" s="80">
        <v>1138</v>
      </c>
      <c r="AJ62" s="80"/>
      <c r="AK62" s="80" t="s">
        <v>1700</v>
      </c>
      <c r="AL62" s="80"/>
      <c r="AM62" s="80"/>
      <c r="AN62" s="80"/>
      <c r="AO62" s="82">
        <v>39879.60643518518</v>
      </c>
      <c r="AP62" s="85" t="str">
        <f>HYPERLINK("https://pbs.twimg.com/profile_banners/23196884/1459428565")</f>
        <v>https://pbs.twimg.com/profile_banners/23196884/1459428565</v>
      </c>
      <c r="AQ62" s="80" t="b">
        <v>1</v>
      </c>
      <c r="AR62" s="80" t="b">
        <v>0</v>
      </c>
      <c r="AS62" s="80" t="b">
        <v>1</v>
      </c>
      <c r="AT62" s="80"/>
      <c r="AU62" s="80">
        <v>46</v>
      </c>
      <c r="AV62" s="85" t="str">
        <f>HYPERLINK("http://abs.twimg.com/images/themes/theme1/bg.png")</f>
        <v>http://abs.twimg.com/images/themes/theme1/bg.png</v>
      </c>
      <c r="AW62" s="80" t="b">
        <v>0</v>
      </c>
      <c r="AX62" s="80" t="s">
        <v>2002</v>
      </c>
      <c r="AY62" s="85" t="str">
        <f>HYPERLINK("https://twitter.com/andriesfluit")</f>
        <v>https://twitter.com/andriesfluit</v>
      </c>
      <c r="AZ62" s="80" t="s">
        <v>66</v>
      </c>
      <c r="BA62" s="80" t="str">
        <f>REPLACE(INDEX(GroupVertices[Group],MATCH(Vertices[[#This Row],[Vertex]],GroupVertices[Vertex],0)),1,1,"")</f>
        <v>11</v>
      </c>
      <c r="BB62" s="48">
        <v>0</v>
      </c>
      <c r="BC62" s="49">
        <v>0</v>
      </c>
      <c r="BD62" s="48">
        <v>0</v>
      </c>
      <c r="BE62" s="49">
        <v>0</v>
      </c>
      <c r="BF62" s="48">
        <v>0</v>
      </c>
      <c r="BG62" s="49">
        <v>0</v>
      </c>
      <c r="BH62" s="48">
        <v>33</v>
      </c>
      <c r="BI62" s="49">
        <v>100</v>
      </c>
      <c r="BJ62" s="48">
        <v>33</v>
      </c>
      <c r="BK62" s="48" t="s">
        <v>2781</v>
      </c>
      <c r="BL62" s="48" t="s">
        <v>2781</v>
      </c>
      <c r="BM62" s="48" t="s">
        <v>686</v>
      </c>
      <c r="BN62" s="48" t="s">
        <v>686</v>
      </c>
      <c r="BO62" s="48" t="s">
        <v>707</v>
      </c>
      <c r="BP62" s="48" t="s">
        <v>707</v>
      </c>
      <c r="BQ62" s="125" t="s">
        <v>2870</v>
      </c>
      <c r="BR62" s="125" t="s">
        <v>2870</v>
      </c>
      <c r="BS62" s="125" t="s">
        <v>2985</v>
      </c>
      <c r="BT62" s="125" t="s">
        <v>2985</v>
      </c>
      <c r="BU62" s="2"/>
      <c r="BV62" s="3"/>
      <c r="BW62" s="3"/>
      <c r="BX62" s="3"/>
      <c r="BY62" s="3"/>
    </row>
    <row r="63" spans="1:77" ht="15">
      <c r="A63" s="66" t="s">
        <v>405</v>
      </c>
      <c r="B63" s="67"/>
      <c r="C63" s="67"/>
      <c r="D63" s="68">
        <v>100</v>
      </c>
      <c r="E63" s="70"/>
      <c r="F63" s="104" t="str">
        <f>HYPERLINK("http://pbs.twimg.com/profile_images/1262291055786864641/lfnVudjx_normal.jpg")</f>
        <v>http://pbs.twimg.com/profile_images/1262291055786864641/lfnVudjx_normal.jpg</v>
      </c>
      <c r="G63" s="67"/>
      <c r="H63" s="71" t="s">
        <v>405</v>
      </c>
      <c r="I63" s="72"/>
      <c r="J63" s="72"/>
      <c r="K63" s="71" t="s">
        <v>2062</v>
      </c>
      <c r="L63" s="75">
        <v>1</v>
      </c>
      <c r="M63" s="76">
        <v>7720.388671875</v>
      </c>
      <c r="N63" s="76">
        <v>4635.8564453125</v>
      </c>
      <c r="O63" s="77"/>
      <c r="P63" s="78"/>
      <c r="Q63" s="78"/>
      <c r="R63" s="90"/>
      <c r="S63" s="48">
        <v>1</v>
      </c>
      <c r="T63" s="48">
        <v>1</v>
      </c>
      <c r="U63" s="49">
        <v>0</v>
      </c>
      <c r="V63" s="49">
        <v>0</v>
      </c>
      <c r="W63" s="49">
        <v>0</v>
      </c>
      <c r="X63" s="49">
        <v>0.999998</v>
      </c>
      <c r="Y63" s="49">
        <v>0</v>
      </c>
      <c r="Z63" s="49">
        <v>0</v>
      </c>
      <c r="AA63" s="73">
        <v>63</v>
      </c>
      <c r="AB63" s="73"/>
      <c r="AC63" s="74"/>
      <c r="AD63" s="80" t="s">
        <v>1260</v>
      </c>
      <c r="AE63" s="88" t="s">
        <v>1481</v>
      </c>
      <c r="AF63" s="80">
        <v>1044</v>
      </c>
      <c r="AG63" s="80">
        <v>159</v>
      </c>
      <c r="AH63" s="80">
        <v>2030</v>
      </c>
      <c r="AI63" s="80">
        <v>2793</v>
      </c>
      <c r="AJ63" s="80"/>
      <c r="AK63" s="80" t="s">
        <v>1701</v>
      </c>
      <c r="AL63" s="80"/>
      <c r="AM63" s="80"/>
      <c r="AN63" s="80"/>
      <c r="AO63" s="82">
        <v>41474.96030092592</v>
      </c>
      <c r="AP63" s="85" t="str">
        <f>HYPERLINK("https://pbs.twimg.com/profile_banners/1606947560/1589788794")</f>
        <v>https://pbs.twimg.com/profile_banners/1606947560/1589788794</v>
      </c>
      <c r="AQ63" s="80" t="b">
        <v>1</v>
      </c>
      <c r="AR63" s="80" t="b">
        <v>0</v>
      </c>
      <c r="AS63" s="80" t="b">
        <v>0</v>
      </c>
      <c r="AT63" s="80"/>
      <c r="AU63" s="80">
        <v>0</v>
      </c>
      <c r="AV63" s="85" t="str">
        <f>HYPERLINK("http://abs.twimg.com/images/themes/theme1/bg.png")</f>
        <v>http://abs.twimg.com/images/themes/theme1/bg.png</v>
      </c>
      <c r="AW63" s="80" t="b">
        <v>0</v>
      </c>
      <c r="AX63" s="80" t="s">
        <v>2002</v>
      </c>
      <c r="AY63" s="85" t="str">
        <f>HYPERLINK("https://twitter.com/mikaelmusic1")</f>
        <v>https://twitter.com/mikaelmusic1</v>
      </c>
      <c r="AZ63" s="80" t="s">
        <v>66</v>
      </c>
      <c r="BA63" s="80" t="str">
        <f>REPLACE(INDEX(GroupVertices[Group],MATCH(Vertices[[#This Row],[Vertex]],GroupVertices[Vertex],0)),1,1,"")</f>
        <v>8</v>
      </c>
      <c r="BB63" s="48">
        <v>0</v>
      </c>
      <c r="BC63" s="49">
        <v>0</v>
      </c>
      <c r="BD63" s="48">
        <v>0</v>
      </c>
      <c r="BE63" s="49">
        <v>0</v>
      </c>
      <c r="BF63" s="48">
        <v>0</v>
      </c>
      <c r="BG63" s="49">
        <v>0</v>
      </c>
      <c r="BH63" s="48">
        <v>23</v>
      </c>
      <c r="BI63" s="49">
        <v>100</v>
      </c>
      <c r="BJ63" s="48">
        <v>23</v>
      </c>
      <c r="BK63" s="48"/>
      <c r="BL63" s="48"/>
      <c r="BM63" s="48"/>
      <c r="BN63" s="48"/>
      <c r="BO63" s="48" t="s">
        <v>3073</v>
      </c>
      <c r="BP63" s="48" t="s">
        <v>3073</v>
      </c>
      <c r="BQ63" s="125" t="s">
        <v>3092</v>
      </c>
      <c r="BR63" s="125" t="s">
        <v>3092</v>
      </c>
      <c r="BS63" s="125" t="s">
        <v>3121</v>
      </c>
      <c r="BT63" s="125" t="s">
        <v>3121</v>
      </c>
      <c r="BU63" s="2"/>
      <c r="BV63" s="3"/>
      <c r="BW63" s="3"/>
      <c r="BX63" s="3"/>
      <c r="BY63" s="3"/>
    </row>
    <row r="64" spans="1:77" ht="15">
      <c r="A64" s="66" t="s">
        <v>406</v>
      </c>
      <c r="B64" s="67"/>
      <c r="C64" s="67"/>
      <c r="D64" s="68">
        <v>100</v>
      </c>
      <c r="E64" s="70"/>
      <c r="F64" s="104" t="str">
        <f>HYPERLINK("http://pbs.twimg.com/profile_images/1245331442130980869/RdGTsJZQ_normal.jpg")</f>
        <v>http://pbs.twimg.com/profile_images/1245331442130980869/RdGTsJZQ_normal.jpg</v>
      </c>
      <c r="G64" s="67"/>
      <c r="H64" s="71" t="s">
        <v>406</v>
      </c>
      <c r="I64" s="72"/>
      <c r="J64" s="72"/>
      <c r="K64" s="71" t="s">
        <v>2063</v>
      </c>
      <c r="L64" s="75">
        <v>1</v>
      </c>
      <c r="M64" s="76">
        <v>5986.66259765625</v>
      </c>
      <c r="N64" s="76">
        <v>155.33128356933594</v>
      </c>
      <c r="O64" s="77"/>
      <c r="P64" s="78"/>
      <c r="Q64" s="78"/>
      <c r="R64" s="90"/>
      <c r="S64" s="48">
        <v>0</v>
      </c>
      <c r="T64" s="48">
        <v>2</v>
      </c>
      <c r="U64" s="49">
        <v>0</v>
      </c>
      <c r="V64" s="49">
        <v>0.166667</v>
      </c>
      <c r="W64" s="49">
        <v>0</v>
      </c>
      <c r="X64" s="49">
        <v>0.740456</v>
      </c>
      <c r="Y64" s="49">
        <v>0.5</v>
      </c>
      <c r="Z64" s="49">
        <v>0</v>
      </c>
      <c r="AA64" s="73">
        <v>64</v>
      </c>
      <c r="AB64" s="73"/>
      <c r="AC64" s="74"/>
      <c r="AD64" s="80" t="s">
        <v>1261</v>
      </c>
      <c r="AE64" s="88" t="s">
        <v>1482</v>
      </c>
      <c r="AF64" s="80">
        <v>114</v>
      </c>
      <c r="AG64" s="80">
        <v>30</v>
      </c>
      <c r="AH64" s="80">
        <v>139</v>
      </c>
      <c r="AI64" s="80">
        <v>270</v>
      </c>
      <c r="AJ64" s="80"/>
      <c r="AK64" s="80" t="s">
        <v>1702</v>
      </c>
      <c r="AL64" s="80"/>
      <c r="AM64" s="80"/>
      <c r="AN64" s="80"/>
      <c r="AO64" s="82">
        <v>43586.36950231482</v>
      </c>
      <c r="AP64" s="85" t="str">
        <f>HYPERLINK("https://pbs.twimg.com/profile_banners/1123510389415845888/1584562140")</f>
        <v>https://pbs.twimg.com/profile_banners/1123510389415845888/1584562140</v>
      </c>
      <c r="AQ64" s="80" t="b">
        <v>1</v>
      </c>
      <c r="AR64" s="80" t="b">
        <v>0</v>
      </c>
      <c r="AS64" s="80" t="b">
        <v>1</v>
      </c>
      <c r="AT64" s="80"/>
      <c r="AU64" s="80">
        <v>0</v>
      </c>
      <c r="AV64" s="80"/>
      <c r="AW64" s="80" t="b">
        <v>0</v>
      </c>
      <c r="AX64" s="80" t="s">
        <v>2002</v>
      </c>
      <c r="AY64" s="85" t="str">
        <f>HYPERLINK("https://twitter.com/alex_vnc_")</f>
        <v>https://twitter.com/alex_vnc_</v>
      </c>
      <c r="AZ64" s="80" t="s">
        <v>66</v>
      </c>
      <c r="BA64" s="80" t="str">
        <f>REPLACE(INDEX(GroupVertices[Group],MATCH(Vertices[[#This Row],[Vertex]],GroupVertices[Vertex],0)),1,1,"")</f>
        <v>11</v>
      </c>
      <c r="BB64" s="48">
        <v>0</v>
      </c>
      <c r="BC64" s="49">
        <v>0</v>
      </c>
      <c r="BD64" s="48">
        <v>0</v>
      </c>
      <c r="BE64" s="49">
        <v>0</v>
      </c>
      <c r="BF64" s="48">
        <v>0</v>
      </c>
      <c r="BG64" s="49">
        <v>0</v>
      </c>
      <c r="BH64" s="48">
        <v>33</v>
      </c>
      <c r="BI64" s="49">
        <v>100</v>
      </c>
      <c r="BJ64" s="48">
        <v>33</v>
      </c>
      <c r="BK64" s="48"/>
      <c r="BL64" s="48"/>
      <c r="BM64" s="48"/>
      <c r="BN64" s="48"/>
      <c r="BO64" s="48"/>
      <c r="BP64" s="48"/>
      <c r="BQ64" s="125" t="s">
        <v>2870</v>
      </c>
      <c r="BR64" s="125" t="s">
        <v>2870</v>
      </c>
      <c r="BS64" s="125" t="s">
        <v>2985</v>
      </c>
      <c r="BT64" s="125" t="s">
        <v>2985</v>
      </c>
      <c r="BU64" s="2"/>
      <c r="BV64" s="3"/>
      <c r="BW64" s="3"/>
      <c r="BX64" s="3"/>
      <c r="BY64" s="3"/>
    </row>
    <row r="65" spans="1:77" ht="15">
      <c r="A65" s="66" t="s">
        <v>407</v>
      </c>
      <c r="B65" s="67"/>
      <c r="C65" s="67"/>
      <c r="D65" s="68">
        <v>100</v>
      </c>
      <c r="E65" s="70"/>
      <c r="F65" s="104" t="str">
        <f>HYPERLINK("http://pbs.twimg.com/profile_images/1188845400595275776/0wa5l7cr_normal.jpg")</f>
        <v>http://pbs.twimg.com/profile_images/1188845400595275776/0wa5l7cr_normal.jpg</v>
      </c>
      <c r="G65" s="67"/>
      <c r="H65" s="71" t="s">
        <v>407</v>
      </c>
      <c r="I65" s="72"/>
      <c r="J65" s="72"/>
      <c r="K65" s="71" t="s">
        <v>2064</v>
      </c>
      <c r="L65" s="75">
        <v>1</v>
      </c>
      <c r="M65" s="76">
        <v>5986.66259765625</v>
      </c>
      <c r="N65" s="76">
        <v>2210.761474609375</v>
      </c>
      <c r="O65" s="77"/>
      <c r="P65" s="78"/>
      <c r="Q65" s="78"/>
      <c r="R65" s="90"/>
      <c r="S65" s="48">
        <v>0</v>
      </c>
      <c r="T65" s="48">
        <v>2</v>
      </c>
      <c r="U65" s="49">
        <v>0</v>
      </c>
      <c r="V65" s="49">
        <v>0.166667</v>
      </c>
      <c r="W65" s="49">
        <v>0</v>
      </c>
      <c r="X65" s="49">
        <v>0.740456</v>
      </c>
      <c r="Y65" s="49">
        <v>0.5</v>
      </c>
      <c r="Z65" s="49">
        <v>0</v>
      </c>
      <c r="AA65" s="73">
        <v>65</v>
      </c>
      <c r="AB65" s="73"/>
      <c r="AC65" s="74"/>
      <c r="AD65" s="80" t="s">
        <v>1262</v>
      </c>
      <c r="AE65" s="88" t="s">
        <v>1483</v>
      </c>
      <c r="AF65" s="80">
        <v>1381</v>
      </c>
      <c r="AG65" s="80">
        <v>2842</v>
      </c>
      <c r="AH65" s="80">
        <v>8306</v>
      </c>
      <c r="AI65" s="80">
        <v>6748</v>
      </c>
      <c r="AJ65" s="80"/>
      <c r="AK65" s="80" t="s">
        <v>1703</v>
      </c>
      <c r="AL65" s="80" t="s">
        <v>1897</v>
      </c>
      <c r="AM65" s="85" t="str">
        <f>HYPERLINK("https://t.co/u9rwqWsZXp")</f>
        <v>https://t.co/u9rwqWsZXp</v>
      </c>
      <c r="AN65" s="80"/>
      <c r="AO65" s="82">
        <v>39421.70502314815</v>
      </c>
      <c r="AP65" s="85" t="str">
        <f>HYPERLINK("https://pbs.twimg.com/profile_banners/10876052/1591131265")</f>
        <v>https://pbs.twimg.com/profile_banners/10876052/1591131265</v>
      </c>
      <c r="AQ65" s="80" t="b">
        <v>0</v>
      </c>
      <c r="AR65" s="80" t="b">
        <v>0</v>
      </c>
      <c r="AS65" s="80" t="b">
        <v>0</v>
      </c>
      <c r="AT65" s="80"/>
      <c r="AU65" s="80">
        <v>182</v>
      </c>
      <c r="AV65" s="85" t="str">
        <f>HYPERLINK("http://abs.twimg.com/images/themes/theme15/bg.png")</f>
        <v>http://abs.twimg.com/images/themes/theme15/bg.png</v>
      </c>
      <c r="AW65" s="80" t="b">
        <v>1</v>
      </c>
      <c r="AX65" s="80" t="s">
        <v>2002</v>
      </c>
      <c r="AY65" s="85" t="str">
        <f>HYPERLINK("https://twitter.com/konstantinosant")</f>
        <v>https://twitter.com/konstantinosant</v>
      </c>
      <c r="AZ65" s="80" t="s">
        <v>66</v>
      </c>
      <c r="BA65" s="80" t="str">
        <f>REPLACE(INDEX(GroupVertices[Group],MATCH(Vertices[[#This Row],[Vertex]],GroupVertices[Vertex],0)),1,1,"")</f>
        <v>12</v>
      </c>
      <c r="BB65" s="48">
        <v>0</v>
      </c>
      <c r="BC65" s="49">
        <v>0</v>
      </c>
      <c r="BD65" s="48">
        <v>0</v>
      </c>
      <c r="BE65" s="49">
        <v>0</v>
      </c>
      <c r="BF65" s="48">
        <v>0</v>
      </c>
      <c r="BG65" s="49">
        <v>0</v>
      </c>
      <c r="BH65" s="48">
        <v>28</v>
      </c>
      <c r="BI65" s="49">
        <v>100</v>
      </c>
      <c r="BJ65" s="48">
        <v>28</v>
      </c>
      <c r="BK65" s="48"/>
      <c r="BL65" s="48"/>
      <c r="BM65" s="48"/>
      <c r="BN65" s="48"/>
      <c r="BO65" s="48" t="s">
        <v>706</v>
      </c>
      <c r="BP65" s="48" t="s">
        <v>706</v>
      </c>
      <c r="BQ65" s="125" t="s">
        <v>2871</v>
      </c>
      <c r="BR65" s="125" t="s">
        <v>2871</v>
      </c>
      <c r="BS65" s="125" t="s">
        <v>2986</v>
      </c>
      <c r="BT65" s="125" t="s">
        <v>2986</v>
      </c>
      <c r="BU65" s="2"/>
      <c r="BV65" s="3"/>
      <c r="BW65" s="3"/>
      <c r="BX65" s="3"/>
      <c r="BY65" s="3"/>
    </row>
    <row r="66" spans="1:77" ht="15">
      <c r="A66" s="66" t="s">
        <v>530</v>
      </c>
      <c r="B66" s="67"/>
      <c r="C66" s="67"/>
      <c r="D66" s="68">
        <v>115.78947368421052</v>
      </c>
      <c r="E66" s="70"/>
      <c r="F66" s="104" t="str">
        <f>HYPERLINK("http://pbs.twimg.com/profile_images/732588137227116544/urMXZYJJ_normal.jpg")</f>
        <v>http://pbs.twimg.com/profile_images/732588137227116544/urMXZYJJ_normal.jpg</v>
      </c>
      <c r="G66" s="67"/>
      <c r="H66" s="71" t="s">
        <v>530</v>
      </c>
      <c r="I66" s="72"/>
      <c r="J66" s="72"/>
      <c r="K66" s="71" t="s">
        <v>2065</v>
      </c>
      <c r="L66" s="75">
        <v>15.009341429238674</v>
      </c>
      <c r="M66" s="76">
        <v>6468.71533203125</v>
      </c>
      <c r="N66" s="76">
        <v>2856.62451171875</v>
      </c>
      <c r="O66" s="77"/>
      <c r="P66" s="78"/>
      <c r="Q66" s="78"/>
      <c r="R66" s="90"/>
      <c r="S66" s="48">
        <v>4</v>
      </c>
      <c r="T66" s="48">
        <v>0</v>
      </c>
      <c r="U66" s="49">
        <v>3</v>
      </c>
      <c r="V66" s="49">
        <v>0.25</v>
      </c>
      <c r="W66" s="49">
        <v>0</v>
      </c>
      <c r="X66" s="49">
        <v>1.38931</v>
      </c>
      <c r="Y66" s="49">
        <v>0.25</v>
      </c>
      <c r="Z66" s="49">
        <v>0</v>
      </c>
      <c r="AA66" s="73">
        <v>66</v>
      </c>
      <c r="AB66" s="73"/>
      <c r="AC66" s="74"/>
      <c r="AD66" s="80" t="s">
        <v>1263</v>
      </c>
      <c r="AE66" s="88" t="s">
        <v>1484</v>
      </c>
      <c r="AF66" s="80">
        <v>457</v>
      </c>
      <c r="AG66" s="80">
        <v>2152</v>
      </c>
      <c r="AH66" s="80">
        <v>6606</v>
      </c>
      <c r="AI66" s="80">
        <v>467</v>
      </c>
      <c r="AJ66" s="80"/>
      <c r="AK66" s="80" t="s">
        <v>1704</v>
      </c>
      <c r="AL66" s="80" t="s">
        <v>1898</v>
      </c>
      <c r="AM66" s="85" t="str">
        <f>HYPERLINK("https://t.co/sL2Af6z8go")</f>
        <v>https://t.co/sL2Af6z8go</v>
      </c>
      <c r="AN66" s="80"/>
      <c r="AO66" s="82">
        <v>40913.46921296296</v>
      </c>
      <c r="AP66" s="85" t="str">
        <f>HYPERLINK("https://pbs.twimg.com/profile_banners/455670009/1501595767")</f>
        <v>https://pbs.twimg.com/profile_banners/455670009/1501595767</v>
      </c>
      <c r="AQ66" s="80" t="b">
        <v>0</v>
      </c>
      <c r="AR66" s="80" t="b">
        <v>0</v>
      </c>
      <c r="AS66" s="80" t="b">
        <v>0</v>
      </c>
      <c r="AT66" s="80"/>
      <c r="AU66" s="80">
        <v>49</v>
      </c>
      <c r="AV66" s="85" t="str">
        <f>HYPERLINK("http://abs.twimg.com/images/themes/theme1/bg.png")</f>
        <v>http://abs.twimg.com/images/themes/theme1/bg.png</v>
      </c>
      <c r="AW66" s="80" t="b">
        <v>0</v>
      </c>
      <c r="AX66" s="80" t="s">
        <v>2002</v>
      </c>
      <c r="AY66" s="85" t="str">
        <f>HYPERLINK("https://twitter.com/aiap_ita")</f>
        <v>https://twitter.com/aiap_ita</v>
      </c>
      <c r="AZ66" s="80" t="s">
        <v>65</v>
      </c>
      <c r="BA66" s="80" t="str">
        <f>REPLACE(INDEX(GroupVertices[Group],MATCH(Vertices[[#This Row],[Vertex]],GroupVertices[Vertex],0)),1,1,"")</f>
        <v>12</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6" t="s">
        <v>420</v>
      </c>
      <c r="B67" s="67"/>
      <c r="C67" s="67"/>
      <c r="D67" s="68">
        <v>115.78947368421052</v>
      </c>
      <c r="E67" s="70"/>
      <c r="F67" s="104" t="str">
        <f>HYPERLINK("http://pbs.twimg.com/profile_images/1230524283216109569/eEnwcEsL_normal.jpg")</f>
        <v>http://pbs.twimg.com/profile_images/1230524283216109569/eEnwcEsL_normal.jpg</v>
      </c>
      <c r="G67" s="67"/>
      <c r="H67" s="71" t="s">
        <v>420</v>
      </c>
      <c r="I67" s="72"/>
      <c r="J67" s="72"/>
      <c r="K67" s="71" t="s">
        <v>2066</v>
      </c>
      <c r="L67" s="75">
        <v>15.009341429238674</v>
      </c>
      <c r="M67" s="76">
        <v>6192.7060546875</v>
      </c>
      <c r="N67" s="76">
        <v>3229.939697265625</v>
      </c>
      <c r="O67" s="77"/>
      <c r="P67" s="78"/>
      <c r="Q67" s="78"/>
      <c r="R67" s="90"/>
      <c r="S67" s="48">
        <v>3</v>
      </c>
      <c r="T67" s="48">
        <v>1</v>
      </c>
      <c r="U67" s="49">
        <v>3</v>
      </c>
      <c r="V67" s="49">
        <v>0.25</v>
      </c>
      <c r="W67" s="49">
        <v>0</v>
      </c>
      <c r="X67" s="49">
        <v>1.38931</v>
      </c>
      <c r="Y67" s="49">
        <v>0.25</v>
      </c>
      <c r="Z67" s="49">
        <v>0</v>
      </c>
      <c r="AA67" s="73">
        <v>67</v>
      </c>
      <c r="AB67" s="73"/>
      <c r="AC67" s="74"/>
      <c r="AD67" s="80" t="s">
        <v>1264</v>
      </c>
      <c r="AE67" s="88" t="s">
        <v>1485</v>
      </c>
      <c r="AF67" s="80">
        <v>994</v>
      </c>
      <c r="AG67" s="80">
        <v>6687</v>
      </c>
      <c r="AH67" s="80">
        <v>2444</v>
      </c>
      <c r="AI67" s="80">
        <v>4280</v>
      </c>
      <c r="AJ67" s="80"/>
      <c r="AK67" s="80" t="s">
        <v>1705</v>
      </c>
      <c r="AL67" s="80" t="s">
        <v>1899</v>
      </c>
      <c r="AM67" s="85" t="str">
        <f>HYPERLINK("https://t.co/kiPBfcANvQ")</f>
        <v>https://t.co/kiPBfcANvQ</v>
      </c>
      <c r="AN67" s="80"/>
      <c r="AO67" s="82">
        <v>40002.56836805555</v>
      </c>
      <c r="AP67" s="85" t="str">
        <f>HYPERLINK("https://pbs.twimg.com/profile_banners/54896883/1483441524")</f>
        <v>https://pbs.twimg.com/profile_banners/54896883/1483441524</v>
      </c>
      <c r="AQ67" s="80" t="b">
        <v>0</v>
      </c>
      <c r="AR67" s="80" t="b">
        <v>0</v>
      </c>
      <c r="AS67" s="80" t="b">
        <v>1</v>
      </c>
      <c r="AT67" s="80"/>
      <c r="AU67" s="80">
        <v>324</v>
      </c>
      <c r="AV67" s="85" t="str">
        <f>HYPERLINK("http://abs.twimg.com/images/themes/theme1/bg.png")</f>
        <v>http://abs.twimg.com/images/themes/theme1/bg.png</v>
      </c>
      <c r="AW67" s="80" t="b">
        <v>0</v>
      </c>
      <c r="AX67" s="80" t="s">
        <v>2002</v>
      </c>
      <c r="AY67" s="85" t="str">
        <f>HYPERLINK("https://twitter.com/fedfragapane")</f>
        <v>https://twitter.com/fedfragapane</v>
      </c>
      <c r="AZ67" s="80" t="s">
        <v>66</v>
      </c>
      <c r="BA67" s="80" t="str">
        <f>REPLACE(INDEX(GroupVertices[Group],MATCH(Vertices[[#This Row],[Vertex]],GroupVertices[Vertex],0)),1,1,"")</f>
        <v>12</v>
      </c>
      <c r="BB67" s="48">
        <v>0</v>
      </c>
      <c r="BC67" s="49">
        <v>0</v>
      </c>
      <c r="BD67" s="48">
        <v>0</v>
      </c>
      <c r="BE67" s="49">
        <v>0</v>
      </c>
      <c r="BF67" s="48">
        <v>0</v>
      </c>
      <c r="BG67" s="49">
        <v>0</v>
      </c>
      <c r="BH67" s="48">
        <v>28</v>
      </c>
      <c r="BI67" s="49">
        <v>100</v>
      </c>
      <c r="BJ67" s="48">
        <v>28</v>
      </c>
      <c r="BK67" s="48" t="s">
        <v>2782</v>
      </c>
      <c r="BL67" s="48" t="s">
        <v>2782</v>
      </c>
      <c r="BM67" s="48" t="s">
        <v>679</v>
      </c>
      <c r="BN67" s="48" t="s">
        <v>679</v>
      </c>
      <c r="BO67" s="48" t="s">
        <v>708</v>
      </c>
      <c r="BP67" s="48" t="s">
        <v>708</v>
      </c>
      <c r="BQ67" s="125" t="s">
        <v>2871</v>
      </c>
      <c r="BR67" s="125" t="s">
        <v>2871</v>
      </c>
      <c r="BS67" s="125" t="s">
        <v>2986</v>
      </c>
      <c r="BT67" s="125" t="s">
        <v>2986</v>
      </c>
      <c r="BU67" s="2"/>
      <c r="BV67" s="3"/>
      <c r="BW67" s="3"/>
      <c r="BX67" s="3"/>
      <c r="BY67" s="3"/>
    </row>
    <row r="68" spans="1:77" ht="15">
      <c r="A68" s="66" t="s">
        <v>408</v>
      </c>
      <c r="B68" s="67"/>
      <c r="C68" s="67"/>
      <c r="D68" s="68">
        <v>101.50375789473684</v>
      </c>
      <c r="E68" s="70"/>
      <c r="F68" s="104" t="str">
        <f>HYPERLINK("http://pbs.twimg.com/profile_images/1067845427377119234/_jD5Ca22_normal.jpg")</f>
        <v>http://pbs.twimg.com/profile_images/1067845427377119234/_jD5Ca22_normal.jpg</v>
      </c>
      <c r="G68" s="67"/>
      <c r="H68" s="71" t="s">
        <v>408</v>
      </c>
      <c r="I68" s="72"/>
      <c r="J68" s="72"/>
      <c r="K68" s="71" t="s">
        <v>2067</v>
      </c>
      <c r="L68" s="75">
        <v>2.3342216590378326</v>
      </c>
      <c r="M68" s="76">
        <v>4680.80859375</v>
      </c>
      <c r="N68" s="76">
        <v>6202.51953125</v>
      </c>
      <c r="O68" s="77"/>
      <c r="P68" s="78"/>
      <c r="Q68" s="78"/>
      <c r="R68" s="90"/>
      <c r="S68" s="48">
        <v>0</v>
      </c>
      <c r="T68" s="48">
        <v>3</v>
      </c>
      <c r="U68" s="49">
        <v>0.285714</v>
      </c>
      <c r="V68" s="49">
        <v>0.028571</v>
      </c>
      <c r="W68" s="49">
        <v>0</v>
      </c>
      <c r="X68" s="49">
        <v>0.761422</v>
      </c>
      <c r="Y68" s="49">
        <v>0.3333333333333333</v>
      </c>
      <c r="Z68" s="49">
        <v>0</v>
      </c>
      <c r="AA68" s="73">
        <v>68</v>
      </c>
      <c r="AB68" s="73"/>
      <c r="AC68" s="74"/>
      <c r="AD68" s="80" t="s">
        <v>1265</v>
      </c>
      <c r="AE68" s="88" t="s">
        <v>1486</v>
      </c>
      <c r="AF68" s="80">
        <v>298</v>
      </c>
      <c r="AG68" s="80">
        <v>76</v>
      </c>
      <c r="AH68" s="80">
        <v>1624</v>
      </c>
      <c r="AI68" s="80">
        <v>5826</v>
      </c>
      <c r="AJ68" s="80"/>
      <c r="AK68" s="80" t="s">
        <v>1706</v>
      </c>
      <c r="AL68" s="80"/>
      <c r="AM68" s="80"/>
      <c r="AN68" s="80"/>
      <c r="AO68" s="82">
        <v>40492.81186342592</v>
      </c>
      <c r="AP68" s="85" t="str">
        <f>HYPERLINK("https://pbs.twimg.com/profile_banners/214179513/1543429182")</f>
        <v>https://pbs.twimg.com/profile_banners/214179513/1543429182</v>
      </c>
      <c r="AQ68" s="80" t="b">
        <v>1</v>
      </c>
      <c r="AR68" s="80" t="b">
        <v>0</v>
      </c>
      <c r="AS68" s="80" t="b">
        <v>0</v>
      </c>
      <c r="AT68" s="80"/>
      <c r="AU68" s="80">
        <v>1</v>
      </c>
      <c r="AV68" s="85" t="str">
        <f>HYPERLINK("http://abs.twimg.com/images/themes/theme1/bg.png")</f>
        <v>http://abs.twimg.com/images/themes/theme1/bg.png</v>
      </c>
      <c r="AW68" s="80" t="b">
        <v>0</v>
      </c>
      <c r="AX68" s="80" t="s">
        <v>2002</v>
      </c>
      <c r="AY68" s="85" t="str">
        <f>HYPERLINK("https://twitter.com/tikiblagojev")</f>
        <v>https://twitter.com/tikiblagojev</v>
      </c>
      <c r="AZ68" s="80" t="s">
        <v>66</v>
      </c>
      <c r="BA68" s="80" t="str">
        <f>REPLACE(INDEX(GroupVertices[Group],MATCH(Vertices[[#This Row],[Vertex]],GroupVertices[Vertex],0)),1,1,"")</f>
        <v>5</v>
      </c>
      <c r="BB68" s="48">
        <v>2</v>
      </c>
      <c r="BC68" s="49">
        <v>5.555555555555555</v>
      </c>
      <c r="BD68" s="48">
        <v>0</v>
      </c>
      <c r="BE68" s="49">
        <v>0</v>
      </c>
      <c r="BF68" s="48">
        <v>0</v>
      </c>
      <c r="BG68" s="49">
        <v>0</v>
      </c>
      <c r="BH68" s="48">
        <v>34</v>
      </c>
      <c r="BI68" s="49">
        <v>94.44444444444444</v>
      </c>
      <c r="BJ68" s="48">
        <v>36</v>
      </c>
      <c r="BK68" s="48"/>
      <c r="BL68" s="48"/>
      <c r="BM68" s="48"/>
      <c r="BN68" s="48"/>
      <c r="BO68" s="48" t="s">
        <v>699</v>
      </c>
      <c r="BP68" s="48" t="s">
        <v>699</v>
      </c>
      <c r="BQ68" s="125" t="s">
        <v>3090</v>
      </c>
      <c r="BR68" s="125" t="s">
        <v>3090</v>
      </c>
      <c r="BS68" s="125" t="s">
        <v>3120</v>
      </c>
      <c r="BT68" s="125" t="s">
        <v>3120</v>
      </c>
      <c r="BU68" s="2"/>
      <c r="BV68" s="3"/>
      <c r="BW68" s="3"/>
      <c r="BX68" s="3"/>
      <c r="BY68" s="3"/>
    </row>
    <row r="69" spans="1:77" ht="15">
      <c r="A69" s="66" t="s">
        <v>409</v>
      </c>
      <c r="B69" s="67"/>
      <c r="C69" s="67"/>
      <c r="D69" s="68">
        <v>101.75438421052631</v>
      </c>
      <c r="E69" s="70"/>
      <c r="F69" s="104" t="str">
        <f>HYPERLINK("http://pbs.twimg.com/profile_images/2647814014/8f3c3c61ca163e32c3e085a5d8fd66e2_normal.jpeg")</f>
        <v>http://pbs.twimg.com/profile_images/2647814014/8f3c3c61ca163e32c3e085a5d8fd66e2_normal.jpeg</v>
      </c>
      <c r="G69" s="67"/>
      <c r="H69" s="71" t="s">
        <v>409</v>
      </c>
      <c r="I69" s="72"/>
      <c r="J69" s="72"/>
      <c r="K69" s="71" t="s">
        <v>2068</v>
      </c>
      <c r="L69" s="75">
        <v>2.556591935544138</v>
      </c>
      <c r="M69" s="76">
        <v>6952.81201171875</v>
      </c>
      <c r="N69" s="76">
        <v>6429.99267578125</v>
      </c>
      <c r="O69" s="77"/>
      <c r="P69" s="78"/>
      <c r="Q69" s="78"/>
      <c r="R69" s="90"/>
      <c r="S69" s="48">
        <v>0</v>
      </c>
      <c r="T69" s="48">
        <v>3</v>
      </c>
      <c r="U69" s="49">
        <v>0.333333</v>
      </c>
      <c r="V69" s="49">
        <v>0.090909</v>
      </c>
      <c r="W69" s="49">
        <v>0</v>
      </c>
      <c r="X69" s="49">
        <v>0.732517</v>
      </c>
      <c r="Y69" s="49">
        <v>0.3333333333333333</v>
      </c>
      <c r="Z69" s="49">
        <v>0</v>
      </c>
      <c r="AA69" s="73">
        <v>69</v>
      </c>
      <c r="AB69" s="73"/>
      <c r="AC69" s="74"/>
      <c r="AD69" s="80" t="s">
        <v>1266</v>
      </c>
      <c r="AE69" s="88" t="s">
        <v>1487</v>
      </c>
      <c r="AF69" s="80">
        <v>5234</v>
      </c>
      <c r="AG69" s="80">
        <v>4973</v>
      </c>
      <c r="AH69" s="80">
        <v>27442</v>
      </c>
      <c r="AI69" s="80">
        <v>8181</v>
      </c>
      <c r="AJ69" s="80"/>
      <c r="AK69" s="80" t="s">
        <v>1707</v>
      </c>
      <c r="AL69" s="80" t="s">
        <v>1900</v>
      </c>
      <c r="AM69" s="85" t="str">
        <f>HYPERLINK("https://t.co/PJ01iJEf0j")</f>
        <v>https://t.co/PJ01iJEf0j</v>
      </c>
      <c r="AN69" s="80"/>
      <c r="AO69" s="82">
        <v>39427.91667824074</v>
      </c>
      <c r="AP69" s="85" t="str">
        <f>HYPERLINK("https://pbs.twimg.com/profile_banners/11064162/1349992672")</f>
        <v>https://pbs.twimg.com/profile_banners/11064162/1349992672</v>
      </c>
      <c r="AQ69" s="80" t="b">
        <v>0</v>
      </c>
      <c r="AR69" s="80" t="b">
        <v>0</v>
      </c>
      <c r="AS69" s="80" t="b">
        <v>1</v>
      </c>
      <c r="AT69" s="80"/>
      <c r="AU69" s="80">
        <v>347</v>
      </c>
      <c r="AV69" s="85" t="str">
        <f>HYPERLINK("http://abs.twimg.com/images/themes/theme9/bg.gif")</f>
        <v>http://abs.twimg.com/images/themes/theme9/bg.gif</v>
      </c>
      <c r="AW69" s="80" t="b">
        <v>0</v>
      </c>
      <c r="AX69" s="80" t="s">
        <v>2002</v>
      </c>
      <c r="AY69" s="85" t="str">
        <f>HYPERLINK("https://twitter.com/glynmottershead")</f>
        <v>https://twitter.com/glynmottershead</v>
      </c>
      <c r="AZ69" s="80" t="s">
        <v>66</v>
      </c>
      <c r="BA69" s="80" t="str">
        <f>REPLACE(INDEX(GroupVertices[Group],MATCH(Vertices[[#This Row],[Vertex]],GroupVertices[Vertex],0)),1,1,"")</f>
        <v>7</v>
      </c>
      <c r="BB69" s="48">
        <v>2</v>
      </c>
      <c r="BC69" s="49">
        <v>5.2631578947368425</v>
      </c>
      <c r="BD69" s="48">
        <v>1</v>
      </c>
      <c r="BE69" s="49">
        <v>2.6315789473684212</v>
      </c>
      <c r="BF69" s="48">
        <v>0</v>
      </c>
      <c r="BG69" s="49">
        <v>0</v>
      </c>
      <c r="BH69" s="48">
        <v>35</v>
      </c>
      <c r="BI69" s="49">
        <v>92.10526315789474</v>
      </c>
      <c r="BJ69" s="48">
        <v>38</v>
      </c>
      <c r="BK69" s="48"/>
      <c r="BL69" s="48"/>
      <c r="BM69" s="48"/>
      <c r="BN69" s="48"/>
      <c r="BO69" s="48"/>
      <c r="BP69" s="48"/>
      <c r="BQ69" s="125" t="s">
        <v>2866</v>
      </c>
      <c r="BR69" s="125" t="s">
        <v>2866</v>
      </c>
      <c r="BS69" s="125" t="s">
        <v>2981</v>
      </c>
      <c r="BT69" s="125" t="s">
        <v>2981</v>
      </c>
      <c r="BU69" s="2"/>
      <c r="BV69" s="3"/>
      <c r="BW69" s="3"/>
      <c r="BX69" s="3"/>
      <c r="BY69" s="3"/>
    </row>
    <row r="70" spans="1:77" ht="15">
      <c r="A70" s="66" t="s">
        <v>531</v>
      </c>
      <c r="B70" s="67"/>
      <c r="C70" s="67"/>
      <c r="D70" s="68">
        <v>135.0877210526316</v>
      </c>
      <c r="E70" s="70"/>
      <c r="F70" s="104" t="str">
        <f>HYPERLINK("http://pbs.twimg.com/profile_images/943090005723041792/2cjxINlJ_normal.jpg")</f>
        <v>http://pbs.twimg.com/profile_images/943090005723041792/2cjxINlJ_normal.jpg</v>
      </c>
      <c r="G70" s="67"/>
      <c r="H70" s="71" t="s">
        <v>531</v>
      </c>
      <c r="I70" s="72"/>
      <c r="J70" s="72"/>
      <c r="K70" s="71" t="s">
        <v>2069</v>
      </c>
      <c r="L70" s="75">
        <v>32.131871399346096</v>
      </c>
      <c r="M70" s="76">
        <v>6858.7119140625</v>
      </c>
      <c r="N70" s="76">
        <v>5116.8828125</v>
      </c>
      <c r="O70" s="77"/>
      <c r="P70" s="78"/>
      <c r="Q70" s="78"/>
      <c r="R70" s="90"/>
      <c r="S70" s="48">
        <v>6</v>
      </c>
      <c r="T70" s="48">
        <v>0</v>
      </c>
      <c r="U70" s="49">
        <v>6.666667</v>
      </c>
      <c r="V70" s="49">
        <v>0.125</v>
      </c>
      <c r="W70" s="49">
        <v>0</v>
      </c>
      <c r="X70" s="49">
        <v>1.379415</v>
      </c>
      <c r="Y70" s="49">
        <v>0.16666666666666666</v>
      </c>
      <c r="Z70" s="49">
        <v>0</v>
      </c>
      <c r="AA70" s="73">
        <v>70</v>
      </c>
      <c r="AB70" s="73"/>
      <c r="AC70" s="74"/>
      <c r="AD70" s="80" t="s">
        <v>1267</v>
      </c>
      <c r="AE70" s="88" t="s">
        <v>1488</v>
      </c>
      <c r="AF70" s="80">
        <v>756</v>
      </c>
      <c r="AG70" s="80">
        <v>2904395</v>
      </c>
      <c r="AH70" s="80">
        <v>380832</v>
      </c>
      <c r="AI70" s="80">
        <v>287</v>
      </c>
      <c r="AJ70" s="80"/>
      <c r="AK70" s="80" t="s">
        <v>1708</v>
      </c>
      <c r="AL70" s="80" t="s">
        <v>1873</v>
      </c>
      <c r="AM70" s="85" t="str">
        <f>HYPERLINK("https://t.co/ve1cMBKSfu")</f>
        <v>https://t.co/ve1cMBKSfu</v>
      </c>
      <c r="AN70" s="80"/>
      <c r="AO70" s="82">
        <v>39709.28534722222</v>
      </c>
      <c r="AP70" s="85" t="str">
        <f>HYPERLINK("https://pbs.twimg.com/profile_banners/16343974/1582025066")</f>
        <v>https://pbs.twimg.com/profile_banners/16343974/1582025066</v>
      </c>
      <c r="AQ70" s="80" t="b">
        <v>0</v>
      </c>
      <c r="AR70" s="80" t="b">
        <v>0</v>
      </c>
      <c r="AS70" s="80" t="b">
        <v>0</v>
      </c>
      <c r="AT70" s="80"/>
      <c r="AU70" s="80">
        <v>17559</v>
      </c>
      <c r="AV70" s="85" t="str">
        <f>HYPERLINK("http://abs.twimg.com/images/themes/theme15/bg.png")</f>
        <v>http://abs.twimg.com/images/themes/theme15/bg.png</v>
      </c>
      <c r="AW70" s="80" t="b">
        <v>1</v>
      </c>
      <c r="AX70" s="80" t="s">
        <v>2002</v>
      </c>
      <c r="AY70" s="85" t="str">
        <f>HYPERLINK("https://twitter.com/telegraph")</f>
        <v>https://twitter.com/telegraph</v>
      </c>
      <c r="AZ70" s="80" t="s">
        <v>65</v>
      </c>
      <c r="BA70" s="80" t="str">
        <f>REPLACE(INDEX(GroupVertices[Group],MATCH(Vertices[[#This Row],[Vertex]],GroupVertices[Vertex],0)),1,1,"")</f>
        <v>7</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6" t="s">
        <v>532</v>
      </c>
      <c r="B71" s="67"/>
      <c r="C71" s="67"/>
      <c r="D71" s="68">
        <v>135.0877210526316</v>
      </c>
      <c r="E71" s="70"/>
      <c r="F71" s="104" t="str">
        <f>HYPERLINK("http://pbs.twimg.com/profile_images/559677724164227073/2on3kUsr_normal.jpeg")</f>
        <v>http://pbs.twimg.com/profile_images/559677724164227073/2on3kUsr_normal.jpeg</v>
      </c>
      <c r="G71" s="67"/>
      <c r="H71" s="71" t="s">
        <v>532</v>
      </c>
      <c r="I71" s="72"/>
      <c r="J71" s="72"/>
      <c r="K71" s="71" t="s">
        <v>2070</v>
      </c>
      <c r="L71" s="75">
        <v>32.131871399346096</v>
      </c>
      <c r="M71" s="76">
        <v>6334.55712890625</v>
      </c>
      <c r="N71" s="76">
        <v>5469.310546875</v>
      </c>
      <c r="O71" s="77"/>
      <c r="P71" s="78"/>
      <c r="Q71" s="78"/>
      <c r="R71" s="90"/>
      <c r="S71" s="48">
        <v>6</v>
      </c>
      <c r="T71" s="48">
        <v>0</v>
      </c>
      <c r="U71" s="49">
        <v>6.666667</v>
      </c>
      <c r="V71" s="49">
        <v>0.125</v>
      </c>
      <c r="W71" s="49">
        <v>0</v>
      </c>
      <c r="X71" s="49">
        <v>1.379415</v>
      </c>
      <c r="Y71" s="49">
        <v>0.16666666666666666</v>
      </c>
      <c r="Z71" s="49">
        <v>0</v>
      </c>
      <c r="AA71" s="73">
        <v>71</v>
      </c>
      <c r="AB71" s="73"/>
      <c r="AC71" s="74"/>
      <c r="AD71" s="80" t="s">
        <v>1268</v>
      </c>
      <c r="AE71" s="88" t="s">
        <v>1489</v>
      </c>
      <c r="AF71" s="80">
        <v>723</v>
      </c>
      <c r="AG71" s="80">
        <v>185788</v>
      </c>
      <c r="AH71" s="80">
        <v>97817</v>
      </c>
      <c r="AI71" s="80">
        <v>1620</v>
      </c>
      <c r="AJ71" s="80"/>
      <c r="AK71" s="80" t="s">
        <v>1709</v>
      </c>
      <c r="AL71" s="80" t="s">
        <v>1901</v>
      </c>
      <c r="AM71" s="85" t="str">
        <f>HYPERLINK("http://t.co/qFrKugKD4U")</f>
        <v>http://t.co/qFrKugKD4U</v>
      </c>
      <c r="AN71" s="80"/>
      <c r="AO71" s="82">
        <v>39846.56799768518</v>
      </c>
      <c r="AP71" s="85" t="str">
        <f>HYPERLINK("https://pbs.twimg.com/profile_banners/19906615/1588091252")</f>
        <v>https://pbs.twimg.com/profile_banners/19906615/1588091252</v>
      </c>
      <c r="AQ71" s="80" t="b">
        <v>0</v>
      </c>
      <c r="AR71" s="80" t="b">
        <v>0</v>
      </c>
      <c r="AS71" s="80" t="b">
        <v>0</v>
      </c>
      <c r="AT71" s="80"/>
      <c r="AU71" s="80">
        <v>4424</v>
      </c>
      <c r="AV71" s="85" t="str">
        <f>HYPERLINK("http://abs.twimg.com/images/themes/theme1/bg.png")</f>
        <v>http://abs.twimg.com/images/themes/theme1/bg.png</v>
      </c>
      <c r="AW71" s="80" t="b">
        <v>1</v>
      </c>
      <c r="AX71" s="80" t="s">
        <v>2002</v>
      </c>
      <c r="AY71" s="85" t="str">
        <f>HYPERLINK("https://twitter.com/newstatesman")</f>
        <v>https://twitter.com/newstatesman</v>
      </c>
      <c r="AZ71" s="80" t="s">
        <v>65</v>
      </c>
      <c r="BA71" s="80" t="str">
        <f>REPLACE(INDEX(GroupVertices[Group],MATCH(Vertices[[#This Row],[Vertex]],GroupVertices[Vertex],0)),1,1,"")</f>
        <v>7</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6" t="s">
        <v>418</v>
      </c>
      <c r="B72" s="67"/>
      <c r="C72" s="67"/>
      <c r="D72" s="68">
        <v>136.8421052631579</v>
      </c>
      <c r="E72" s="70"/>
      <c r="F72" s="104" t="str">
        <f>HYPERLINK("http://pbs.twimg.com/profile_images/1034720657655963648/loP-DJvI_normal.jpg")</f>
        <v>http://pbs.twimg.com/profile_images/1034720657655963648/loP-DJvI_normal.jpg</v>
      </c>
      <c r="G72" s="67"/>
      <c r="H72" s="71" t="s">
        <v>418</v>
      </c>
      <c r="I72" s="72"/>
      <c r="J72" s="72"/>
      <c r="K72" s="71" t="s">
        <v>2071</v>
      </c>
      <c r="L72" s="75">
        <v>33.68846333489024</v>
      </c>
      <c r="M72" s="76">
        <v>6693.876953125</v>
      </c>
      <c r="N72" s="76">
        <v>5608.3046875</v>
      </c>
      <c r="O72" s="77"/>
      <c r="P72" s="78"/>
      <c r="Q72" s="78"/>
      <c r="R72" s="90"/>
      <c r="S72" s="48">
        <v>5</v>
      </c>
      <c r="T72" s="48">
        <v>2</v>
      </c>
      <c r="U72" s="49">
        <v>7</v>
      </c>
      <c r="V72" s="49">
        <v>0.142857</v>
      </c>
      <c r="W72" s="49">
        <v>0</v>
      </c>
      <c r="X72" s="49">
        <v>1.578566</v>
      </c>
      <c r="Y72" s="49">
        <v>0.23809523809523808</v>
      </c>
      <c r="Z72" s="49">
        <v>0</v>
      </c>
      <c r="AA72" s="73">
        <v>72</v>
      </c>
      <c r="AB72" s="73"/>
      <c r="AC72" s="74"/>
      <c r="AD72" s="80" t="s">
        <v>1269</v>
      </c>
      <c r="AE72" s="88" t="s">
        <v>1490</v>
      </c>
      <c r="AF72" s="80">
        <v>1266</v>
      </c>
      <c r="AG72" s="80">
        <v>1564</v>
      </c>
      <c r="AH72" s="80">
        <v>2841</v>
      </c>
      <c r="AI72" s="80">
        <v>1123</v>
      </c>
      <c r="AJ72" s="80"/>
      <c r="AK72" s="80" t="s">
        <v>1710</v>
      </c>
      <c r="AL72" s="80" t="s">
        <v>1881</v>
      </c>
      <c r="AM72" s="85" t="str">
        <f>HYPERLINK("https://t.co/CG1ctlgGOf")</f>
        <v>https://t.co/CG1ctlgGOf</v>
      </c>
      <c r="AN72" s="80"/>
      <c r="AO72" s="82">
        <v>40877.696493055555</v>
      </c>
      <c r="AP72" s="85" t="str">
        <f>HYPERLINK("https://pbs.twimg.com/profile_banners/425153998/1497251778")</f>
        <v>https://pbs.twimg.com/profile_banners/425153998/1497251778</v>
      </c>
      <c r="AQ72" s="80" t="b">
        <v>0</v>
      </c>
      <c r="AR72" s="80" t="b">
        <v>0</v>
      </c>
      <c r="AS72" s="80" t="b">
        <v>0</v>
      </c>
      <c r="AT72" s="80"/>
      <c r="AU72" s="80">
        <v>108</v>
      </c>
      <c r="AV72" s="85" t="str">
        <f>HYPERLINK("http://abs.twimg.com/images/themes/theme1/bg.png")</f>
        <v>http://abs.twimg.com/images/themes/theme1/bg.png</v>
      </c>
      <c r="AW72" s="80" t="b">
        <v>0</v>
      </c>
      <c r="AX72" s="80" t="s">
        <v>2002</v>
      </c>
      <c r="AY72" s="85" t="str">
        <f>HYPERLINK("https://twitter.com/patrick_e_scott")</f>
        <v>https://twitter.com/patrick_e_scott</v>
      </c>
      <c r="AZ72" s="80" t="s">
        <v>66</v>
      </c>
      <c r="BA72" s="80" t="str">
        <f>REPLACE(INDEX(GroupVertices[Group],MATCH(Vertices[[#This Row],[Vertex]],GroupVertices[Vertex],0)),1,1,"")</f>
        <v>7</v>
      </c>
      <c r="BB72" s="48">
        <v>2</v>
      </c>
      <c r="BC72" s="49">
        <v>5.2631578947368425</v>
      </c>
      <c r="BD72" s="48">
        <v>1</v>
      </c>
      <c r="BE72" s="49">
        <v>2.6315789473684212</v>
      </c>
      <c r="BF72" s="48">
        <v>0</v>
      </c>
      <c r="BG72" s="49">
        <v>0</v>
      </c>
      <c r="BH72" s="48">
        <v>35</v>
      </c>
      <c r="BI72" s="49">
        <v>92.10526315789474</v>
      </c>
      <c r="BJ72" s="48">
        <v>38</v>
      </c>
      <c r="BK72" s="48"/>
      <c r="BL72" s="48"/>
      <c r="BM72" s="48"/>
      <c r="BN72" s="48"/>
      <c r="BO72" s="48" t="s">
        <v>707</v>
      </c>
      <c r="BP72" s="48" t="s">
        <v>707</v>
      </c>
      <c r="BQ72" s="125" t="s">
        <v>2866</v>
      </c>
      <c r="BR72" s="125" t="s">
        <v>2866</v>
      </c>
      <c r="BS72" s="125" t="s">
        <v>2981</v>
      </c>
      <c r="BT72" s="125" t="s">
        <v>2981</v>
      </c>
      <c r="BU72" s="2"/>
      <c r="BV72" s="3"/>
      <c r="BW72" s="3"/>
      <c r="BX72" s="3"/>
      <c r="BY72" s="3"/>
    </row>
    <row r="73" spans="1:77" ht="15">
      <c r="A73" s="66" t="s">
        <v>410</v>
      </c>
      <c r="B73" s="67"/>
      <c r="C73" s="67"/>
      <c r="D73" s="68">
        <v>100</v>
      </c>
      <c r="E73" s="70"/>
      <c r="F73" s="104" t="str">
        <f>HYPERLINK("http://pbs.twimg.com/profile_images/1085889901206405120/CXGkLkkg_normal.jpg")</f>
        <v>http://pbs.twimg.com/profile_images/1085889901206405120/CXGkLkkg_normal.jpg</v>
      </c>
      <c r="G73" s="67"/>
      <c r="H73" s="71" t="s">
        <v>410</v>
      </c>
      <c r="I73" s="72"/>
      <c r="J73" s="72"/>
      <c r="K73" s="71" t="s">
        <v>2072</v>
      </c>
      <c r="L73" s="75">
        <v>1</v>
      </c>
      <c r="M73" s="76">
        <v>6216.1455078125</v>
      </c>
      <c r="N73" s="76">
        <v>4132.53466796875</v>
      </c>
      <c r="O73" s="77"/>
      <c r="P73" s="78"/>
      <c r="Q73" s="78"/>
      <c r="R73" s="90"/>
      <c r="S73" s="48">
        <v>0</v>
      </c>
      <c r="T73" s="48">
        <v>2</v>
      </c>
      <c r="U73" s="49">
        <v>0</v>
      </c>
      <c r="V73" s="49">
        <v>0.166667</v>
      </c>
      <c r="W73" s="49">
        <v>0</v>
      </c>
      <c r="X73" s="49">
        <v>0.740456</v>
      </c>
      <c r="Y73" s="49">
        <v>0.5</v>
      </c>
      <c r="Z73" s="49">
        <v>0</v>
      </c>
      <c r="AA73" s="73">
        <v>73</v>
      </c>
      <c r="AB73" s="73"/>
      <c r="AC73" s="74"/>
      <c r="AD73" s="80" t="s">
        <v>1270</v>
      </c>
      <c r="AE73" s="88" t="s">
        <v>1491</v>
      </c>
      <c r="AF73" s="80">
        <v>1574</v>
      </c>
      <c r="AG73" s="80">
        <v>962</v>
      </c>
      <c r="AH73" s="80">
        <v>2599</v>
      </c>
      <c r="AI73" s="80">
        <v>1697</v>
      </c>
      <c r="AJ73" s="80"/>
      <c r="AK73" s="80" t="s">
        <v>1711</v>
      </c>
      <c r="AL73" s="80" t="s">
        <v>1902</v>
      </c>
      <c r="AM73" s="80"/>
      <c r="AN73" s="80"/>
      <c r="AO73" s="82">
        <v>41286.47251157407</v>
      </c>
      <c r="AP73" s="80"/>
      <c r="AQ73" s="80" t="b">
        <v>0</v>
      </c>
      <c r="AR73" s="80" t="b">
        <v>0</v>
      </c>
      <c r="AS73" s="80" t="b">
        <v>1</v>
      </c>
      <c r="AT73" s="80"/>
      <c r="AU73" s="80">
        <v>48</v>
      </c>
      <c r="AV73" s="85" t="str">
        <f>HYPERLINK("http://abs.twimg.com/images/themes/theme1/bg.png")</f>
        <v>http://abs.twimg.com/images/themes/theme1/bg.png</v>
      </c>
      <c r="AW73" s="80" t="b">
        <v>0</v>
      </c>
      <c r="AX73" s="80" t="s">
        <v>2002</v>
      </c>
      <c r="AY73" s="85" t="str">
        <f>HYPERLINK("https://twitter.com/guipizzini")</f>
        <v>https://twitter.com/guipizzini</v>
      </c>
      <c r="AZ73" s="80" t="s">
        <v>66</v>
      </c>
      <c r="BA73" s="80" t="str">
        <f>REPLACE(INDEX(GroupVertices[Group],MATCH(Vertices[[#This Row],[Vertex]],GroupVertices[Vertex],0)),1,1,"")</f>
        <v>12</v>
      </c>
      <c r="BB73" s="48">
        <v>0</v>
      </c>
      <c r="BC73" s="49">
        <v>0</v>
      </c>
      <c r="BD73" s="48">
        <v>0</v>
      </c>
      <c r="BE73" s="49">
        <v>0</v>
      </c>
      <c r="BF73" s="48">
        <v>0</v>
      </c>
      <c r="BG73" s="49">
        <v>0</v>
      </c>
      <c r="BH73" s="48">
        <v>28</v>
      </c>
      <c r="BI73" s="49">
        <v>100</v>
      </c>
      <c r="BJ73" s="48">
        <v>28</v>
      </c>
      <c r="BK73" s="48"/>
      <c r="BL73" s="48"/>
      <c r="BM73" s="48"/>
      <c r="BN73" s="48"/>
      <c r="BO73" s="48" t="s">
        <v>706</v>
      </c>
      <c r="BP73" s="48" t="s">
        <v>706</v>
      </c>
      <c r="BQ73" s="125" t="s">
        <v>2871</v>
      </c>
      <c r="BR73" s="125" t="s">
        <v>2871</v>
      </c>
      <c r="BS73" s="125" t="s">
        <v>2986</v>
      </c>
      <c r="BT73" s="125" t="s">
        <v>2986</v>
      </c>
      <c r="BU73" s="2"/>
      <c r="BV73" s="3"/>
      <c r="BW73" s="3"/>
      <c r="BX73" s="3"/>
      <c r="BY73" s="3"/>
    </row>
    <row r="74" spans="1:77" ht="15">
      <c r="A74" s="66" t="s">
        <v>411</v>
      </c>
      <c r="B74" s="67"/>
      <c r="C74" s="67"/>
      <c r="D74" s="68">
        <v>100</v>
      </c>
      <c r="E74" s="70"/>
      <c r="F74" s="104" t="str">
        <f>HYPERLINK("http://pbs.twimg.com/profile_images/1214608871299469313/qJktmlL2_normal.jpg")</f>
        <v>http://pbs.twimg.com/profile_images/1214608871299469313/qJktmlL2_normal.jpg</v>
      </c>
      <c r="G74" s="67"/>
      <c r="H74" s="71" t="s">
        <v>411</v>
      </c>
      <c r="I74" s="72"/>
      <c r="J74" s="72"/>
      <c r="K74" s="71" t="s">
        <v>2073</v>
      </c>
      <c r="L74" s="75">
        <v>1</v>
      </c>
      <c r="M74" s="76">
        <v>842.2789916992188</v>
      </c>
      <c r="N74" s="76">
        <v>2877.3544921875</v>
      </c>
      <c r="O74" s="77"/>
      <c r="P74" s="78"/>
      <c r="Q74" s="78"/>
      <c r="R74" s="90"/>
      <c r="S74" s="48">
        <v>0</v>
      </c>
      <c r="T74" s="48">
        <v>2</v>
      </c>
      <c r="U74" s="49">
        <v>0</v>
      </c>
      <c r="V74" s="49">
        <v>0.013158</v>
      </c>
      <c r="W74" s="49">
        <v>0.021547</v>
      </c>
      <c r="X74" s="49">
        <v>0.566735</v>
      </c>
      <c r="Y74" s="49">
        <v>1</v>
      </c>
      <c r="Z74" s="49">
        <v>0</v>
      </c>
      <c r="AA74" s="73">
        <v>74</v>
      </c>
      <c r="AB74" s="73"/>
      <c r="AC74" s="74"/>
      <c r="AD74" s="80" t="s">
        <v>1271</v>
      </c>
      <c r="AE74" s="88" t="s">
        <v>1492</v>
      </c>
      <c r="AF74" s="80">
        <v>1265</v>
      </c>
      <c r="AG74" s="80">
        <v>1058</v>
      </c>
      <c r="AH74" s="80">
        <v>6874</v>
      </c>
      <c r="AI74" s="80">
        <v>17964</v>
      </c>
      <c r="AJ74" s="80"/>
      <c r="AK74" s="80" t="s">
        <v>1712</v>
      </c>
      <c r="AL74" s="80" t="s">
        <v>1903</v>
      </c>
      <c r="AM74" s="80"/>
      <c r="AN74" s="80"/>
      <c r="AO74" s="82">
        <v>40503.62902777778</v>
      </c>
      <c r="AP74" s="85" t="str">
        <f>HYPERLINK("https://pbs.twimg.com/profile_banners/218144880/1421010456")</f>
        <v>https://pbs.twimg.com/profile_banners/218144880/1421010456</v>
      </c>
      <c r="AQ74" s="80" t="b">
        <v>1</v>
      </c>
      <c r="AR74" s="80" t="b">
        <v>0</v>
      </c>
      <c r="AS74" s="80" t="b">
        <v>0</v>
      </c>
      <c r="AT74" s="80"/>
      <c r="AU74" s="80">
        <v>51</v>
      </c>
      <c r="AV74" s="85" t="str">
        <f>HYPERLINK("http://abs.twimg.com/images/themes/theme1/bg.png")</f>
        <v>http://abs.twimg.com/images/themes/theme1/bg.png</v>
      </c>
      <c r="AW74" s="80" t="b">
        <v>0</v>
      </c>
      <c r="AX74" s="80" t="s">
        <v>2002</v>
      </c>
      <c r="AY74" s="85" t="str">
        <f>HYPERLINK("https://twitter.com/mcnatch")</f>
        <v>https://twitter.com/mcnatch</v>
      </c>
      <c r="AZ74" s="80" t="s">
        <v>66</v>
      </c>
      <c r="BA74" s="80" t="str">
        <f>REPLACE(INDEX(GroupVertices[Group],MATCH(Vertices[[#This Row],[Vertex]],GroupVertices[Vertex],0)),1,1,"")</f>
        <v>2</v>
      </c>
      <c r="BB74" s="48">
        <v>3</v>
      </c>
      <c r="BC74" s="49">
        <v>7.5</v>
      </c>
      <c r="BD74" s="48">
        <v>0</v>
      </c>
      <c r="BE74" s="49">
        <v>0</v>
      </c>
      <c r="BF74" s="48">
        <v>0</v>
      </c>
      <c r="BG74" s="49">
        <v>0</v>
      </c>
      <c r="BH74" s="48">
        <v>37</v>
      </c>
      <c r="BI74" s="49">
        <v>92.5</v>
      </c>
      <c r="BJ74" s="48">
        <v>40</v>
      </c>
      <c r="BK74" s="48"/>
      <c r="BL74" s="48"/>
      <c r="BM74" s="48"/>
      <c r="BN74" s="48"/>
      <c r="BO74" s="48"/>
      <c r="BP74" s="48"/>
      <c r="BQ74" s="125" t="s">
        <v>3088</v>
      </c>
      <c r="BR74" s="125" t="s">
        <v>3088</v>
      </c>
      <c r="BS74" s="125" t="s">
        <v>2976</v>
      </c>
      <c r="BT74" s="125" t="s">
        <v>2976</v>
      </c>
      <c r="BU74" s="2"/>
      <c r="BV74" s="3"/>
      <c r="BW74" s="3"/>
      <c r="BX74" s="3"/>
      <c r="BY74" s="3"/>
    </row>
    <row r="75" spans="1:77" ht="15">
      <c r="A75" s="66" t="s">
        <v>412</v>
      </c>
      <c r="B75" s="67"/>
      <c r="C75" s="67"/>
      <c r="D75" s="68">
        <v>100</v>
      </c>
      <c r="E75" s="70"/>
      <c r="F75" s="104" t="str">
        <f>HYPERLINK("http://pbs.twimg.com/profile_images/874729548323094528/NP7PyiPy_normal.jpg")</f>
        <v>http://pbs.twimg.com/profile_images/874729548323094528/NP7PyiPy_normal.jpg</v>
      </c>
      <c r="G75" s="67"/>
      <c r="H75" s="71" t="s">
        <v>412</v>
      </c>
      <c r="I75" s="72"/>
      <c r="J75" s="72"/>
      <c r="K75" s="71" t="s">
        <v>2074</v>
      </c>
      <c r="L75" s="75">
        <v>1</v>
      </c>
      <c r="M75" s="76">
        <v>2643.990966796875</v>
      </c>
      <c r="N75" s="76">
        <v>1250.432373046875</v>
      </c>
      <c r="O75" s="77"/>
      <c r="P75" s="78"/>
      <c r="Q75" s="78"/>
      <c r="R75" s="90"/>
      <c r="S75" s="48">
        <v>0</v>
      </c>
      <c r="T75" s="48">
        <v>2</v>
      </c>
      <c r="U75" s="49">
        <v>0</v>
      </c>
      <c r="V75" s="49">
        <v>0.013158</v>
      </c>
      <c r="W75" s="49">
        <v>0.021547</v>
      </c>
      <c r="X75" s="49">
        <v>0.566735</v>
      </c>
      <c r="Y75" s="49">
        <v>1</v>
      </c>
      <c r="Z75" s="49">
        <v>0</v>
      </c>
      <c r="AA75" s="73">
        <v>75</v>
      </c>
      <c r="AB75" s="73"/>
      <c r="AC75" s="74"/>
      <c r="AD75" s="80" t="s">
        <v>1272</v>
      </c>
      <c r="AE75" s="88" t="s">
        <v>1493</v>
      </c>
      <c r="AF75" s="80">
        <v>1235</v>
      </c>
      <c r="AG75" s="80">
        <v>232</v>
      </c>
      <c r="AH75" s="80">
        <v>1224</v>
      </c>
      <c r="AI75" s="80">
        <v>2106</v>
      </c>
      <c r="AJ75" s="80"/>
      <c r="AK75" s="80" t="s">
        <v>1713</v>
      </c>
      <c r="AL75" s="80" t="s">
        <v>1881</v>
      </c>
      <c r="AM75" s="80"/>
      <c r="AN75" s="80"/>
      <c r="AO75" s="82">
        <v>41659.49538194444</v>
      </c>
      <c r="AP75" s="85" t="str">
        <f>HYPERLINK("https://pbs.twimg.com/profile_banners/2301271489/1497387218")</f>
        <v>https://pbs.twimg.com/profile_banners/2301271489/1497387218</v>
      </c>
      <c r="AQ75" s="80" t="b">
        <v>1</v>
      </c>
      <c r="AR75" s="80" t="b">
        <v>0</v>
      </c>
      <c r="AS75" s="80" t="b">
        <v>0</v>
      </c>
      <c r="AT75" s="80"/>
      <c r="AU75" s="80">
        <v>10</v>
      </c>
      <c r="AV75" s="85" t="str">
        <f>HYPERLINK("http://abs.twimg.com/images/themes/theme1/bg.png")</f>
        <v>http://abs.twimg.com/images/themes/theme1/bg.png</v>
      </c>
      <c r="AW75" s="80" t="b">
        <v>0</v>
      </c>
      <c r="AX75" s="80" t="s">
        <v>2002</v>
      </c>
      <c r="AY75" s="85" t="str">
        <f>HYPERLINK("https://twitter.com/lukestanbra")</f>
        <v>https://twitter.com/lukestanbra</v>
      </c>
      <c r="AZ75" s="80" t="s">
        <v>66</v>
      </c>
      <c r="BA75" s="80" t="str">
        <f>REPLACE(INDEX(GroupVertices[Group],MATCH(Vertices[[#This Row],[Vertex]],GroupVertices[Vertex],0)),1,1,"")</f>
        <v>2</v>
      </c>
      <c r="BB75" s="48">
        <v>3</v>
      </c>
      <c r="BC75" s="49">
        <v>7.5</v>
      </c>
      <c r="BD75" s="48">
        <v>0</v>
      </c>
      <c r="BE75" s="49">
        <v>0</v>
      </c>
      <c r="BF75" s="48">
        <v>0</v>
      </c>
      <c r="BG75" s="49">
        <v>0</v>
      </c>
      <c r="BH75" s="48">
        <v>37</v>
      </c>
      <c r="BI75" s="49">
        <v>92.5</v>
      </c>
      <c r="BJ75" s="48">
        <v>40</v>
      </c>
      <c r="BK75" s="48"/>
      <c r="BL75" s="48"/>
      <c r="BM75" s="48"/>
      <c r="BN75" s="48"/>
      <c r="BO75" s="48"/>
      <c r="BP75" s="48"/>
      <c r="BQ75" s="125" t="s">
        <v>3088</v>
      </c>
      <c r="BR75" s="125" t="s">
        <v>3088</v>
      </c>
      <c r="BS75" s="125" t="s">
        <v>2976</v>
      </c>
      <c r="BT75" s="125" t="s">
        <v>2976</v>
      </c>
      <c r="BU75" s="2"/>
      <c r="BV75" s="3"/>
      <c r="BW75" s="3"/>
      <c r="BX75" s="3"/>
      <c r="BY75" s="3"/>
    </row>
    <row r="76" spans="1:77" ht="15">
      <c r="A76" s="66" t="s">
        <v>413</v>
      </c>
      <c r="B76" s="67"/>
      <c r="C76" s="67"/>
      <c r="D76" s="68">
        <v>100.47846842105263</v>
      </c>
      <c r="E76" s="70"/>
      <c r="F76" s="104" t="str">
        <f>HYPERLINK("http://pbs.twimg.com/profile_images/1259946967242870786/VBIslPot_normal.jpg")</f>
        <v>http://pbs.twimg.com/profile_images/1259946967242870786/VBIslPot_normal.jpg</v>
      </c>
      <c r="G76" s="67"/>
      <c r="H76" s="71" t="s">
        <v>413</v>
      </c>
      <c r="I76" s="72"/>
      <c r="J76" s="72"/>
      <c r="K76" s="71" t="s">
        <v>2075</v>
      </c>
      <c r="L76" s="75">
        <v>1.4245250733302195</v>
      </c>
      <c r="M76" s="76">
        <v>6184.0224609375</v>
      </c>
      <c r="N76" s="76">
        <v>9843.6689453125</v>
      </c>
      <c r="O76" s="77"/>
      <c r="P76" s="78"/>
      <c r="Q76" s="78"/>
      <c r="R76" s="90"/>
      <c r="S76" s="48">
        <v>0</v>
      </c>
      <c r="T76" s="48">
        <v>2</v>
      </c>
      <c r="U76" s="49">
        <v>0.090909</v>
      </c>
      <c r="V76" s="49">
        <v>0.02</v>
      </c>
      <c r="W76" s="49">
        <v>0</v>
      </c>
      <c r="X76" s="49">
        <v>0.508988</v>
      </c>
      <c r="Y76" s="49">
        <v>0</v>
      </c>
      <c r="Z76" s="49">
        <v>0</v>
      </c>
      <c r="AA76" s="73">
        <v>76</v>
      </c>
      <c r="AB76" s="73"/>
      <c r="AC76" s="74"/>
      <c r="AD76" s="80" t="s">
        <v>1273</v>
      </c>
      <c r="AE76" s="88" t="s">
        <v>1494</v>
      </c>
      <c r="AF76" s="80">
        <v>1040</v>
      </c>
      <c r="AG76" s="80">
        <v>473</v>
      </c>
      <c r="AH76" s="80">
        <v>6067</v>
      </c>
      <c r="AI76" s="80">
        <v>5953</v>
      </c>
      <c r="AJ76" s="80"/>
      <c r="AK76" s="80" t="s">
        <v>1714</v>
      </c>
      <c r="AL76" s="80" t="s">
        <v>1904</v>
      </c>
      <c r="AM76" s="80"/>
      <c r="AN76" s="80"/>
      <c r="AO76" s="82">
        <v>40556.69787037037</v>
      </c>
      <c r="AP76" s="85" t="str">
        <f>HYPERLINK("https://pbs.twimg.com/profile_banners/237787220/1589229863")</f>
        <v>https://pbs.twimg.com/profile_banners/237787220/1589229863</v>
      </c>
      <c r="AQ76" s="80" t="b">
        <v>0</v>
      </c>
      <c r="AR76" s="80" t="b">
        <v>0</v>
      </c>
      <c r="AS76" s="80" t="b">
        <v>1</v>
      </c>
      <c r="AT76" s="80"/>
      <c r="AU76" s="80">
        <v>3</v>
      </c>
      <c r="AV76" s="85" t="str">
        <f>HYPERLINK("http://abs.twimg.com/images/themes/theme9/bg.gif")</f>
        <v>http://abs.twimg.com/images/themes/theme9/bg.gif</v>
      </c>
      <c r="AW76" s="80" t="b">
        <v>0</v>
      </c>
      <c r="AX76" s="80" t="s">
        <v>2002</v>
      </c>
      <c r="AY76" s="85" t="str">
        <f>HYPERLINK("https://twitter.com/mo_shamah")</f>
        <v>https://twitter.com/mo_shamah</v>
      </c>
      <c r="AZ76" s="80" t="s">
        <v>66</v>
      </c>
      <c r="BA76" s="80" t="str">
        <f>REPLACE(INDEX(GroupVertices[Group],MATCH(Vertices[[#This Row],[Vertex]],GroupVertices[Vertex],0)),1,1,"")</f>
        <v>3</v>
      </c>
      <c r="BB76" s="48">
        <v>1</v>
      </c>
      <c r="BC76" s="49">
        <v>5.2631578947368425</v>
      </c>
      <c r="BD76" s="48">
        <v>0</v>
      </c>
      <c r="BE76" s="49">
        <v>0</v>
      </c>
      <c r="BF76" s="48">
        <v>0</v>
      </c>
      <c r="BG76" s="49">
        <v>0</v>
      </c>
      <c r="BH76" s="48">
        <v>18</v>
      </c>
      <c r="BI76" s="49">
        <v>94.73684210526316</v>
      </c>
      <c r="BJ76" s="48">
        <v>19</v>
      </c>
      <c r="BK76" s="48" t="s">
        <v>2724</v>
      </c>
      <c r="BL76" s="48" t="s">
        <v>2724</v>
      </c>
      <c r="BM76" s="48" t="s">
        <v>678</v>
      </c>
      <c r="BN76" s="48" t="s">
        <v>678</v>
      </c>
      <c r="BO76" s="48" t="s">
        <v>703</v>
      </c>
      <c r="BP76" s="48" t="s">
        <v>703</v>
      </c>
      <c r="BQ76" s="125" t="s">
        <v>3091</v>
      </c>
      <c r="BR76" s="125" t="s">
        <v>3091</v>
      </c>
      <c r="BS76" s="125" t="s">
        <v>2977</v>
      </c>
      <c r="BT76" s="125" t="s">
        <v>2977</v>
      </c>
      <c r="BU76" s="2"/>
      <c r="BV76" s="3"/>
      <c r="BW76" s="3"/>
      <c r="BX76" s="3"/>
      <c r="BY76" s="3"/>
    </row>
    <row r="77" spans="1:77" ht="15">
      <c r="A77" s="66" t="s">
        <v>414</v>
      </c>
      <c r="B77" s="67"/>
      <c r="C77" s="67"/>
      <c r="D77" s="68">
        <v>101.75438421052631</v>
      </c>
      <c r="E77" s="70"/>
      <c r="F77" s="104" t="str">
        <f>HYPERLINK("http://pbs.twimg.com/profile_images/1275099031748952072/_X1v6SKX_normal.jpg")</f>
        <v>http://pbs.twimg.com/profile_images/1275099031748952072/_X1v6SKX_normal.jpg</v>
      </c>
      <c r="G77" s="67"/>
      <c r="H77" s="71" t="s">
        <v>414</v>
      </c>
      <c r="I77" s="72"/>
      <c r="J77" s="72"/>
      <c r="K77" s="71" t="s">
        <v>2076</v>
      </c>
      <c r="L77" s="75">
        <v>2.556591935544138</v>
      </c>
      <c r="M77" s="76">
        <v>6089.85595703125</v>
      </c>
      <c r="N77" s="76">
        <v>6232.01025390625</v>
      </c>
      <c r="O77" s="77"/>
      <c r="P77" s="78"/>
      <c r="Q77" s="78"/>
      <c r="R77" s="90"/>
      <c r="S77" s="48">
        <v>0</v>
      </c>
      <c r="T77" s="48">
        <v>3</v>
      </c>
      <c r="U77" s="49">
        <v>0.333333</v>
      </c>
      <c r="V77" s="49">
        <v>0.090909</v>
      </c>
      <c r="W77" s="49">
        <v>0</v>
      </c>
      <c r="X77" s="49">
        <v>0.732517</v>
      </c>
      <c r="Y77" s="49">
        <v>0.3333333333333333</v>
      </c>
      <c r="Z77" s="49">
        <v>0</v>
      </c>
      <c r="AA77" s="73">
        <v>77</v>
      </c>
      <c r="AB77" s="73"/>
      <c r="AC77" s="74"/>
      <c r="AD77" s="80" t="s">
        <v>1274</v>
      </c>
      <c r="AE77" s="88" t="s">
        <v>1495</v>
      </c>
      <c r="AF77" s="80">
        <v>3025</v>
      </c>
      <c r="AG77" s="80">
        <v>5380</v>
      </c>
      <c r="AH77" s="80">
        <v>46388</v>
      </c>
      <c r="AI77" s="80">
        <v>9961</v>
      </c>
      <c r="AJ77" s="80"/>
      <c r="AK77" s="80" t="s">
        <v>1715</v>
      </c>
      <c r="AL77" s="80" t="s">
        <v>1905</v>
      </c>
      <c r="AM77" s="85" t="str">
        <f>HYPERLINK("https://t.co/2Eo5mPWnSz")</f>
        <v>https://t.co/2Eo5mPWnSz</v>
      </c>
      <c r="AN77" s="80"/>
      <c r="AO77" s="82">
        <v>39800.76375</v>
      </c>
      <c r="AP77" s="85" t="str">
        <f>HYPERLINK("https://pbs.twimg.com/profile_banners/18220900/1592824415")</f>
        <v>https://pbs.twimg.com/profile_banners/18220900/1592824415</v>
      </c>
      <c r="AQ77" s="80" t="b">
        <v>0</v>
      </c>
      <c r="AR77" s="80" t="b">
        <v>0</v>
      </c>
      <c r="AS77" s="80" t="b">
        <v>1</v>
      </c>
      <c r="AT77" s="80"/>
      <c r="AU77" s="80">
        <v>194</v>
      </c>
      <c r="AV77" s="85" t="str">
        <f>HYPERLINK("http://abs.twimg.com/images/themes/theme2/bg.gif")</f>
        <v>http://abs.twimg.com/images/themes/theme2/bg.gif</v>
      </c>
      <c r="AW77" s="80" t="b">
        <v>0</v>
      </c>
      <c r="AX77" s="80" t="s">
        <v>2002</v>
      </c>
      <c r="AY77" s="85" t="str">
        <f>HYPERLINK("https://twitter.com/psychingitout")</f>
        <v>https://twitter.com/psychingitout</v>
      </c>
      <c r="AZ77" s="80" t="s">
        <v>66</v>
      </c>
      <c r="BA77" s="80" t="str">
        <f>REPLACE(INDEX(GroupVertices[Group],MATCH(Vertices[[#This Row],[Vertex]],GroupVertices[Vertex],0)),1,1,"")</f>
        <v>7</v>
      </c>
      <c r="BB77" s="48">
        <v>2</v>
      </c>
      <c r="BC77" s="49">
        <v>5.2631578947368425</v>
      </c>
      <c r="BD77" s="48">
        <v>1</v>
      </c>
      <c r="BE77" s="49">
        <v>2.6315789473684212</v>
      </c>
      <c r="BF77" s="48">
        <v>0</v>
      </c>
      <c r="BG77" s="49">
        <v>0</v>
      </c>
      <c r="BH77" s="48">
        <v>35</v>
      </c>
      <c r="BI77" s="49">
        <v>92.10526315789474</v>
      </c>
      <c r="BJ77" s="48">
        <v>38</v>
      </c>
      <c r="BK77" s="48"/>
      <c r="BL77" s="48"/>
      <c r="BM77" s="48"/>
      <c r="BN77" s="48"/>
      <c r="BO77" s="48"/>
      <c r="BP77" s="48"/>
      <c r="BQ77" s="125" t="s">
        <v>2866</v>
      </c>
      <c r="BR77" s="125" t="s">
        <v>2866</v>
      </c>
      <c r="BS77" s="125" t="s">
        <v>2981</v>
      </c>
      <c r="BT77" s="125" t="s">
        <v>2981</v>
      </c>
      <c r="BU77" s="2"/>
      <c r="BV77" s="3"/>
      <c r="BW77" s="3"/>
      <c r="BX77" s="3"/>
      <c r="BY77" s="3"/>
    </row>
    <row r="78" spans="1:77" ht="15">
      <c r="A78" s="66" t="s">
        <v>415</v>
      </c>
      <c r="B78" s="67"/>
      <c r="C78" s="67"/>
      <c r="D78" s="68">
        <v>100.47846842105263</v>
      </c>
      <c r="E78" s="70"/>
      <c r="F78" s="104" t="str">
        <f>HYPERLINK("http://pbs.twimg.com/profile_images/1171365730362769409/_spJA1T7_normal.jpg")</f>
        <v>http://pbs.twimg.com/profile_images/1171365730362769409/_spJA1T7_normal.jpg</v>
      </c>
      <c r="G78" s="67"/>
      <c r="H78" s="71" t="s">
        <v>415</v>
      </c>
      <c r="I78" s="72"/>
      <c r="J78" s="72"/>
      <c r="K78" s="71" t="s">
        <v>2077</v>
      </c>
      <c r="L78" s="75">
        <v>1.4245250733302195</v>
      </c>
      <c r="M78" s="76">
        <v>6945.587890625</v>
      </c>
      <c r="N78" s="76">
        <v>9299.8388671875</v>
      </c>
      <c r="O78" s="77"/>
      <c r="P78" s="78"/>
      <c r="Q78" s="78"/>
      <c r="R78" s="90"/>
      <c r="S78" s="48">
        <v>0</v>
      </c>
      <c r="T78" s="48">
        <v>2</v>
      </c>
      <c r="U78" s="49">
        <v>0.090909</v>
      </c>
      <c r="V78" s="49">
        <v>0.02</v>
      </c>
      <c r="W78" s="49">
        <v>0</v>
      </c>
      <c r="X78" s="49">
        <v>0.508988</v>
      </c>
      <c r="Y78" s="49">
        <v>0</v>
      </c>
      <c r="Z78" s="49">
        <v>0</v>
      </c>
      <c r="AA78" s="73">
        <v>78</v>
      </c>
      <c r="AB78" s="73"/>
      <c r="AC78" s="74"/>
      <c r="AD78" s="80" t="s">
        <v>1275</v>
      </c>
      <c r="AE78" s="88" t="s">
        <v>1496</v>
      </c>
      <c r="AF78" s="80">
        <v>1846</v>
      </c>
      <c r="AG78" s="80">
        <v>663</v>
      </c>
      <c r="AH78" s="80">
        <v>2604</v>
      </c>
      <c r="AI78" s="80">
        <v>633</v>
      </c>
      <c r="AJ78" s="80"/>
      <c r="AK78" s="80" t="s">
        <v>1716</v>
      </c>
      <c r="AL78" s="80" t="s">
        <v>1906</v>
      </c>
      <c r="AM78" s="80"/>
      <c r="AN78" s="80"/>
      <c r="AO78" s="82">
        <v>43718.30061342593</v>
      </c>
      <c r="AP78" s="85" t="str">
        <f>HYPERLINK("https://pbs.twimg.com/profile_banners/1171320549982838785/1568110329")</f>
        <v>https://pbs.twimg.com/profile_banners/1171320549982838785/1568110329</v>
      </c>
      <c r="AQ78" s="80" t="b">
        <v>1</v>
      </c>
      <c r="AR78" s="80" t="b">
        <v>0</v>
      </c>
      <c r="AS78" s="80" t="b">
        <v>1</v>
      </c>
      <c r="AT78" s="80"/>
      <c r="AU78" s="80">
        <v>0</v>
      </c>
      <c r="AV78" s="80"/>
      <c r="AW78" s="80" t="b">
        <v>0</v>
      </c>
      <c r="AX78" s="80" t="s">
        <v>2002</v>
      </c>
      <c r="AY78" s="85" t="str">
        <f>HYPERLINK("https://twitter.com/missg_dhsgeog")</f>
        <v>https://twitter.com/missg_dhsgeog</v>
      </c>
      <c r="AZ78" s="80" t="s">
        <v>66</v>
      </c>
      <c r="BA78" s="80" t="str">
        <f>REPLACE(INDEX(GroupVertices[Group],MATCH(Vertices[[#This Row],[Vertex]],GroupVertices[Vertex],0)),1,1,"")</f>
        <v>3</v>
      </c>
      <c r="BB78" s="48">
        <v>1</v>
      </c>
      <c r="BC78" s="49">
        <v>5.2631578947368425</v>
      </c>
      <c r="BD78" s="48">
        <v>0</v>
      </c>
      <c r="BE78" s="49">
        <v>0</v>
      </c>
      <c r="BF78" s="48">
        <v>0</v>
      </c>
      <c r="BG78" s="49">
        <v>0</v>
      </c>
      <c r="BH78" s="48">
        <v>18</v>
      </c>
      <c r="BI78" s="49">
        <v>94.73684210526316</v>
      </c>
      <c r="BJ78" s="48">
        <v>19</v>
      </c>
      <c r="BK78" s="48" t="s">
        <v>2724</v>
      </c>
      <c r="BL78" s="48" t="s">
        <v>2724</v>
      </c>
      <c r="BM78" s="48" t="s">
        <v>678</v>
      </c>
      <c r="BN78" s="48" t="s">
        <v>678</v>
      </c>
      <c r="BO78" s="48" t="s">
        <v>703</v>
      </c>
      <c r="BP78" s="48" t="s">
        <v>703</v>
      </c>
      <c r="BQ78" s="125" t="s">
        <v>3091</v>
      </c>
      <c r="BR78" s="125" t="s">
        <v>3091</v>
      </c>
      <c r="BS78" s="125" t="s">
        <v>2977</v>
      </c>
      <c r="BT78" s="125" t="s">
        <v>2977</v>
      </c>
      <c r="BU78" s="2"/>
      <c r="BV78" s="3"/>
      <c r="BW78" s="3"/>
      <c r="BX78" s="3"/>
      <c r="BY78" s="3"/>
    </row>
    <row r="79" spans="1:77" ht="15">
      <c r="A79" s="66" t="s">
        <v>416</v>
      </c>
      <c r="B79" s="67"/>
      <c r="C79" s="67"/>
      <c r="D79" s="68">
        <v>101.75438421052631</v>
      </c>
      <c r="E79" s="70"/>
      <c r="F79" s="104" t="str">
        <f>HYPERLINK("http://pbs.twimg.com/profile_images/747158769671475200/w4M2qo_t_normal.jpg")</f>
        <v>http://pbs.twimg.com/profile_images/747158769671475200/w4M2qo_t_normal.jpg</v>
      </c>
      <c r="G79" s="67"/>
      <c r="H79" s="71" t="s">
        <v>416</v>
      </c>
      <c r="I79" s="72"/>
      <c r="J79" s="72"/>
      <c r="K79" s="71" t="s">
        <v>2078</v>
      </c>
      <c r="L79" s="75">
        <v>2.556591935544138</v>
      </c>
      <c r="M79" s="76">
        <v>7409.025390625</v>
      </c>
      <c r="N79" s="76">
        <v>5328.337890625</v>
      </c>
      <c r="O79" s="77"/>
      <c r="P79" s="78"/>
      <c r="Q79" s="78"/>
      <c r="R79" s="90"/>
      <c r="S79" s="48">
        <v>0</v>
      </c>
      <c r="T79" s="48">
        <v>3</v>
      </c>
      <c r="U79" s="49">
        <v>0.333333</v>
      </c>
      <c r="V79" s="49">
        <v>0.090909</v>
      </c>
      <c r="W79" s="49">
        <v>0</v>
      </c>
      <c r="X79" s="49">
        <v>0.732517</v>
      </c>
      <c r="Y79" s="49">
        <v>0.3333333333333333</v>
      </c>
      <c r="Z79" s="49">
        <v>0</v>
      </c>
      <c r="AA79" s="73">
        <v>79</v>
      </c>
      <c r="AB79" s="73"/>
      <c r="AC79" s="74"/>
      <c r="AD79" s="80" t="s">
        <v>1276</v>
      </c>
      <c r="AE79" s="88" t="s">
        <v>1497</v>
      </c>
      <c r="AF79" s="80">
        <v>1486</v>
      </c>
      <c r="AG79" s="80">
        <v>1855</v>
      </c>
      <c r="AH79" s="80">
        <v>1087</v>
      </c>
      <c r="AI79" s="80">
        <v>613</v>
      </c>
      <c r="AJ79" s="80"/>
      <c r="AK79" s="80" t="s">
        <v>1717</v>
      </c>
      <c r="AL79" s="80" t="s">
        <v>1871</v>
      </c>
      <c r="AM79" s="85" t="str">
        <f>HYPERLINK("https://t.co/97ikCNbFYB")</f>
        <v>https://t.co/97ikCNbFYB</v>
      </c>
      <c r="AN79" s="80"/>
      <c r="AO79" s="82">
        <v>39851.49752314815</v>
      </c>
      <c r="AP79" s="85" t="str">
        <f>HYPERLINK("https://pbs.twimg.com/profile_banners/20305611/1449419680")</f>
        <v>https://pbs.twimg.com/profile_banners/20305611/1449419680</v>
      </c>
      <c r="AQ79" s="80" t="b">
        <v>1</v>
      </c>
      <c r="AR79" s="80" t="b">
        <v>0</v>
      </c>
      <c r="AS79" s="80" t="b">
        <v>0</v>
      </c>
      <c r="AT79" s="80"/>
      <c r="AU79" s="80">
        <v>66</v>
      </c>
      <c r="AV79" s="85" t="str">
        <f>HYPERLINK("http://abs.twimg.com/images/themes/theme1/bg.png")</f>
        <v>http://abs.twimg.com/images/themes/theme1/bg.png</v>
      </c>
      <c r="AW79" s="80" t="b">
        <v>0</v>
      </c>
      <c r="AX79" s="80" t="s">
        <v>2002</v>
      </c>
      <c r="AY79" s="85" t="str">
        <f>HYPERLINK("https://twitter.com/oscwilliams")</f>
        <v>https://twitter.com/oscwilliams</v>
      </c>
      <c r="AZ79" s="80" t="s">
        <v>66</v>
      </c>
      <c r="BA79" s="80" t="str">
        <f>REPLACE(INDEX(GroupVertices[Group],MATCH(Vertices[[#This Row],[Vertex]],GroupVertices[Vertex],0)),1,1,"")</f>
        <v>7</v>
      </c>
      <c r="BB79" s="48">
        <v>2</v>
      </c>
      <c r="BC79" s="49">
        <v>5.2631578947368425</v>
      </c>
      <c r="BD79" s="48">
        <v>1</v>
      </c>
      <c r="BE79" s="49">
        <v>2.6315789473684212</v>
      </c>
      <c r="BF79" s="48">
        <v>0</v>
      </c>
      <c r="BG79" s="49">
        <v>0</v>
      </c>
      <c r="BH79" s="48">
        <v>35</v>
      </c>
      <c r="BI79" s="49">
        <v>92.10526315789474</v>
      </c>
      <c r="BJ79" s="48">
        <v>38</v>
      </c>
      <c r="BK79" s="48"/>
      <c r="BL79" s="48"/>
      <c r="BM79" s="48"/>
      <c r="BN79" s="48"/>
      <c r="BO79" s="48"/>
      <c r="BP79" s="48"/>
      <c r="BQ79" s="125" t="s">
        <v>2866</v>
      </c>
      <c r="BR79" s="125" t="s">
        <v>2866</v>
      </c>
      <c r="BS79" s="125" t="s">
        <v>2981</v>
      </c>
      <c r="BT79" s="125" t="s">
        <v>2981</v>
      </c>
      <c r="BU79" s="2"/>
      <c r="BV79" s="3"/>
      <c r="BW79" s="3"/>
      <c r="BX79" s="3"/>
      <c r="BY79" s="3"/>
    </row>
    <row r="80" spans="1:77" ht="15">
      <c r="A80" s="66" t="s">
        <v>417</v>
      </c>
      <c r="B80" s="67"/>
      <c r="C80" s="67"/>
      <c r="D80" s="68">
        <v>101.75438421052631</v>
      </c>
      <c r="E80" s="70"/>
      <c r="F80" s="104" t="str">
        <f>HYPERLINK("http://pbs.twimg.com/profile_images/1172243646038577157/PeV0BOU1_normal.jpg")</f>
        <v>http://pbs.twimg.com/profile_images/1172243646038577157/PeV0BOU1_normal.jpg</v>
      </c>
      <c r="G80" s="67"/>
      <c r="H80" s="71" t="s">
        <v>417</v>
      </c>
      <c r="I80" s="72"/>
      <c r="J80" s="72"/>
      <c r="K80" s="71" t="s">
        <v>2079</v>
      </c>
      <c r="L80" s="75">
        <v>2.556591935544138</v>
      </c>
      <c r="M80" s="76">
        <v>5986.66259765625</v>
      </c>
      <c r="N80" s="76">
        <v>4781.037109375</v>
      </c>
      <c r="O80" s="77"/>
      <c r="P80" s="78"/>
      <c r="Q80" s="78"/>
      <c r="R80" s="90"/>
      <c r="S80" s="48">
        <v>0</v>
      </c>
      <c r="T80" s="48">
        <v>3</v>
      </c>
      <c r="U80" s="49">
        <v>0.333333</v>
      </c>
      <c r="V80" s="49">
        <v>0.090909</v>
      </c>
      <c r="W80" s="49">
        <v>0</v>
      </c>
      <c r="X80" s="49">
        <v>0.732517</v>
      </c>
      <c r="Y80" s="49">
        <v>0.3333333333333333</v>
      </c>
      <c r="Z80" s="49">
        <v>0</v>
      </c>
      <c r="AA80" s="73">
        <v>80</v>
      </c>
      <c r="AB80" s="73"/>
      <c r="AC80" s="74"/>
      <c r="AD80" s="80" t="s">
        <v>1277</v>
      </c>
      <c r="AE80" s="88" t="s">
        <v>1498</v>
      </c>
      <c r="AF80" s="80">
        <v>3286</v>
      </c>
      <c r="AG80" s="80">
        <v>14254</v>
      </c>
      <c r="AH80" s="80">
        <v>63406</v>
      </c>
      <c r="AI80" s="80">
        <v>35265</v>
      </c>
      <c r="AJ80" s="80"/>
      <c r="AK80" s="80" t="s">
        <v>1718</v>
      </c>
      <c r="AL80" s="80"/>
      <c r="AM80" s="85" t="str">
        <f>HYPERLINK("https://t.co/mcC9OnwlE2")</f>
        <v>https://t.co/mcC9OnwlE2</v>
      </c>
      <c r="AN80" s="80"/>
      <c r="AO80" s="82">
        <v>40893.17673611111</v>
      </c>
      <c r="AP80" s="85" t="str">
        <f>HYPERLINK("https://pbs.twimg.com/profile_banners/438060841/1590594372")</f>
        <v>https://pbs.twimg.com/profile_banners/438060841/1590594372</v>
      </c>
      <c r="AQ80" s="80" t="b">
        <v>0</v>
      </c>
      <c r="AR80" s="80" t="b">
        <v>0</v>
      </c>
      <c r="AS80" s="80" t="b">
        <v>0</v>
      </c>
      <c r="AT80" s="80"/>
      <c r="AU80" s="80">
        <v>308</v>
      </c>
      <c r="AV80" s="85" t="str">
        <f>HYPERLINK("http://abs.twimg.com/images/themes/theme8/bg.gif")</f>
        <v>http://abs.twimg.com/images/themes/theme8/bg.gif</v>
      </c>
      <c r="AW80" s="80" t="b">
        <v>1</v>
      </c>
      <c r="AX80" s="80" t="s">
        <v>2002</v>
      </c>
      <c r="AY80" s="85" t="str">
        <f>HYPERLINK("https://twitter.com/emilyctamkin")</f>
        <v>https://twitter.com/emilyctamkin</v>
      </c>
      <c r="AZ80" s="80" t="s">
        <v>66</v>
      </c>
      <c r="BA80" s="80" t="str">
        <f>REPLACE(INDEX(GroupVertices[Group],MATCH(Vertices[[#This Row],[Vertex]],GroupVertices[Vertex],0)),1,1,"")</f>
        <v>7</v>
      </c>
      <c r="BB80" s="48">
        <v>2</v>
      </c>
      <c r="BC80" s="49">
        <v>5.2631578947368425</v>
      </c>
      <c r="BD80" s="48">
        <v>1</v>
      </c>
      <c r="BE80" s="49">
        <v>2.6315789473684212</v>
      </c>
      <c r="BF80" s="48">
        <v>0</v>
      </c>
      <c r="BG80" s="49">
        <v>0</v>
      </c>
      <c r="BH80" s="48">
        <v>35</v>
      </c>
      <c r="BI80" s="49">
        <v>92.10526315789474</v>
      </c>
      <c r="BJ80" s="48">
        <v>38</v>
      </c>
      <c r="BK80" s="48"/>
      <c r="BL80" s="48"/>
      <c r="BM80" s="48"/>
      <c r="BN80" s="48"/>
      <c r="BO80" s="48"/>
      <c r="BP80" s="48"/>
      <c r="BQ80" s="125" t="s">
        <v>2866</v>
      </c>
      <c r="BR80" s="125" t="s">
        <v>2866</v>
      </c>
      <c r="BS80" s="125" t="s">
        <v>2981</v>
      </c>
      <c r="BT80" s="125" t="s">
        <v>2981</v>
      </c>
      <c r="BU80" s="2"/>
      <c r="BV80" s="3"/>
      <c r="BW80" s="3"/>
      <c r="BX80" s="3"/>
      <c r="BY80" s="3"/>
    </row>
    <row r="81" spans="1:77" ht="15">
      <c r="A81" s="66" t="s">
        <v>419</v>
      </c>
      <c r="B81" s="67"/>
      <c r="C81" s="67"/>
      <c r="D81" s="68">
        <v>101.75438421052631</v>
      </c>
      <c r="E81" s="70"/>
      <c r="F81" s="104" t="str">
        <f>HYPERLINK("http://pbs.twimg.com/profile_images/730103087457652736/w24ivGRo_normal.jpg")</f>
        <v>http://pbs.twimg.com/profile_images/730103087457652736/w24ivGRo_normal.jpg</v>
      </c>
      <c r="G81" s="67"/>
      <c r="H81" s="71" t="s">
        <v>419</v>
      </c>
      <c r="I81" s="72"/>
      <c r="J81" s="72"/>
      <c r="K81" s="71" t="s">
        <v>2080</v>
      </c>
      <c r="L81" s="75">
        <v>2.556591935544138</v>
      </c>
      <c r="M81" s="76">
        <v>6728.935546875</v>
      </c>
      <c r="N81" s="76">
        <v>4277.02880859375</v>
      </c>
      <c r="O81" s="77"/>
      <c r="P81" s="78"/>
      <c r="Q81" s="78"/>
      <c r="R81" s="90"/>
      <c r="S81" s="48">
        <v>0</v>
      </c>
      <c r="T81" s="48">
        <v>3</v>
      </c>
      <c r="U81" s="49">
        <v>0.333333</v>
      </c>
      <c r="V81" s="49">
        <v>0.090909</v>
      </c>
      <c r="W81" s="49">
        <v>0</v>
      </c>
      <c r="X81" s="49">
        <v>0.732517</v>
      </c>
      <c r="Y81" s="49">
        <v>0.3333333333333333</v>
      </c>
      <c r="Z81" s="49">
        <v>0</v>
      </c>
      <c r="AA81" s="73">
        <v>81</v>
      </c>
      <c r="AB81" s="73"/>
      <c r="AC81" s="74"/>
      <c r="AD81" s="80" t="s">
        <v>1278</v>
      </c>
      <c r="AE81" s="88" t="s">
        <v>1499</v>
      </c>
      <c r="AF81" s="80">
        <v>353</v>
      </c>
      <c r="AG81" s="80">
        <v>122</v>
      </c>
      <c r="AH81" s="80">
        <v>782</v>
      </c>
      <c r="AI81" s="80">
        <v>1117</v>
      </c>
      <c r="AJ81" s="80"/>
      <c r="AK81" s="80" t="s">
        <v>1719</v>
      </c>
      <c r="AL81" s="80" t="s">
        <v>1907</v>
      </c>
      <c r="AM81" s="85" t="str">
        <f>HYPERLINK("https://t.co/4QELiSV1Jy")</f>
        <v>https://t.co/4QELiSV1Jy</v>
      </c>
      <c r="AN81" s="80"/>
      <c r="AO81" s="82">
        <v>40611.84658564815</v>
      </c>
      <c r="AP81" s="80"/>
      <c r="AQ81" s="80" t="b">
        <v>1</v>
      </c>
      <c r="AR81" s="80" t="b">
        <v>0</v>
      </c>
      <c r="AS81" s="80" t="b">
        <v>1</v>
      </c>
      <c r="AT81" s="80"/>
      <c r="AU81" s="80">
        <v>8</v>
      </c>
      <c r="AV81" s="85" t="str">
        <f>HYPERLINK("http://abs.twimg.com/images/themes/theme1/bg.png")</f>
        <v>http://abs.twimg.com/images/themes/theme1/bg.png</v>
      </c>
      <c r="AW81" s="80" t="b">
        <v>0</v>
      </c>
      <c r="AX81" s="80" t="s">
        <v>2002</v>
      </c>
      <c r="AY81" s="85" t="str">
        <f>HYPERLINK("https://twitter.com/rob_w_ingram")</f>
        <v>https://twitter.com/rob_w_ingram</v>
      </c>
      <c r="AZ81" s="80" t="s">
        <v>66</v>
      </c>
      <c r="BA81" s="80" t="str">
        <f>REPLACE(INDEX(GroupVertices[Group],MATCH(Vertices[[#This Row],[Vertex]],GroupVertices[Vertex],0)),1,1,"")</f>
        <v>7</v>
      </c>
      <c r="BB81" s="48">
        <v>2</v>
      </c>
      <c r="BC81" s="49">
        <v>5.2631578947368425</v>
      </c>
      <c r="BD81" s="48">
        <v>1</v>
      </c>
      <c r="BE81" s="49">
        <v>2.6315789473684212</v>
      </c>
      <c r="BF81" s="48">
        <v>0</v>
      </c>
      <c r="BG81" s="49">
        <v>0</v>
      </c>
      <c r="BH81" s="48">
        <v>35</v>
      </c>
      <c r="BI81" s="49">
        <v>92.10526315789474</v>
      </c>
      <c r="BJ81" s="48">
        <v>38</v>
      </c>
      <c r="BK81" s="48"/>
      <c r="BL81" s="48"/>
      <c r="BM81" s="48"/>
      <c r="BN81" s="48"/>
      <c r="BO81" s="48"/>
      <c r="BP81" s="48"/>
      <c r="BQ81" s="125" t="s">
        <v>2866</v>
      </c>
      <c r="BR81" s="125" t="s">
        <v>2866</v>
      </c>
      <c r="BS81" s="125" t="s">
        <v>2981</v>
      </c>
      <c r="BT81" s="125" t="s">
        <v>2981</v>
      </c>
      <c r="BU81" s="2"/>
      <c r="BV81" s="3"/>
      <c r="BW81" s="3"/>
      <c r="BX81" s="3"/>
      <c r="BY81" s="3"/>
    </row>
    <row r="82" spans="1:77" ht="15">
      <c r="A82" s="66" t="s">
        <v>421</v>
      </c>
      <c r="B82" s="67"/>
      <c r="C82" s="67"/>
      <c r="D82" s="68">
        <v>100</v>
      </c>
      <c r="E82" s="70"/>
      <c r="F82" s="104" t="str">
        <f>HYPERLINK("http://pbs.twimg.com/profile_images/1250135488192634880/cpcbOrEu_normal.jpg")</f>
        <v>http://pbs.twimg.com/profile_images/1250135488192634880/cpcbOrEu_normal.jpg</v>
      </c>
      <c r="G82" s="67"/>
      <c r="H82" s="71" t="s">
        <v>421</v>
      </c>
      <c r="I82" s="72"/>
      <c r="J82" s="72"/>
      <c r="K82" s="71" t="s">
        <v>2081</v>
      </c>
      <c r="L82" s="75">
        <v>1</v>
      </c>
      <c r="M82" s="76">
        <v>6931.3662109375</v>
      </c>
      <c r="N82" s="76">
        <v>3015.385498046875</v>
      </c>
      <c r="O82" s="77"/>
      <c r="P82" s="78"/>
      <c r="Q82" s="78"/>
      <c r="R82" s="90"/>
      <c r="S82" s="48">
        <v>0</v>
      </c>
      <c r="T82" s="48">
        <v>2</v>
      </c>
      <c r="U82" s="49">
        <v>0</v>
      </c>
      <c r="V82" s="49">
        <v>0.166667</v>
      </c>
      <c r="W82" s="49">
        <v>0</v>
      </c>
      <c r="X82" s="49">
        <v>0.740456</v>
      </c>
      <c r="Y82" s="49">
        <v>0.5</v>
      </c>
      <c r="Z82" s="49">
        <v>0</v>
      </c>
      <c r="AA82" s="73">
        <v>82</v>
      </c>
      <c r="AB82" s="73"/>
      <c r="AC82" s="74"/>
      <c r="AD82" s="80" t="s">
        <v>1279</v>
      </c>
      <c r="AE82" s="88" t="s">
        <v>1500</v>
      </c>
      <c r="AF82" s="80">
        <v>836</v>
      </c>
      <c r="AG82" s="80">
        <v>1131</v>
      </c>
      <c r="AH82" s="80">
        <v>43759</v>
      </c>
      <c r="AI82" s="80">
        <v>44839</v>
      </c>
      <c r="AJ82" s="80"/>
      <c r="AK82" s="80"/>
      <c r="AL82" s="80" t="s">
        <v>1908</v>
      </c>
      <c r="AM82" s="85" t="str">
        <f>HYPERLINK("https://t.co/wJlvLxteXQ")</f>
        <v>https://t.co/wJlvLxteXQ</v>
      </c>
      <c r="AN82" s="80"/>
      <c r="AO82" s="82">
        <v>40596.893379629626</v>
      </c>
      <c r="AP82" s="85" t="str">
        <f>HYPERLINK("https://pbs.twimg.com/profile_banners/256196744/1590806889")</f>
        <v>https://pbs.twimg.com/profile_banners/256196744/1590806889</v>
      </c>
      <c r="AQ82" s="80" t="b">
        <v>0</v>
      </c>
      <c r="AR82" s="80" t="b">
        <v>0</v>
      </c>
      <c r="AS82" s="80" t="b">
        <v>1</v>
      </c>
      <c r="AT82" s="80"/>
      <c r="AU82" s="80">
        <v>103</v>
      </c>
      <c r="AV82" s="85" t="str">
        <f>HYPERLINK("http://abs.twimg.com/images/themes/theme15/bg.png")</f>
        <v>http://abs.twimg.com/images/themes/theme15/bg.png</v>
      </c>
      <c r="AW82" s="80" t="b">
        <v>0</v>
      </c>
      <c r="AX82" s="80" t="s">
        <v>2002</v>
      </c>
      <c r="AY82" s="85" t="str">
        <f>HYPERLINK("https://twitter.com/hampshire67")</f>
        <v>https://twitter.com/hampshire67</v>
      </c>
      <c r="AZ82" s="80" t="s">
        <v>66</v>
      </c>
      <c r="BA82" s="80" t="str">
        <f>REPLACE(INDEX(GroupVertices[Group],MATCH(Vertices[[#This Row],[Vertex]],GroupVertices[Vertex],0)),1,1,"")</f>
        <v>12</v>
      </c>
      <c r="BB82" s="48">
        <v>0</v>
      </c>
      <c r="BC82" s="49">
        <v>0</v>
      </c>
      <c r="BD82" s="48">
        <v>0</v>
      </c>
      <c r="BE82" s="49">
        <v>0</v>
      </c>
      <c r="BF82" s="48">
        <v>0</v>
      </c>
      <c r="BG82" s="49">
        <v>0</v>
      </c>
      <c r="BH82" s="48">
        <v>28</v>
      </c>
      <c r="BI82" s="49">
        <v>100</v>
      </c>
      <c r="BJ82" s="48">
        <v>28</v>
      </c>
      <c r="BK82" s="48"/>
      <c r="BL82" s="48"/>
      <c r="BM82" s="48"/>
      <c r="BN82" s="48"/>
      <c r="BO82" s="48" t="s">
        <v>706</v>
      </c>
      <c r="BP82" s="48" t="s">
        <v>706</v>
      </c>
      <c r="BQ82" s="125" t="s">
        <v>2871</v>
      </c>
      <c r="BR82" s="125" t="s">
        <v>2871</v>
      </c>
      <c r="BS82" s="125" t="s">
        <v>2986</v>
      </c>
      <c r="BT82" s="125" t="s">
        <v>2986</v>
      </c>
      <c r="BU82" s="2"/>
      <c r="BV82" s="3"/>
      <c r="BW82" s="3"/>
      <c r="BX82" s="3"/>
      <c r="BY82" s="3"/>
    </row>
    <row r="83" spans="1:77" ht="15">
      <c r="A83" s="66" t="s">
        <v>422</v>
      </c>
      <c r="B83" s="67"/>
      <c r="C83" s="67"/>
      <c r="D83" s="68">
        <v>100.47846842105263</v>
      </c>
      <c r="E83" s="70"/>
      <c r="F83" s="104" t="str">
        <f>HYPERLINK("http://pbs.twimg.com/profile_images/1073341484181712898/F-HFmuR5_normal.jpg")</f>
        <v>http://pbs.twimg.com/profile_images/1073341484181712898/F-HFmuR5_normal.jpg</v>
      </c>
      <c r="G83" s="67"/>
      <c r="H83" s="71" t="s">
        <v>422</v>
      </c>
      <c r="I83" s="72"/>
      <c r="J83" s="72"/>
      <c r="K83" s="71" t="s">
        <v>2082</v>
      </c>
      <c r="L83" s="75">
        <v>1.4245250733302195</v>
      </c>
      <c r="M83" s="76">
        <v>5614.8193359375</v>
      </c>
      <c r="N83" s="76">
        <v>6636.87548828125</v>
      </c>
      <c r="O83" s="77"/>
      <c r="P83" s="78"/>
      <c r="Q83" s="78"/>
      <c r="R83" s="90"/>
      <c r="S83" s="48">
        <v>0</v>
      </c>
      <c r="T83" s="48">
        <v>2</v>
      </c>
      <c r="U83" s="49">
        <v>0.090909</v>
      </c>
      <c r="V83" s="49">
        <v>0.02</v>
      </c>
      <c r="W83" s="49">
        <v>0</v>
      </c>
      <c r="X83" s="49">
        <v>0.508988</v>
      </c>
      <c r="Y83" s="49">
        <v>0</v>
      </c>
      <c r="Z83" s="49">
        <v>0</v>
      </c>
      <c r="AA83" s="73">
        <v>83</v>
      </c>
      <c r="AB83" s="73"/>
      <c r="AC83" s="74"/>
      <c r="AD83" s="80" t="s">
        <v>1280</v>
      </c>
      <c r="AE83" s="88" t="s">
        <v>1501</v>
      </c>
      <c r="AF83" s="80">
        <v>550</v>
      </c>
      <c r="AG83" s="80">
        <v>185</v>
      </c>
      <c r="AH83" s="80">
        <v>8571</v>
      </c>
      <c r="AI83" s="80">
        <v>6631</v>
      </c>
      <c r="AJ83" s="80"/>
      <c r="AK83" s="80" t="s">
        <v>1720</v>
      </c>
      <c r="AL83" s="80"/>
      <c r="AM83" s="80"/>
      <c r="AN83" s="80"/>
      <c r="AO83" s="82">
        <v>41549.34033564815</v>
      </c>
      <c r="AP83" s="85" t="str">
        <f>HYPERLINK("https://pbs.twimg.com/profile_banners/1926121910/1516914181")</f>
        <v>https://pbs.twimg.com/profile_banners/1926121910/1516914181</v>
      </c>
      <c r="AQ83" s="80" t="b">
        <v>1</v>
      </c>
      <c r="AR83" s="80" t="b">
        <v>0</v>
      </c>
      <c r="AS83" s="80" t="b">
        <v>1</v>
      </c>
      <c r="AT83" s="80"/>
      <c r="AU83" s="80">
        <v>1</v>
      </c>
      <c r="AV83" s="85" t="str">
        <f>HYPERLINK("http://abs.twimg.com/images/themes/theme1/bg.png")</f>
        <v>http://abs.twimg.com/images/themes/theme1/bg.png</v>
      </c>
      <c r="AW83" s="80" t="b">
        <v>0</v>
      </c>
      <c r="AX83" s="80" t="s">
        <v>2002</v>
      </c>
      <c r="AY83" s="85" t="str">
        <f>HYPERLINK("https://twitter.com/caleb_nwokoloo")</f>
        <v>https://twitter.com/caleb_nwokoloo</v>
      </c>
      <c r="AZ83" s="80" t="s">
        <v>66</v>
      </c>
      <c r="BA83" s="80" t="str">
        <f>REPLACE(INDEX(GroupVertices[Group],MATCH(Vertices[[#This Row],[Vertex]],GroupVertices[Vertex],0)),1,1,"")</f>
        <v>3</v>
      </c>
      <c r="BB83" s="48">
        <v>1</v>
      </c>
      <c r="BC83" s="49">
        <v>5.2631578947368425</v>
      </c>
      <c r="BD83" s="48">
        <v>0</v>
      </c>
      <c r="BE83" s="49">
        <v>0</v>
      </c>
      <c r="BF83" s="48">
        <v>0</v>
      </c>
      <c r="BG83" s="49">
        <v>0</v>
      </c>
      <c r="BH83" s="48">
        <v>18</v>
      </c>
      <c r="BI83" s="49">
        <v>94.73684210526316</v>
      </c>
      <c r="BJ83" s="48">
        <v>19</v>
      </c>
      <c r="BK83" s="48" t="s">
        <v>2724</v>
      </c>
      <c r="BL83" s="48" t="s">
        <v>2724</v>
      </c>
      <c r="BM83" s="48" t="s">
        <v>678</v>
      </c>
      <c r="BN83" s="48" t="s">
        <v>678</v>
      </c>
      <c r="BO83" s="48" t="s">
        <v>703</v>
      </c>
      <c r="BP83" s="48" t="s">
        <v>703</v>
      </c>
      <c r="BQ83" s="125" t="s">
        <v>3091</v>
      </c>
      <c r="BR83" s="125" t="s">
        <v>3091</v>
      </c>
      <c r="BS83" s="125" t="s">
        <v>2977</v>
      </c>
      <c r="BT83" s="125" t="s">
        <v>2977</v>
      </c>
      <c r="BU83" s="2"/>
      <c r="BV83" s="3"/>
      <c r="BW83" s="3"/>
      <c r="BX83" s="3"/>
      <c r="BY83" s="3"/>
    </row>
    <row r="84" spans="1:77" ht="15">
      <c r="A84" s="66" t="s">
        <v>423</v>
      </c>
      <c r="B84" s="67"/>
      <c r="C84" s="67"/>
      <c r="D84" s="68">
        <v>100</v>
      </c>
      <c r="E84" s="70"/>
      <c r="F84" s="104" t="str">
        <f>HYPERLINK("http://pbs.twimg.com/profile_images/1257491671652216834/5Lr3EIHJ_normal.jpg")</f>
        <v>http://pbs.twimg.com/profile_images/1257491671652216834/5Lr3EIHJ_normal.jpg</v>
      </c>
      <c r="G84" s="67"/>
      <c r="H84" s="71" t="s">
        <v>423</v>
      </c>
      <c r="I84" s="72"/>
      <c r="J84" s="72"/>
      <c r="K84" s="71" t="s">
        <v>2083</v>
      </c>
      <c r="L84" s="75">
        <v>1</v>
      </c>
      <c r="M84" s="76">
        <v>8661.5537109375</v>
      </c>
      <c r="N84" s="76">
        <v>2109.61572265625</v>
      </c>
      <c r="O84" s="77"/>
      <c r="P84" s="78"/>
      <c r="Q84" s="78"/>
      <c r="R84" s="90"/>
      <c r="S84" s="48">
        <v>1</v>
      </c>
      <c r="T84" s="48">
        <v>1</v>
      </c>
      <c r="U84" s="49">
        <v>0</v>
      </c>
      <c r="V84" s="49">
        <v>0.5</v>
      </c>
      <c r="W84" s="49">
        <v>0</v>
      </c>
      <c r="X84" s="49">
        <v>0.999998</v>
      </c>
      <c r="Y84" s="49">
        <v>0.5</v>
      </c>
      <c r="Z84" s="49">
        <v>0</v>
      </c>
      <c r="AA84" s="73">
        <v>84</v>
      </c>
      <c r="AB84" s="73"/>
      <c r="AC84" s="74"/>
      <c r="AD84" s="80" t="s">
        <v>1281</v>
      </c>
      <c r="AE84" s="88" t="s">
        <v>1502</v>
      </c>
      <c r="AF84" s="80">
        <v>2269</v>
      </c>
      <c r="AG84" s="80">
        <v>1405</v>
      </c>
      <c r="AH84" s="80">
        <v>5464</v>
      </c>
      <c r="AI84" s="80">
        <v>2436</v>
      </c>
      <c r="AJ84" s="80"/>
      <c r="AK84" s="80" t="s">
        <v>1721</v>
      </c>
      <c r="AL84" s="80" t="s">
        <v>1909</v>
      </c>
      <c r="AM84" s="85" t="str">
        <f>HYPERLINK("https://t.co/gb4Zub8jnu")</f>
        <v>https://t.co/gb4Zub8jnu</v>
      </c>
      <c r="AN84" s="80"/>
      <c r="AO84" s="82">
        <v>39869.96090277778</v>
      </c>
      <c r="AP84" s="85" t="str">
        <f>HYPERLINK("https://pbs.twimg.com/profile_banners/21933225/1588645135")</f>
        <v>https://pbs.twimg.com/profile_banners/21933225/1588645135</v>
      </c>
      <c r="AQ84" s="80" t="b">
        <v>0</v>
      </c>
      <c r="AR84" s="80" t="b">
        <v>0</v>
      </c>
      <c r="AS84" s="80" t="b">
        <v>0</v>
      </c>
      <c r="AT84" s="80"/>
      <c r="AU84" s="80">
        <v>51</v>
      </c>
      <c r="AV84" s="85" t="str">
        <f>HYPERLINK("http://abs.twimg.com/images/themes/theme6/bg.gif")</f>
        <v>http://abs.twimg.com/images/themes/theme6/bg.gif</v>
      </c>
      <c r="AW84" s="80" t="b">
        <v>0</v>
      </c>
      <c r="AX84" s="80" t="s">
        <v>2002</v>
      </c>
      <c r="AY84" s="85" t="str">
        <f>HYPERLINK("https://twitter.com/giubianconi")</f>
        <v>https://twitter.com/giubianconi</v>
      </c>
      <c r="AZ84" s="80" t="s">
        <v>66</v>
      </c>
      <c r="BA84" s="80" t="str">
        <f>REPLACE(INDEX(GroupVertices[Group],MATCH(Vertices[[#This Row],[Vertex]],GroupVertices[Vertex],0)),1,1,"")</f>
        <v>18</v>
      </c>
      <c r="BB84" s="48">
        <v>0</v>
      </c>
      <c r="BC84" s="49">
        <v>0</v>
      </c>
      <c r="BD84" s="48">
        <v>0</v>
      </c>
      <c r="BE84" s="49">
        <v>0</v>
      </c>
      <c r="BF84" s="48">
        <v>0</v>
      </c>
      <c r="BG84" s="49">
        <v>0</v>
      </c>
      <c r="BH84" s="48">
        <v>13</v>
      </c>
      <c r="BI84" s="49">
        <v>100</v>
      </c>
      <c r="BJ84" s="48">
        <v>13</v>
      </c>
      <c r="BK84" s="48" t="s">
        <v>2729</v>
      </c>
      <c r="BL84" s="48" t="s">
        <v>2729</v>
      </c>
      <c r="BM84" s="48" t="s">
        <v>680</v>
      </c>
      <c r="BN84" s="48" t="s">
        <v>680</v>
      </c>
      <c r="BO84" s="48" t="s">
        <v>709</v>
      </c>
      <c r="BP84" s="48" t="s">
        <v>709</v>
      </c>
      <c r="BQ84" s="125" t="s">
        <v>2877</v>
      </c>
      <c r="BR84" s="125" t="s">
        <v>2877</v>
      </c>
      <c r="BS84" s="125" t="s">
        <v>2992</v>
      </c>
      <c r="BT84" s="125" t="s">
        <v>2992</v>
      </c>
      <c r="BU84" s="2"/>
      <c r="BV84" s="3"/>
      <c r="BW84" s="3"/>
      <c r="BX84" s="3"/>
      <c r="BY84" s="3"/>
    </row>
    <row r="85" spans="1:77" ht="15">
      <c r="A85" s="66" t="s">
        <v>533</v>
      </c>
      <c r="B85" s="67"/>
      <c r="C85" s="67"/>
      <c r="D85" s="68">
        <v>100</v>
      </c>
      <c r="E85" s="70"/>
      <c r="F85" s="104" t="str">
        <f>HYPERLINK("http://pbs.twimg.com/profile_images/753656156963364865/JfNPKzzJ_normal.jpg")</f>
        <v>http://pbs.twimg.com/profile_images/753656156963364865/JfNPKzzJ_normal.jpg</v>
      </c>
      <c r="G85" s="67"/>
      <c r="H85" s="71" t="s">
        <v>533</v>
      </c>
      <c r="I85" s="72"/>
      <c r="J85" s="72"/>
      <c r="K85" s="71" t="s">
        <v>2084</v>
      </c>
      <c r="L85" s="75">
        <v>1</v>
      </c>
      <c r="M85" s="76">
        <v>8661.5537109375</v>
      </c>
      <c r="N85" s="76">
        <v>2571.9970703125</v>
      </c>
      <c r="O85" s="77"/>
      <c r="P85" s="78"/>
      <c r="Q85" s="78"/>
      <c r="R85" s="90"/>
      <c r="S85" s="48">
        <v>2</v>
      </c>
      <c r="T85" s="48">
        <v>0</v>
      </c>
      <c r="U85" s="49">
        <v>0</v>
      </c>
      <c r="V85" s="49">
        <v>0.5</v>
      </c>
      <c r="W85" s="49">
        <v>0</v>
      </c>
      <c r="X85" s="49">
        <v>0.999998</v>
      </c>
      <c r="Y85" s="49">
        <v>0.5</v>
      </c>
      <c r="Z85" s="49">
        <v>0</v>
      </c>
      <c r="AA85" s="73">
        <v>85</v>
      </c>
      <c r="AB85" s="73"/>
      <c r="AC85" s="74"/>
      <c r="AD85" s="80" t="s">
        <v>1282</v>
      </c>
      <c r="AE85" s="88" t="s">
        <v>1503</v>
      </c>
      <c r="AF85" s="80">
        <v>921</v>
      </c>
      <c r="AG85" s="80">
        <v>9680</v>
      </c>
      <c r="AH85" s="80">
        <v>6369</v>
      </c>
      <c r="AI85" s="80">
        <v>1936</v>
      </c>
      <c r="AJ85" s="80"/>
      <c r="AK85" s="80" t="s">
        <v>1722</v>
      </c>
      <c r="AL85" s="80" t="s">
        <v>1910</v>
      </c>
      <c r="AM85" s="85" t="str">
        <f>HYPERLINK("https://t.co/5wIuKLhqAr")</f>
        <v>https://t.co/5wIuKLhqAr</v>
      </c>
      <c r="AN85" s="80"/>
      <c r="AO85" s="82">
        <v>42450.191875</v>
      </c>
      <c r="AP85" s="85" t="str">
        <f>HYPERLINK("https://pbs.twimg.com/profile_banners/711773405708685313/1592507854")</f>
        <v>https://pbs.twimg.com/profile_banners/711773405708685313/1592507854</v>
      </c>
      <c r="AQ85" s="80" t="b">
        <v>0</v>
      </c>
      <c r="AR85" s="80" t="b">
        <v>0</v>
      </c>
      <c r="AS85" s="80" t="b">
        <v>1</v>
      </c>
      <c r="AT85" s="80"/>
      <c r="AU85" s="80">
        <v>143</v>
      </c>
      <c r="AV85" s="85" t="str">
        <f>HYPERLINK("http://abs.twimg.com/images/themes/theme1/bg.png")</f>
        <v>http://abs.twimg.com/images/themes/theme1/bg.png</v>
      </c>
      <c r="AW85" s="80" t="b">
        <v>1</v>
      </c>
      <c r="AX85" s="80" t="s">
        <v>2002</v>
      </c>
      <c r="AY85" s="85" t="str">
        <f>HYPERLINK("https://twitter.com/generonumero")</f>
        <v>https://twitter.com/generonumero</v>
      </c>
      <c r="AZ85" s="80" t="s">
        <v>65</v>
      </c>
      <c r="BA85" s="80" t="str">
        <f>REPLACE(INDEX(GroupVertices[Group],MATCH(Vertices[[#This Row],[Vertex]],GroupVertices[Vertex],0)),1,1,"")</f>
        <v>18</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6" t="s">
        <v>424</v>
      </c>
      <c r="B86" s="67"/>
      <c r="C86" s="67"/>
      <c r="D86" s="68">
        <v>100</v>
      </c>
      <c r="E86" s="70"/>
      <c r="F86" s="104" t="str">
        <f>HYPERLINK("http://pbs.twimg.com/profile_images/1275078217825542149/ygeXKC2H_normal.jpg")</f>
        <v>http://pbs.twimg.com/profile_images/1275078217825542149/ygeXKC2H_normal.jpg</v>
      </c>
      <c r="G86" s="67"/>
      <c r="H86" s="71" t="s">
        <v>424</v>
      </c>
      <c r="I86" s="72"/>
      <c r="J86" s="72"/>
      <c r="K86" s="71" t="s">
        <v>2085</v>
      </c>
      <c r="L86" s="75">
        <v>1</v>
      </c>
      <c r="M86" s="76">
        <v>8661.5537109375</v>
      </c>
      <c r="N86" s="76">
        <v>1647.234130859375</v>
      </c>
      <c r="O86" s="77"/>
      <c r="P86" s="78"/>
      <c r="Q86" s="78"/>
      <c r="R86" s="90"/>
      <c r="S86" s="48">
        <v>0</v>
      </c>
      <c r="T86" s="48">
        <v>2</v>
      </c>
      <c r="U86" s="49">
        <v>0</v>
      </c>
      <c r="V86" s="49">
        <v>0.5</v>
      </c>
      <c r="W86" s="49">
        <v>0</v>
      </c>
      <c r="X86" s="49">
        <v>0.999998</v>
      </c>
      <c r="Y86" s="49">
        <v>0.5</v>
      </c>
      <c r="Z86" s="49">
        <v>0</v>
      </c>
      <c r="AA86" s="73">
        <v>86</v>
      </c>
      <c r="AB86" s="73"/>
      <c r="AC86" s="74"/>
      <c r="AD86" s="80" t="s">
        <v>1283</v>
      </c>
      <c r="AE86" s="88" t="s">
        <v>1504</v>
      </c>
      <c r="AF86" s="80">
        <v>1112</v>
      </c>
      <c r="AG86" s="80">
        <v>2407</v>
      </c>
      <c r="AH86" s="80">
        <v>4202</v>
      </c>
      <c r="AI86" s="80">
        <v>10400</v>
      </c>
      <c r="AJ86" s="80"/>
      <c r="AK86" s="80" t="s">
        <v>1723</v>
      </c>
      <c r="AL86" s="80" t="s">
        <v>1911</v>
      </c>
      <c r="AM86" s="85" t="str">
        <f>HYPERLINK("https://t.co/g3qo6kNNqL")</f>
        <v>https://t.co/g3qo6kNNqL</v>
      </c>
      <c r="AN86" s="80"/>
      <c r="AO86" s="82">
        <v>42034.14027777778</v>
      </c>
      <c r="AP86" s="85" t="str">
        <f>HYPERLINK("https://pbs.twimg.com/profile_banners/3004850417/1568078449")</f>
        <v>https://pbs.twimg.com/profile_banners/3004850417/1568078449</v>
      </c>
      <c r="AQ86" s="80" t="b">
        <v>0</v>
      </c>
      <c r="AR86" s="80" t="b">
        <v>0</v>
      </c>
      <c r="AS86" s="80" t="b">
        <v>0</v>
      </c>
      <c r="AT86" s="80"/>
      <c r="AU86" s="80">
        <v>43</v>
      </c>
      <c r="AV86" s="85" t="str">
        <f>HYPERLINK("http://abs.twimg.com/images/themes/theme1/bg.png")</f>
        <v>http://abs.twimg.com/images/themes/theme1/bg.png</v>
      </c>
      <c r="AW86" s="80" t="b">
        <v>1</v>
      </c>
      <c r="AX86" s="80" t="s">
        <v>2002</v>
      </c>
      <c r="AY86" s="85" t="str">
        <f>HYPERLINK("https://twitter.com/rodolfoalmd")</f>
        <v>https://twitter.com/rodolfoalmd</v>
      </c>
      <c r="AZ86" s="80" t="s">
        <v>66</v>
      </c>
      <c r="BA86" s="80" t="str">
        <f>REPLACE(INDEX(GroupVertices[Group],MATCH(Vertices[[#This Row],[Vertex]],GroupVertices[Vertex],0)),1,1,"")</f>
        <v>18</v>
      </c>
      <c r="BB86" s="48">
        <v>0</v>
      </c>
      <c r="BC86" s="49">
        <v>0</v>
      </c>
      <c r="BD86" s="48">
        <v>0</v>
      </c>
      <c r="BE86" s="49">
        <v>0</v>
      </c>
      <c r="BF86" s="48">
        <v>0</v>
      </c>
      <c r="BG86" s="49">
        <v>0</v>
      </c>
      <c r="BH86" s="48">
        <v>13</v>
      </c>
      <c r="BI86" s="49">
        <v>100</v>
      </c>
      <c r="BJ86" s="48">
        <v>13</v>
      </c>
      <c r="BK86" s="48" t="s">
        <v>2729</v>
      </c>
      <c r="BL86" s="48" t="s">
        <v>2729</v>
      </c>
      <c r="BM86" s="48" t="s">
        <v>680</v>
      </c>
      <c r="BN86" s="48" t="s">
        <v>680</v>
      </c>
      <c r="BO86" s="48" t="s">
        <v>710</v>
      </c>
      <c r="BP86" s="48" t="s">
        <v>710</v>
      </c>
      <c r="BQ86" s="125" t="s">
        <v>2877</v>
      </c>
      <c r="BR86" s="125" t="s">
        <v>2877</v>
      </c>
      <c r="BS86" s="125" t="s">
        <v>2992</v>
      </c>
      <c r="BT86" s="125" t="s">
        <v>2992</v>
      </c>
      <c r="BU86" s="2"/>
      <c r="BV86" s="3"/>
      <c r="BW86" s="3"/>
      <c r="BX86" s="3"/>
      <c r="BY86" s="3"/>
    </row>
    <row r="87" spans="1:77" ht="15">
      <c r="A87" s="66" t="s">
        <v>425</v>
      </c>
      <c r="B87" s="67"/>
      <c r="C87" s="67"/>
      <c r="D87" s="68">
        <v>100.47846842105263</v>
      </c>
      <c r="E87" s="70"/>
      <c r="F87" s="104" t="str">
        <f>HYPERLINK("http://pbs.twimg.com/profile_images/670755807248654337/0io4RFOc_normal.jpg")</f>
        <v>http://pbs.twimg.com/profile_images/670755807248654337/0io4RFOc_normal.jpg</v>
      </c>
      <c r="G87" s="67"/>
      <c r="H87" s="71" t="s">
        <v>425</v>
      </c>
      <c r="I87" s="72"/>
      <c r="J87" s="72"/>
      <c r="K87" s="71" t="s">
        <v>2086</v>
      </c>
      <c r="L87" s="75">
        <v>1.4245250733302195</v>
      </c>
      <c r="M87" s="76">
        <v>5276.58203125</v>
      </c>
      <c r="N87" s="76">
        <v>7274.388671875</v>
      </c>
      <c r="O87" s="77"/>
      <c r="P87" s="78"/>
      <c r="Q87" s="78"/>
      <c r="R87" s="90"/>
      <c r="S87" s="48">
        <v>0</v>
      </c>
      <c r="T87" s="48">
        <v>2</v>
      </c>
      <c r="U87" s="49">
        <v>0.090909</v>
      </c>
      <c r="V87" s="49">
        <v>0.02</v>
      </c>
      <c r="W87" s="49">
        <v>0</v>
      </c>
      <c r="X87" s="49">
        <v>0.508988</v>
      </c>
      <c r="Y87" s="49">
        <v>0</v>
      </c>
      <c r="Z87" s="49">
        <v>0</v>
      </c>
      <c r="AA87" s="73">
        <v>87</v>
      </c>
      <c r="AB87" s="73"/>
      <c r="AC87" s="74"/>
      <c r="AD87" s="80" t="s">
        <v>1284</v>
      </c>
      <c r="AE87" s="88" t="s">
        <v>1505</v>
      </c>
      <c r="AF87" s="80">
        <v>310</v>
      </c>
      <c r="AG87" s="80">
        <v>311</v>
      </c>
      <c r="AH87" s="80">
        <v>9680</v>
      </c>
      <c r="AI87" s="80">
        <v>2043</v>
      </c>
      <c r="AJ87" s="80"/>
      <c r="AK87" s="80" t="s">
        <v>1724</v>
      </c>
      <c r="AL87" s="80" t="s">
        <v>1912</v>
      </c>
      <c r="AM87" s="80"/>
      <c r="AN87" s="80"/>
      <c r="AO87" s="82">
        <v>41652.42003472222</v>
      </c>
      <c r="AP87" s="85" t="str">
        <f>HYPERLINK("https://pbs.twimg.com/profile_banners/2278801624/1471628354")</f>
        <v>https://pbs.twimg.com/profile_banners/2278801624/1471628354</v>
      </c>
      <c r="AQ87" s="80" t="b">
        <v>0</v>
      </c>
      <c r="AR87" s="80" t="b">
        <v>0</v>
      </c>
      <c r="AS87" s="80" t="b">
        <v>1</v>
      </c>
      <c r="AT87" s="80"/>
      <c r="AU87" s="80">
        <v>36</v>
      </c>
      <c r="AV87" s="85" t="str">
        <f>HYPERLINK("http://abs.twimg.com/images/themes/theme1/bg.png")</f>
        <v>http://abs.twimg.com/images/themes/theme1/bg.png</v>
      </c>
      <c r="AW87" s="80" t="b">
        <v>0</v>
      </c>
      <c r="AX87" s="80" t="s">
        <v>2002</v>
      </c>
      <c r="AY87" s="85" t="str">
        <f>HYPERLINK("https://twitter.com/pittilla_o")</f>
        <v>https://twitter.com/pittilla_o</v>
      </c>
      <c r="AZ87" s="80" t="s">
        <v>66</v>
      </c>
      <c r="BA87" s="80" t="str">
        <f>REPLACE(INDEX(GroupVertices[Group],MATCH(Vertices[[#This Row],[Vertex]],GroupVertices[Vertex],0)),1,1,"")</f>
        <v>3</v>
      </c>
      <c r="BB87" s="48">
        <v>1</v>
      </c>
      <c r="BC87" s="49">
        <v>5.2631578947368425</v>
      </c>
      <c r="BD87" s="48">
        <v>0</v>
      </c>
      <c r="BE87" s="49">
        <v>0</v>
      </c>
      <c r="BF87" s="48">
        <v>0</v>
      </c>
      <c r="BG87" s="49">
        <v>0</v>
      </c>
      <c r="BH87" s="48">
        <v>18</v>
      </c>
      <c r="BI87" s="49">
        <v>94.73684210526316</v>
      </c>
      <c r="BJ87" s="48">
        <v>19</v>
      </c>
      <c r="BK87" s="48" t="s">
        <v>2724</v>
      </c>
      <c r="BL87" s="48" t="s">
        <v>2724</v>
      </c>
      <c r="BM87" s="48" t="s">
        <v>678</v>
      </c>
      <c r="BN87" s="48" t="s">
        <v>678</v>
      </c>
      <c r="BO87" s="48" t="s">
        <v>703</v>
      </c>
      <c r="BP87" s="48" t="s">
        <v>703</v>
      </c>
      <c r="BQ87" s="125" t="s">
        <v>3091</v>
      </c>
      <c r="BR87" s="125" t="s">
        <v>3091</v>
      </c>
      <c r="BS87" s="125" t="s">
        <v>2977</v>
      </c>
      <c r="BT87" s="125" t="s">
        <v>2977</v>
      </c>
      <c r="BU87" s="2"/>
      <c r="BV87" s="3"/>
      <c r="BW87" s="3"/>
      <c r="BX87" s="3"/>
      <c r="BY87" s="3"/>
    </row>
    <row r="88" spans="1:77" ht="15">
      <c r="A88" s="66" t="s">
        <v>426</v>
      </c>
      <c r="B88" s="67"/>
      <c r="C88" s="67"/>
      <c r="D88" s="68">
        <v>100</v>
      </c>
      <c r="E88" s="70"/>
      <c r="F88" s="104" t="str">
        <f>HYPERLINK("http://pbs.twimg.com/profile_images/1048739117247467520/xi6VVCb8_normal.jpg")</f>
        <v>http://pbs.twimg.com/profile_images/1048739117247467520/xi6VVCb8_normal.jpg</v>
      </c>
      <c r="G88" s="67"/>
      <c r="H88" s="71" t="s">
        <v>426</v>
      </c>
      <c r="I88" s="72"/>
      <c r="J88" s="72"/>
      <c r="K88" s="71" t="s">
        <v>2087</v>
      </c>
      <c r="L88" s="75">
        <v>1</v>
      </c>
      <c r="M88" s="76">
        <v>1733.2176513671875</v>
      </c>
      <c r="N88" s="76">
        <v>4457.8251953125</v>
      </c>
      <c r="O88" s="77"/>
      <c r="P88" s="78"/>
      <c r="Q88" s="78"/>
      <c r="R88" s="90"/>
      <c r="S88" s="48">
        <v>0</v>
      </c>
      <c r="T88" s="48">
        <v>2</v>
      </c>
      <c r="U88" s="49">
        <v>0</v>
      </c>
      <c r="V88" s="49">
        <v>0.013158</v>
      </c>
      <c r="W88" s="49">
        <v>0.021547</v>
      </c>
      <c r="X88" s="49">
        <v>0.566735</v>
      </c>
      <c r="Y88" s="49">
        <v>1</v>
      </c>
      <c r="Z88" s="49">
        <v>0</v>
      </c>
      <c r="AA88" s="73">
        <v>88</v>
      </c>
      <c r="AB88" s="73"/>
      <c r="AC88" s="74"/>
      <c r="AD88" s="80" t="s">
        <v>1285</v>
      </c>
      <c r="AE88" s="88" t="s">
        <v>1506</v>
      </c>
      <c r="AF88" s="80">
        <v>424</v>
      </c>
      <c r="AG88" s="80">
        <v>233</v>
      </c>
      <c r="AH88" s="80">
        <v>774</v>
      </c>
      <c r="AI88" s="80">
        <v>2006</v>
      </c>
      <c r="AJ88" s="80"/>
      <c r="AK88" s="80" t="s">
        <v>1725</v>
      </c>
      <c r="AL88" s="80" t="s">
        <v>1873</v>
      </c>
      <c r="AM88" s="80"/>
      <c r="AN88" s="80"/>
      <c r="AO88" s="82">
        <v>39894.95290509259</v>
      </c>
      <c r="AP88" s="85" t="str">
        <f>HYPERLINK("https://pbs.twimg.com/profile_banners/25898751/1505510817")</f>
        <v>https://pbs.twimg.com/profile_banners/25898751/1505510817</v>
      </c>
      <c r="AQ88" s="80" t="b">
        <v>1</v>
      </c>
      <c r="AR88" s="80" t="b">
        <v>0</v>
      </c>
      <c r="AS88" s="80" t="b">
        <v>0</v>
      </c>
      <c r="AT88" s="80"/>
      <c r="AU88" s="80">
        <v>4</v>
      </c>
      <c r="AV88" s="85" t="str">
        <f>HYPERLINK("http://abs.twimg.com/images/themes/theme1/bg.png")</f>
        <v>http://abs.twimg.com/images/themes/theme1/bg.png</v>
      </c>
      <c r="AW88" s="80" t="b">
        <v>0</v>
      </c>
      <c r="AX88" s="80" t="s">
        <v>2002</v>
      </c>
      <c r="AY88" s="85" t="str">
        <f>HYPERLINK("https://twitter.com/bitten_")</f>
        <v>https://twitter.com/bitten_</v>
      </c>
      <c r="AZ88" s="80" t="s">
        <v>66</v>
      </c>
      <c r="BA88" s="80" t="str">
        <f>REPLACE(INDEX(GroupVertices[Group],MATCH(Vertices[[#This Row],[Vertex]],GroupVertices[Vertex],0)),1,1,"")</f>
        <v>2</v>
      </c>
      <c r="BB88" s="48">
        <v>3</v>
      </c>
      <c r="BC88" s="49">
        <v>7.5</v>
      </c>
      <c r="BD88" s="48">
        <v>0</v>
      </c>
      <c r="BE88" s="49">
        <v>0</v>
      </c>
      <c r="BF88" s="48">
        <v>0</v>
      </c>
      <c r="BG88" s="49">
        <v>0</v>
      </c>
      <c r="BH88" s="48">
        <v>37</v>
      </c>
      <c r="BI88" s="49">
        <v>92.5</v>
      </c>
      <c r="BJ88" s="48">
        <v>40</v>
      </c>
      <c r="BK88" s="48"/>
      <c r="BL88" s="48"/>
      <c r="BM88" s="48"/>
      <c r="BN88" s="48"/>
      <c r="BO88" s="48"/>
      <c r="BP88" s="48"/>
      <c r="BQ88" s="125" t="s">
        <v>3088</v>
      </c>
      <c r="BR88" s="125" t="s">
        <v>3088</v>
      </c>
      <c r="BS88" s="125" t="s">
        <v>2976</v>
      </c>
      <c r="BT88" s="125" t="s">
        <v>2976</v>
      </c>
      <c r="BU88" s="2"/>
      <c r="BV88" s="3"/>
      <c r="BW88" s="3"/>
      <c r="BX88" s="3"/>
      <c r="BY88" s="3"/>
    </row>
    <row r="89" spans="1:77" ht="15">
      <c r="A89" s="66" t="s">
        <v>427</v>
      </c>
      <c r="B89" s="67"/>
      <c r="C89" s="67"/>
      <c r="D89" s="68">
        <v>100</v>
      </c>
      <c r="E89" s="70"/>
      <c r="F89" s="104" t="str">
        <f>HYPERLINK("http://pbs.twimg.com/profile_images/1034180623924187137/DOAITlAr_normal.jpg")</f>
        <v>http://pbs.twimg.com/profile_images/1034180623924187137/DOAITlAr_normal.jpg</v>
      </c>
      <c r="G89" s="67"/>
      <c r="H89" s="71" t="s">
        <v>427</v>
      </c>
      <c r="I89" s="72"/>
      <c r="J89" s="72"/>
      <c r="K89" s="71" t="s">
        <v>2088</v>
      </c>
      <c r="L89" s="75">
        <v>1</v>
      </c>
      <c r="M89" s="76">
        <v>3707.06640625</v>
      </c>
      <c r="N89" s="76">
        <v>1393.80126953125</v>
      </c>
      <c r="O89" s="77"/>
      <c r="P89" s="78"/>
      <c r="Q89" s="78"/>
      <c r="R89" s="90"/>
      <c r="S89" s="48">
        <v>0</v>
      </c>
      <c r="T89" s="48">
        <v>2</v>
      </c>
      <c r="U89" s="49">
        <v>0</v>
      </c>
      <c r="V89" s="49">
        <v>0.013158</v>
      </c>
      <c r="W89" s="49">
        <v>0.021547</v>
      </c>
      <c r="X89" s="49">
        <v>0.566735</v>
      </c>
      <c r="Y89" s="49">
        <v>1</v>
      </c>
      <c r="Z89" s="49">
        <v>0</v>
      </c>
      <c r="AA89" s="73">
        <v>89</v>
      </c>
      <c r="AB89" s="73"/>
      <c r="AC89" s="74"/>
      <c r="AD89" s="80" t="s">
        <v>1286</v>
      </c>
      <c r="AE89" s="88" t="s">
        <v>1507</v>
      </c>
      <c r="AF89" s="80">
        <v>3149</v>
      </c>
      <c r="AG89" s="80">
        <v>3943</v>
      </c>
      <c r="AH89" s="80">
        <v>12562</v>
      </c>
      <c r="AI89" s="80">
        <v>3844</v>
      </c>
      <c r="AJ89" s="80"/>
      <c r="AK89" s="80" t="s">
        <v>1726</v>
      </c>
      <c r="AL89" s="80" t="s">
        <v>1873</v>
      </c>
      <c r="AM89" s="85" t="str">
        <f>HYPERLINK("https://t.co/yNySDAO0uk")</f>
        <v>https://t.co/yNySDAO0uk</v>
      </c>
      <c r="AN89" s="80"/>
      <c r="AO89" s="82">
        <v>40206.021006944444</v>
      </c>
      <c r="AP89" s="85" t="str">
        <f>HYPERLINK("https://pbs.twimg.com/profile_banners/109106637/1535402894")</f>
        <v>https://pbs.twimg.com/profile_banners/109106637/1535402894</v>
      </c>
      <c r="AQ89" s="80" t="b">
        <v>0</v>
      </c>
      <c r="AR89" s="80" t="b">
        <v>0</v>
      </c>
      <c r="AS89" s="80" t="b">
        <v>1</v>
      </c>
      <c r="AT89" s="80"/>
      <c r="AU89" s="80">
        <v>153</v>
      </c>
      <c r="AV89" s="85" t="str">
        <f>HYPERLINK("http://abs.twimg.com/images/themes/theme1/bg.png")</f>
        <v>http://abs.twimg.com/images/themes/theme1/bg.png</v>
      </c>
      <c r="AW89" s="80" t="b">
        <v>0</v>
      </c>
      <c r="AX89" s="80" t="s">
        <v>2002</v>
      </c>
      <c r="AY89" s="85" t="str">
        <f>HYPERLINK("https://twitter.com/edsaperia")</f>
        <v>https://twitter.com/edsaperia</v>
      </c>
      <c r="AZ89" s="80" t="s">
        <v>66</v>
      </c>
      <c r="BA89" s="80" t="str">
        <f>REPLACE(INDEX(GroupVertices[Group],MATCH(Vertices[[#This Row],[Vertex]],GroupVertices[Vertex],0)),1,1,"")</f>
        <v>2</v>
      </c>
      <c r="BB89" s="48">
        <v>3</v>
      </c>
      <c r="BC89" s="49">
        <v>7.5</v>
      </c>
      <c r="BD89" s="48">
        <v>0</v>
      </c>
      <c r="BE89" s="49">
        <v>0</v>
      </c>
      <c r="BF89" s="48">
        <v>0</v>
      </c>
      <c r="BG89" s="49">
        <v>0</v>
      </c>
      <c r="BH89" s="48">
        <v>37</v>
      </c>
      <c r="BI89" s="49">
        <v>92.5</v>
      </c>
      <c r="BJ89" s="48">
        <v>40</v>
      </c>
      <c r="BK89" s="48"/>
      <c r="BL89" s="48"/>
      <c r="BM89" s="48"/>
      <c r="BN89" s="48"/>
      <c r="BO89" s="48"/>
      <c r="BP89" s="48"/>
      <c r="BQ89" s="125" t="s">
        <v>3088</v>
      </c>
      <c r="BR89" s="125" t="s">
        <v>3088</v>
      </c>
      <c r="BS89" s="125" t="s">
        <v>2976</v>
      </c>
      <c r="BT89" s="125" t="s">
        <v>2976</v>
      </c>
      <c r="BU89" s="2"/>
      <c r="BV89" s="3"/>
      <c r="BW89" s="3"/>
      <c r="BX89" s="3"/>
      <c r="BY89" s="3"/>
    </row>
    <row r="90" spans="1:77" ht="15">
      <c r="A90" s="66" t="s">
        <v>428</v>
      </c>
      <c r="B90" s="67"/>
      <c r="C90" s="67"/>
      <c r="D90" s="68">
        <v>100</v>
      </c>
      <c r="E90" s="70"/>
      <c r="F90" s="104" t="str">
        <f>HYPERLINK("http://pbs.twimg.com/profile_images/599530591386804224/fBztcZ41_normal.png")</f>
        <v>http://pbs.twimg.com/profile_images/599530591386804224/fBztcZ41_normal.png</v>
      </c>
      <c r="G90" s="67"/>
      <c r="H90" s="71" t="s">
        <v>428</v>
      </c>
      <c r="I90" s="72"/>
      <c r="J90" s="72"/>
      <c r="K90" s="71" t="s">
        <v>2089</v>
      </c>
      <c r="L90" s="75">
        <v>1</v>
      </c>
      <c r="M90" s="76">
        <v>3701.824951171875</v>
      </c>
      <c r="N90" s="76">
        <v>3136.4638671875</v>
      </c>
      <c r="O90" s="77"/>
      <c r="P90" s="78"/>
      <c r="Q90" s="78"/>
      <c r="R90" s="90"/>
      <c r="S90" s="48">
        <v>0</v>
      </c>
      <c r="T90" s="48">
        <v>2</v>
      </c>
      <c r="U90" s="49">
        <v>0</v>
      </c>
      <c r="V90" s="49">
        <v>0.013158</v>
      </c>
      <c r="W90" s="49">
        <v>0.021547</v>
      </c>
      <c r="X90" s="49">
        <v>0.566735</v>
      </c>
      <c r="Y90" s="49">
        <v>1</v>
      </c>
      <c r="Z90" s="49">
        <v>0</v>
      </c>
      <c r="AA90" s="73">
        <v>90</v>
      </c>
      <c r="AB90" s="73"/>
      <c r="AC90" s="74"/>
      <c r="AD90" s="80" t="s">
        <v>1287</v>
      </c>
      <c r="AE90" s="88" t="s">
        <v>1508</v>
      </c>
      <c r="AF90" s="80">
        <v>3671</v>
      </c>
      <c r="AG90" s="80">
        <v>5343</v>
      </c>
      <c r="AH90" s="80">
        <v>7892</v>
      </c>
      <c r="AI90" s="80">
        <v>2722</v>
      </c>
      <c r="AJ90" s="80"/>
      <c r="AK90" s="80" t="s">
        <v>1727</v>
      </c>
      <c r="AL90" s="80" t="s">
        <v>1881</v>
      </c>
      <c r="AM90" s="85" t="str">
        <f>HYPERLINK("https://t.co/m3tkxAtRWz")</f>
        <v>https://t.co/m3tkxAtRWz</v>
      </c>
      <c r="AN90" s="80"/>
      <c r="AO90" s="82">
        <v>40813.45706018519</v>
      </c>
      <c r="AP90" s="85" t="str">
        <f>HYPERLINK("https://pbs.twimg.com/profile_banners/380863305/1431774724")</f>
        <v>https://pbs.twimg.com/profile_banners/380863305/1431774724</v>
      </c>
      <c r="AQ90" s="80" t="b">
        <v>0</v>
      </c>
      <c r="AR90" s="80" t="b">
        <v>0</v>
      </c>
      <c r="AS90" s="80" t="b">
        <v>0</v>
      </c>
      <c r="AT90" s="80"/>
      <c r="AU90" s="80">
        <v>153</v>
      </c>
      <c r="AV90" s="85" t="str">
        <f>HYPERLINK("http://abs.twimg.com/images/themes/theme1/bg.png")</f>
        <v>http://abs.twimg.com/images/themes/theme1/bg.png</v>
      </c>
      <c r="AW90" s="80" t="b">
        <v>0</v>
      </c>
      <c r="AX90" s="80" t="s">
        <v>2002</v>
      </c>
      <c r="AY90" s="85" t="str">
        <f>HYPERLINK("https://twitter.com/nwspk")</f>
        <v>https://twitter.com/nwspk</v>
      </c>
      <c r="AZ90" s="80" t="s">
        <v>66</v>
      </c>
      <c r="BA90" s="80" t="str">
        <f>REPLACE(INDEX(GroupVertices[Group],MATCH(Vertices[[#This Row],[Vertex]],GroupVertices[Vertex],0)),1,1,"")</f>
        <v>2</v>
      </c>
      <c r="BB90" s="48">
        <v>3</v>
      </c>
      <c r="BC90" s="49">
        <v>7.5</v>
      </c>
      <c r="BD90" s="48">
        <v>0</v>
      </c>
      <c r="BE90" s="49">
        <v>0</v>
      </c>
      <c r="BF90" s="48">
        <v>0</v>
      </c>
      <c r="BG90" s="49">
        <v>0</v>
      </c>
      <c r="BH90" s="48">
        <v>37</v>
      </c>
      <c r="BI90" s="49">
        <v>92.5</v>
      </c>
      <c r="BJ90" s="48">
        <v>40</v>
      </c>
      <c r="BK90" s="48"/>
      <c r="BL90" s="48"/>
      <c r="BM90" s="48"/>
      <c r="BN90" s="48"/>
      <c r="BO90" s="48"/>
      <c r="BP90" s="48"/>
      <c r="BQ90" s="125" t="s">
        <v>3088</v>
      </c>
      <c r="BR90" s="125" t="s">
        <v>3088</v>
      </c>
      <c r="BS90" s="125" t="s">
        <v>2976</v>
      </c>
      <c r="BT90" s="125" t="s">
        <v>2976</v>
      </c>
      <c r="BU90" s="2"/>
      <c r="BV90" s="3"/>
      <c r="BW90" s="3"/>
      <c r="BX90" s="3"/>
      <c r="BY90" s="3"/>
    </row>
    <row r="91" spans="1:77" ht="15">
      <c r="A91" s="66" t="s">
        <v>429</v>
      </c>
      <c r="B91" s="67"/>
      <c r="C91" s="67"/>
      <c r="D91" s="68">
        <v>100</v>
      </c>
      <c r="E91" s="70"/>
      <c r="F91" s="104" t="str">
        <f>HYPERLINK("http://pbs.twimg.com/profile_images/698092851230597120/It5x34IP_normal.jpg")</f>
        <v>http://pbs.twimg.com/profile_images/698092851230597120/It5x34IP_normal.jpg</v>
      </c>
      <c r="G91" s="67"/>
      <c r="H91" s="71" t="s">
        <v>429</v>
      </c>
      <c r="I91" s="72"/>
      <c r="J91" s="72"/>
      <c r="K91" s="71" t="s">
        <v>2090</v>
      </c>
      <c r="L91" s="75">
        <v>1</v>
      </c>
      <c r="M91" s="76">
        <v>331.397216796875</v>
      </c>
      <c r="N91" s="76">
        <v>2658.658447265625</v>
      </c>
      <c r="O91" s="77"/>
      <c r="P91" s="78"/>
      <c r="Q91" s="78"/>
      <c r="R91" s="90"/>
      <c r="S91" s="48">
        <v>0</v>
      </c>
      <c r="T91" s="48">
        <v>2</v>
      </c>
      <c r="U91" s="49">
        <v>0</v>
      </c>
      <c r="V91" s="49">
        <v>0.013158</v>
      </c>
      <c r="W91" s="49">
        <v>0.021547</v>
      </c>
      <c r="X91" s="49">
        <v>0.566735</v>
      </c>
      <c r="Y91" s="49">
        <v>1</v>
      </c>
      <c r="Z91" s="49">
        <v>0</v>
      </c>
      <c r="AA91" s="73">
        <v>91</v>
      </c>
      <c r="AB91" s="73"/>
      <c r="AC91" s="74"/>
      <c r="AD91" s="80" t="s">
        <v>1288</v>
      </c>
      <c r="AE91" s="88" t="s">
        <v>1509</v>
      </c>
      <c r="AF91" s="80">
        <v>1304</v>
      </c>
      <c r="AG91" s="80">
        <v>294</v>
      </c>
      <c r="AH91" s="80">
        <v>1815</v>
      </c>
      <c r="AI91" s="80">
        <v>4541</v>
      </c>
      <c r="AJ91" s="80"/>
      <c r="AK91" s="80" t="s">
        <v>1728</v>
      </c>
      <c r="AL91" s="80"/>
      <c r="AM91" s="80"/>
      <c r="AN91" s="80"/>
      <c r="AO91" s="82">
        <v>40159.468194444446</v>
      </c>
      <c r="AP91" s="85" t="str">
        <f>HYPERLINK("https://pbs.twimg.com/profile_banners/96323735/1437511278")</f>
        <v>https://pbs.twimg.com/profile_banners/96323735/1437511278</v>
      </c>
      <c r="AQ91" s="80" t="b">
        <v>0</v>
      </c>
      <c r="AR91" s="80" t="b">
        <v>0</v>
      </c>
      <c r="AS91" s="80" t="b">
        <v>1</v>
      </c>
      <c r="AT91" s="80"/>
      <c r="AU91" s="80">
        <v>13</v>
      </c>
      <c r="AV91" s="85" t="str">
        <f>HYPERLINK("http://abs.twimg.com/images/themes/theme6/bg.gif")</f>
        <v>http://abs.twimg.com/images/themes/theme6/bg.gif</v>
      </c>
      <c r="AW91" s="80" t="b">
        <v>0</v>
      </c>
      <c r="AX91" s="80" t="s">
        <v>2002</v>
      </c>
      <c r="AY91" s="85" t="str">
        <f>HYPERLINK("https://twitter.com/aliossandro")</f>
        <v>https://twitter.com/aliossandro</v>
      </c>
      <c r="AZ91" s="80" t="s">
        <v>66</v>
      </c>
      <c r="BA91" s="80" t="str">
        <f>REPLACE(INDEX(GroupVertices[Group],MATCH(Vertices[[#This Row],[Vertex]],GroupVertices[Vertex],0)),1,1,"")</f>
        <v>2</v>
      </c>
      <c r="BB91" s="48">
        <v>3</v>
      </c>
      <c r="BC91" s="49">
        <v>7.5</v>
      </c>
      <c r="BD91" s="48">
        <v>0</v>
      </c>
      <c r="BE91" s="49">
        <v>0</v>
      </c>
      <c r="BF91" s="48">
        <v>0</v>
      </c>
      <c r="BG91" s="49">
        <v>0</v>
      </c>
      <c r="BH91" s="48">
        <v>37</v>
      </c>
      <c r="BI91" s="49">
        <v>92.5</v>
      </c>
      <c r="BJ91" s="48">
        <v>40</v>
      </c>
      <c r="BK91" s="48"/>
      <c r="BL91" s="48"/>
      <c r="BM91" s="48"/>
      <c r="BN91" s="48"/>
      <c r="BO91" s="48"/>
      <c r="BP91" s="48"/>
      <c r="BQ91" s="125" t="s">
        <v>3088</v>
      </c>
      <c r="BR91" s="125" t="s">
        <v>3088</v>
      </c>
      <c r="BS91" s="125" t="s">
        <v>2976</v>
      </c>
      <c r="BT91" s="125" t="s">
        <v>2976</v>
      </c>
      <c r="BU91" s="2"/>
      <c r="BV91" s="3"/>
      <c r="BW91" s="3"/>
      <c r="BX91" s="3"/>
      <c r="BY91" s="3"/>
    </row>
    <row r="92" spans="1:77" ht="15">
      <c r="A92" s="66" t="s">
        <v>430</v>
      </c>
      <c r="B92" s="67"/>
      <c r="C92" s="67"/>
      <c r="D92" s="68">
        <v>100</v>
      </c>
      <c r="E92" s="70"/>
      <c r="F92" s="104" t="str">
        <f>HYPERLINK("http://pbs.twimg.com/profile_images/781970179362328576/5L4gfy0p_normal.jpg")</f>
        <v>http://pbs.twimg.com/profile_images/781970179362328576/5L4gfy0p_normal.jpg</v>
      </c>
      <c r="G92" s="67"/>
      <c r="H92" s="71" t="s">
        <v>430</v>
      </c>
      <c r="I92" s="72"/>
      <c r="J92" s="72"/>
      <c r="K92" s="71" t="s">
        <v>2091</v>
      </c>
      <c r="L92" s="75">
        <v>1</v>
      </c>
      <c r="M92" s="76">
        <v>2992.822265625</v>
      </c>
      <c r="N92" s="76">
        <v>2766.281005859375</v>
      </c>
      <c r="O92" s="77"/>
      <c r="P92" s="78"/>
      <c r="Q92" s="78"/>
      <c r="R92" s="90"/>
      <c r="S92" s="48">
        <v>0</v>
      </c>
      <c r="T92" s="48">
        <v>2</v>
      </c>
      <c r="U92" s="49">
        <v>0</v>
      </c>
      <c r="V92" s="49">
        <v>0.013158</v>
      </c>
      <c r="W92" s="49">
        <v>0.021547</v>
      </c>
      <c r="X92" s="49">
        <v>0.566735</v>
      </c>
      <c r="Y92" s="49">
        <v>1</v>
      </c>
      <c r="Z92" s="49">
        <v>0</v>
      </c>
      <c r="AA92" s="73">
        <v>92</v>
      </c>
      <c r="AB92" s="73"/>
      <c r="AC92" s="74"/>
      <c r="AD92" s="80" t="s">
        <v>1289</v>
      </c>
      <c r="AE92" s="88" t="s">
        <v>1510</v>
      </c>
      <c r="AF92" s="80">
        <v>1645</v>
      </c>
      <c r="AG92" s="80">
        <v>5225</v>
      </c>
      <c r="AH92" s="80">
        <v>65637</v>
      </c>
      <c r="AI92" s="80">
        <v>51084</v>
      </c>
      <c r="AJ92" s="80"/>
      <c r="AK92" s="80" t="s">
        <v>1729</v>
      </c>
      <c r="AL92" s="80" t="s">
        <v>1913</v>
      </c>
      <c r="AM92" s="85" t="str">
        <f>HYPERLINK("https://t.co/CeAOk8sAk8")</f>
        <v>https://t.co/CeAOk8sAk8</v>
      </c>
      <c r="AN92" s="80"/>
      <c r="AO92" s="82">
        <v>39571.40526620371</v>
      </c>
      <c r="AP92" s="85" t="str">
        <f>HYPERLINK("https://pbs.twimg.com/profile_banners/14636531/1351291798")</f>
        <v>https://pbs.twimg.com/profile_banners/14636531/1351291798</v>
      </c>
      <c r="AQ92" s="80" t="b">
        <v>0</v>
      </c>
      <c r="AR92" s="80" t="b">
        <v>0</v>
      </c>
      <c r="AS92" s="80" t="b">
        <v>1</v>
      </c>
      <c r="AT92" s="80"/>
      <c r="AU92" s="80">
        <v>405</v>
      </c>
      <c r="AV92" s="85" t="str">
        <f>HYPERLINK("http://abs.twimg.com/images/themes/theme1/bg.png")</f>
        <v>http://abs.twimg.com/images/themes/theme1/bg.png</v>
      </c>
      <c r="AW92" s="80" t="b">
        <v>0</v>
      </c>
      <c r="AX92" s="80" t="s">
        <v>2002</v>
      </c>
      <c r="AY92" s="85" t="str">
        <f>HYPERLINK("https://twitter.com/jaggeree")</f>
        <v>https://twitter.com/jaggeree</v>
      </c>
      <c r="AZ92" s="80" t="s">
        <v>66</v>
      </c>
      <c r="BA92" s="80" t="str">
        <f>REPLACE(INDEX(GroupVertices[Group],MATCH(Vertices[[#This Row],[Vertex]],GroupVertices[Vertex],0)),1,1,"")</f>
        <v>2</v>
      </c>
      <c r="BB92" s="48">
        <v>3</v>
      </c>
      <c r="BC92" s="49">
        <v>7.5</v>
      </c>
      <c r="BD92" s="48">
        <v>0</v>
      </c>
      <c r="BE92" s="49">
        <v>0</v>
      </c>
      <c r="BF92" s="48">
        <v>0</v>
      </c>
      <c r="BG92" s="49">
        <v>0</v>
      </c>
      <c r="BH92" s="48">
        <v>37</v>
      </c>
      <c r="BI92" s="49">
        <v>92.5</v>
      </c>
      <c r="BJ92" s="48">
        <v>40</v>
      </c>
      <c r="BK92" s="48"/>
      <c r="BL92" s="48"/>
      <c r="BM92" s="48"/>
      <c r="BN92" s="48"/>
      <c r="BO92" s="48"/>
      <c r="BP92" s="48"/>
      <c r="BQ92" s="125" t="s">
        <v>3088</v>
      </c>
      <c r="BR92" s="125" t="s">
        <v>3088</v>
      </c>
      <c r="BS92" s="125" t="s">
        <v>2976</v>
      </c>
      <c r="BT92" s="125" t="s">
        <v>2976</v>
      </c>
      <c r="BU92" s="2"/>
      <c r="BV92" s="3"/>
      <c r="BW92" s="3"/>
      <c r="BX92" s="3"/>
      <c r="BY92" s="3"/>
    </row>
    <row r="93" spans="1:77" ht="15">
      <c r="A93" s="66" t="s">
        <v>431</v>
      </c>
      <c r="B93" s="67"/>
      <c r="C93" s="67"/>
      <c r="D93" s="68">
        <v>100</v>
      </c>
      <c r="E93" s="70"/>
      <c r="F93" s="104" t="str">
        <f>HYPERLINK("http://pbs.twimg.com/profile_images/1251278438738153478/-t0YaKbz_normal.jpg")</f>
        <v>http://pbs.twimg.com/profile_images/1251278438738153478/-t0YaKbz_normal.jpg</v>
      </c>
      <c r="G93" s="67"/>
      <c r="H93" s="71" t="s">
        <v>431</v>
      </c>
      <c r="I93" s="72"/>
      <c r="J93" s="72"/>
      <c r="K93" s="71" t="s">
        <v>2092</v>
      </c>
      <c r="L93" s="75">
        <v>1</v>
      </c>
      <c r="M93" s="76">
        <v>2010.8074951171875</v>
      </c>
      <c r="N93" s="76">
        <v>3893.7587890625</v>
      </c>
      <c r="O93" s="77"/>
      <c r="P93" s="78"/>
      <c r="Q93" s="78"/>
      <c r="R93" s="90"/>
      <c r="S93" s="48">
        <v>0</v>
      </c>
      <c r="T93" s="48">
        <v>2</v>
      </c>
      <c r="U93" s="49">
        <v>0</v>
      </c>
      <c r="V93" s="49">
        <v>0.013158</v>
      </c>
      <c r="W93" s="49">
        <v>0.021547</v>
      </c>
      <c r="X93" s="49">
        <v>0.566735</v>
      </c>
      <c r="Y93" s="49">
        <v>1</v>
      </c>
      <c r="Z93" s="49">
        <v>0</v>
      </c>
      <c r="AA93" s="73">
        <v>93</v>
      </c>
      <c r="AB93" s="73"/>
      <c r="AC93" s="74"/>
      <c r="AD93" s="80" t="s">
        <v>1290</v>
      </c>
      <c r="AE93" s="88" t="s">
        <v>1511</v>
      </c>
      <c r="AF93" s="80">
        <v>1575</v>
      </c>
      <c r="AG93" s="80">
        <v>951</v>
      </c>
      <c r="AH93" s="80">
        <v>9719</v>
      </c>
      <c r="AI93" s="80">
        <v>101706</v>
      </c>
      <c r="AJ93" s="80"/>
      <c r="AK93" s="80" t="s">
        <v>1730</v>
      </c>
      <c r="AL93" s="80"/>
      <c r="AM93" s="85" t="str">
        <f>HYPERLINK("https://t.co/FZLn7xEPeT")</f>
        <v>https://t.co/FZLn7xEPeT</v>
      </c>
      <c r="AN93" s="80"/>
      <c r="AO93" s="82">
        <v>40028.20762731481</v>
      </c>
      <c r="AP93" s="85" t="str">
        <f>HYPERLINK("https://pbs.twimg.com/profile_banners/62440943/1575776372")</f>
        <v>https://pbs.twimg.com/profile_banners/62440943/1575776372</v>
      </c>
      <c r="AQ93" s="80" t="b">
        <v>0</v>
      </c>
      <c r="AR93" s="80" t="b">
        <v>0</v>
      </c>
      <c r="AS93" s="80" t="b">
        <v>0</v>
      </c>
      <c r="AT93" s="80"/>
      <c r="AU93" s="80">
        <v>71</v>
      </c>
      <c r="AV93" s="85" t="str">
        <f>HYPERLINK("http://abs.twimg.com/images/themes/theme9/bg.gif")</f>
        <v>http://abs.twimg.com/images/themes/theme9/bg.gif</v>
      </c>
      <c r="AW93" s="80" t="b">
        <v>0</v>
      </c>
      <c r="AX93" s="80" t="s">
        <v>2002</v>
      </c>
      <c r="AY93" s="85" t="str">
        <f>HYPERLINK("https://twitter.com/helloyorick")</f>
        <v>https://twitter.com/helloyorick</v>
      </c>
      <c r="AZ93" s="80" t="s">
        <v>66</v>
      </c>
      <c r="BA93" s="80" t="str">
        <f>REPLACE(INDEX(GroupVertices[Group],MATCH(Vertices[[#This Row],[Vertex]],GroupVertices[Vertex],0)),1,1,"")</f>
        <v>2</v>
      </c>
      <c r="BB93" s="48">
        <v>3</v>
      </c>
      <c r="BC93" s="49">
        <v>7.5</v>
      </c>
      <c r="BD93" s="48">
        <v>0</v>
      </c>
      <c r="BE93" s="49">
        <v>0</v>
      </c>
      <c r="BF93" s="48">
        <v>0</v>
      </c>
      <c r="BG93" s="49">
        <v>0</v>
      </c>
      <c r="BH93" s="48">
        <v>37</v>
      </c>
      <c r="BI93" s="49">
        <v>92.5</v>
      </c>
      <c r="BJ93" s="48">
        <v>40</v>
      </c>
      <c r="BK93" s="48"/>
      <c r="BL93" s="48"/>
      <c r="BM93" s="48"/>
      <c r="BN93" s="48"/>
      <c r="BO93" s="48"/>
      <c r="BP93" s="48"/>
      <c r="BQ93" s="125" t="s">
        <v>3088</v>
      </c>
      <c r="BR93" s="125" t="s">
        <v>3088</v>
      </c>
      <c r="BS93" s="125" t="s">
        <v>2976</v>
      </c>
      <c r="BT93" s="125" t="s">
        <v>2976</v>
      </c>
      <c r="BU93" s="2"/>
      <c r="BV93" s="3"/>
      <c r="BW93" s="3"/>
      <c r="BX93" s="3"/>
      <c r="BY93" s="3"/>
    </row>
    <row r="94" spans="1:77" ht="15">
      <c r="A94" s="66" t="s">
        <v>432</v>
      </c>
      <c r="B94" s="67"/>
      <c r="C94" s="67"/>
      <c r="D94" s="68">
        <v>100</v>
      </c>
      <c r="E94" s="70"/>
      <c r="F94" s="104" t="str">
        <f>HYPERLINK("http://pbs.twimg.com/profile_images/1234049276851970048/XhutsjwL_normal.jpg")</f>
        <v>http://pbs.twimg.com/profile_images/1234049276851970048/XhutsjwL_normal.jpg</v>
      </c>
      <c r="G94" s="67"/>
      <c r="H94" s="71" t="s">
        <v>432</v>
      </c>
      <c r="I94" s="72"/>
      <c r="J94" s="72"/>
      <c r="K94" s="71" t="s">
        <v>2093</v>
      </c>
      <c r="L94" s="75">
        <v>1</v>
      </c>
      <c r="M94" s="76">
        <v>3023.061767578125</v>
      </c>
      <c r="N94" s="76">
        <v>3554.189697265625</v>
      </c>
      <c r="O94" s="77"/>
      <c r="P94" s="78"/>
      <c r="Q94" s="78"/>
      <c r="R94" s="90"/>
      <c r="S94" s="48">
        <v>0</v>
      </c>
      <c r="T94" s="48">
        <v>2</v>
      </c>
      <c r="U94" s="49">
        <v>0</v>
      </c>
      <c r="V94" s="49">
        <v>0.013158</v>
      </c>
      <c r="W94" s="49">
        <v>0.021547</v>
      </c>
      <c r="X94" s="49">
        <v>0.566735</v>
      </c>
      <c r="Y94" s="49">
        <v>1</v>
      </c>
      <c r="Z94" s="49">
        <v>0</v>
      </c>
      <c r="AA94" s="73">
        <v>94</v>
      </c>
      <c r="AB94" s="73"/>
      <c r="AC94" s="74"/>
      <c r="AD94" s="80" t="s">
        <v>1291</v>
      </c>
      <c r="AE94" s="88" t="s">
        <v>1512</v>
      </c>
      <c r="AF94" s="80">
        <v>815</v>
      </c>
      <c r="AG94" s="80">
        <v>645</v>
      </c>
      <c r="AH94" s="80">
        <v>3234</v>
      </c>
      <c r="AI94" s="80">
        <v>1544</v>
      </c>
      <c r="AJ94" s="80"/>
      <c r="AK94" s="80" t="s">
        <v>1731</v>
      </c>
      <c r="AL94" s="80"/>
      <c r="AM94" s="80"/>
      <c r="AN94" s="80"/>
      <c r="AO94" s="82">
        <v>39785.916400462964</v>
      </c>
      <c r="AP94" s="85" t="str">
        <f>HYPERLINK("https://pbs.twimg.com/profile_banners/17850503/1572990308")</f>
        <v>https://pbs.twimg.com/profile_banners/17850503/1572990308</v>
      </c>
      <c r="AQ94" s="80" t="b">
        <v>0</v>
      </c>
      <c r="AR94" s="80" t="b">
        <v>0</v>
      </c>
      <c r="AS94" s="80" t="b">
        <v>0</v>
      </c>
      <c r="AT94" s="80"/>
      <c r="AU94" s="80">
        <v>16</v>
      </c>
      <c r="AV94" s="85" t="str">
        <f>HYPERLINK("http://abs.twimg.com/images/themes/theme6/bg.gif")</f>
        <v>http://abs.twimg.com/images/themes/theme6/bg.gif</v>
      </c>
      <c r="AW94" s="80" t="b">
        <v>0</v>
      </c>
      <c r="AX94" s="80" t="s">
        <v>2002</v>
      </c>
      <c r="AY94" s="85" t="str">
        <f>HYPERLINK("https://twitter.com/emmamarkiewicz")</f>
        <v>https://twitter.com/emmamarkiewicz</v>
      </c>
      <c r="AZ94" s="80" t="s">
        <v>66</v>
      </c>
      <c r="BA94" s="80" t="str">
        <f>REPLACE(INDEX(GroupVertices[Group],MATCH(Vertices[[#This Row],[Vertex]],GroupVertices[Vertex],0)),1,1,"")</f>
        <v>2</v>
      </c>
      <c r="BB94" s="48">
        <v>3</v>
      </c>
      <c r="BC94" s="49">
        <v>7.5</v>
      </c>
      <c r="BD94" s="48">
        <v>0</v>
      </c>
      <c r="BE94" s="49">
        <v>0</v>
      </c>
      <c r="BF94" s="48">
        <v>0</v>
      </c>
      <c r="BG94" s="49">
        <v>0</v>
      </c>
      <c r="BH94" s="48">
        <v>37</v>
      </c>
      <c r="BI94" s="49">
        <v>92.5</v>
      </c>
      <c r="BJ94" s="48">
        <v>40</v>
      </c>
      <c r="BK94" s="48"/>
      <c r="BL94" s="48"/>
      <c r="BM94" s="48"/>
      <c r="BN94" s="48"/>
      <c r="BO94" s="48"/>
      <c r="BP94" s="48"/>
      <c r="BQ94" s="125" t="s">
        <v>3088</v>
      </c>
      <c r="BR94" s="125" t="s">
        <v>3088</v>
      </c>
      <c r="BS94" s="125" t="s">
        <v>2976</v>
      </c>
      <c r="BT94" s="125" t="s">
        <v>2976</v>
      </c>
      <c r="BU94" s="2"/>
      <c r="BV94" s="3"/>
      <c r="BW94" s="3"/>
      <c r="BX94" s="3"/>
      <c r="BY94" s="3"/>
    </row>
    <row r="95" spans="1:77" ht="15">
      <c r="A95" s="66" t="s">
        <v>433</v>
      </c>
      <c r="B95" s="67"/>
      <c r="C95" s="67"/>
      <c r="D95" s="68">
        <v>100</v>
      </c>
      <c r="E95" s="70"/>
      <c r="F95" s="104" t="str">
        <f>HYPERLINK("http://pbs.twimg.com/profile_images/1216879724217163776/40wFa6-9_normal.jpg")</f>
        <v>http://pbs.twimg.com/profile_images/1216879724217163776/40wFa6-9_normal.jpg</v>
      </c>
      <c r="G95" s="67"/>
      <c r="H95" s="71" t="s">
        <v>433</v>
      </c>
      <c r="I95" s="72"/>
      <c r="J95" s="72"/>
      <c r="K95" s="71" t="s">
        <v>2094</v>
      </c>
      <c r="L95" s="75">
        <v>1</v>
      </c>
      <c r="M95" s="76">
        <v>2428.981689453125</v>
      </c>
      <c r="N95" s="76">
        <v>167.91104125976562</v>
      </c>
      <c r="O95" s="77"/>
      <c r="P95" s="78"/>
      <c r="Q95" s="78"/>
      <c r="R95" s="90"/>
      <c r="S95" s="48">
        <v>0</v>
      </c>
      <c r="T95" s="48">
        <v>2</v>
      </c>
      <c r="U95" s="49">
        <v>0</v>
      </c>
      <c r="V95" s="49">
        <v>0.013158</v>
      </c>
      <c r="W95" s="49">
        <v>0.021547</v>
      </c>
      <c r="X95" s="49">
        <v>0.566735</v>
      </c>
      <c r="Y95" s="49">
        <v>1</v>
      </c>
      <c r="Z95" s="49">
        <v>0</v>
      </c>
      <c r="AA95" s="73">
        <v>95</v>
      </c>
      <c r="AB95" s="73"/>
      <c r="AC95" s="74"/>
      <c r="AD95" s="80" t="s">
        <v>1292</v>
      </c>
      <c r="AE95" s="88" t="s">
        <v>1513</v>
      </c>
      <c r="AF95" s="80">
        <v>1246</v>
      </c>
      <c r="AG95" s="80">
        <v>2883</v>
      </c>
      <c r="AH95" s="80">
        <v>39719</v>
      </c>
      <c r="AI95" s="80">
        <v>7828</v>
      </c>
      <c r="AJ95" s="80"/>
      <c r="AK95" s="80" t="s">
        <v>1732</v>
      </c>
      <c r="AL95" s="80" t="s">
        <v>1914</v>
      </c>
      <c r="AM95" s="85" t="str">
        <f>HYPERLINK("https://t.co/13OWc8RUyg")</f>
        <v>https://t.co/13OWc8RUyg</v>
      </c>
      <c r="AN95" s="80"/>
      <c r="AO95" s="82">
        <v>41326.419224537036</v>
      </c>
      <c r="AP95" s="85" t="str">
        <f>HYPERLINK("https://pbs.twimg.com/profile_banners/1203822001/1505052676")</f>
        <v>https://pbs.twimg.com/profile_banners/1203822001/1505052676</v>
      </c>
      <c r="AQ95" s="80" t="b">
        <v>0</v>
      </c>
      <c r="AR95" s="80" t="b">
        <v>0</v>
      </c>
      <c r="AS95" s="80" t="b">
        <v>0</v>
      </c>
      <c r="AT95" s="80"/>
      <c r="AU95" s="80">
        <v>74</v>
      </c>
      <c r="AV95" s="85" t="str">
        <f>HYPERLINK("http://abs.twimg.com/images/themes/theme9/bg.gif")</f>
        <v>http://abs.twimg.com/images/themes/theme9/bg.gif</v>
      </c>
      <c r="AW95" s="80" t="b">
        <v>0</v>
      </c>
      <c r="AX95" s="80" t="s">
        <v>2002</v>
      </c>
      <c r="AY95" s="85" t="str">
        <f>HYPERLINK("https://twitter.com/maggotlaw")</f>
        <v>https://twitter.com/maggotlaw</v>
      </c>
      <c r="AZ95" s="80" t="s">
        <v>66</v>
      </c>
      <c r="BA95" s="80" t="str">
        <f>REPLACE(INDEX(GroupVertices[Group],MATCH(Vertices[[#This Row],[Vertex]],GroupVertices[Vertex],0)),1,1,"")</f>
        <v>2</v>
      </c>
      <c r="BB95" s="48">
        <v>3</v>
      </c>
      <c r="BC95" s="49">
        <v>7.5</v>
      </c>
      <c r="BD95" s="48">
        <v>0</v>
      </c>
      <c r="BE95" s="49">
        <v>0</v>
      </c>
      <c r="BF95" s="48">
        <v>0</v>
      </c>
      <c r="BG95" s="49">
        <v>0</v>
      </c>
      <c r="BH95" s="48">
        <v>37</v>
      </c>
      <c r="BI95" s="49">
        <v>92.5</v>
      </c>
      <c r="BJ95" s="48">
        <v>40</v>
      </c>
      <c r="BK95" s="48"/>
      <c r="BL95" s="48"/>
      <c r="BM95" s="48"/>
      <c r="BN95" s="48"/>
      <c r="BO95" s="48"/>
      <c r="BP95" s="48"/>
      <c r="BQ95" s="125" t="s">
        <v>3088</v>
      </c>
      <c r="BR95" s="125" t="s">
        <v>3088</v>
      </c>
      <c r="BS95" s="125" t="s">
        <v>2976</v>
      </c>
      <c r="BT95" s="125" t="s">
        <v>2976</v>
      </c>
      <c r="BU95" s="2"/>
      <c r="BV95" s="3"/>
      <c r="BW95" s="3"/>
      <c r="BX95" s="3"/>
      <c r="BY95" s="3"/>
    </row>
    <row r="96" spans="1:77" ht="15">
      <c r="A96" s="66" t="s">
        <v>434</v>
      </c>
      <c r="B96" s="67"/>
      <c r="C96" s="67"/>
      <c r="D96" s="68">
        <v>100</v>
      </c>
      <c r="E96" s="70"/>
      <c r="F96" s="104" t="str">
        <f>HYPERLINK("http://pbs.twimg.com/profile_images/1128296472640880642/4uFC-Crr_normal.png")</f>
        <v>http://pbs.twimg.com/profile_images/1128296472640880642/4uFC-Crr_normal.png</v>
      </c>
      <c r="G96" s="67"/>
      <c r="H96" s="71" t="s">
        <v>434</v>
      </c>
      <c r="I96" s="72"/>
      <c r="J96" s="72"/>
      <c r="K96" s="71" t="s">
        <v>2095</v>
      </c>
      <c r="L96" s="75">
        <v>1</v>
      </c>
      <c r="M96" s="76">
        <v>587.4228515625</v>
      </c>
      <c r="N96" s="76">
        <v>1982.886962890625</v>
      </c>
      <c r="O96" s="77"/>
      <c r="P96" s="78"/>
      <c r="Q96" s="78"/>
      <c r="R96" s="90"/>
      <c r="S96" s="48">
        <v>0</v>
      </c>
      <c r="T96" s="48">
        <v>2</v>
      </c>
      <c r="U96" s="49">
        <v>0</v>
      </c>
      <c r="V96" s="49">
        <v>0.013158</v>
      </c>
      <c r="W96" s="49">
        <v>0.021547</v>
      </c>
      <c r="X96" s="49">
        <v>0.566735</v>
      </c>
      <c r="Y96" s="49">
        <v>1</v>
      </c>
      <c r="Z96" s="49">
        <v>0</v>
      </c>
      <c r="AA96" s="73">
        <v>96</v>
      </c>
      <c r="AB96" s="73"/>
      <c r="AC96" s="74"/>
      <c r="AD96" s="80" t="s">
        <v>1293</v>
      </c>
      <c r="AE96" s="88" t="s">
        <v>1514</v>
      </c>
      <c r="AF96" s="80">
        <v>2244</v>
      </c>
      <c r="AG96" s="80">
        <v>4383</v>
      </c>
      <c r="AH96" s="80">
        <v>16468</v>
      </c>
      <c r="AI96" s="80">
        <v>9147</v>
      </c>
      <c r="AJ96" s="80"/>
      <c r="AK96" s="80" t="s">
        <v>1733</v>
      </c>
      <c r="AL96" s="80" t="s">
        <v>1915</v>
      </c>
      <c r="AM96" s="80"/>
      <c r="AN96" s="80"/>
      <c r="AO96" s="82">
        <v>40012.52769675926</v>
      </c>
      <c r="AP96" s="85" t="str">
        <f>HYPERLINK("https://pbs.twimg.com/profile_banners/57923094/1565621950")</f>
        <v>https://pbs.twimg.com/profile_banners/57923094/1565621950</v>
      </c>
      <c r="AQ96" s="80" t="b">
        <v>0</v>
      </c>
      <c r="AR96" s="80" t="b">
        <v>0</v>
      </c>
      <c r="AS96" s="80" t="b">
        <v>0</v>
      </c>
      <c r="AT96" s="80"/>
      <c r="AU96" s="80">
        <v>75</v>
      </c>
      <c r="AV96" s="85" t="str">
        <f>HYPERLINK("http://abs.twimg.com/images/themes/theme1/bg.png")</f>
        <v>http://abs.twimg.com/images/themes/theme1/bg.png</v>
      </c>
      <c r="AW96" s="80" t="b">
        <v>0</v>
      </c>
      <c r="AX96" s="80" t="s">
        <v>2002</v>
      </c>
      <c r="AY96" s="85" t="str">
        <f>HYPERLINK("https://twitter.com/aliceolilly")</f>
        <v>https://twitter.com/aliceolilly</v>
      </c>
      <c r="AZ96" s="80" t="s">
        <v>66</v>
      </c>
      <c r="BA96" s="80" t="str">
        <f>REPLACE(INDEX(GroupVertices[Group],MATCH(Vertices[[#This Row],[Vertex]],GroupVertices[Vertex],0)),1,1,"")</f>
        <v>2</v>
      </c>
      <c r="BB96" s="48">
        <v>3</v>
      </c>
      <c r="BC96" s="49">
        <v>7.5</v>
      </c>
      <c r="BD96" s="48">
        <v>0</v>
      </c>
      <c r="BE96" s="49">
        <v>0</v>
      </c>
      <c r="BF96" s="48">
        <v>0</v>
      </c>
      <c r="BG96" s="49">
        <v>0</v>
      </c>
      <c r="BH96" s="48">
        <v>37</v>
      </c>
      <c r="BI96" s="49">
        <v>92.5</v>
      </c>
      <c r="BJ96" s="48">
        <v>40</v>
      </c>
      <c r="BK96" s="48"/>
      <c r="BL96" s="48"/>
      <c r="BM96" s="48"/>
      <c r="BN96" s="48"/>
      <c r="BO96" s="48"/>
      <c r="BP96" s="48"/>
      <c r="BQ96" s="125" t="s">
        <v>3088</v>
      </c>
      <c r="BR96" s="125" t="s">
        <v>3088</v>
      </c>
      <c r="BS96" s="125" t="s">
        <v>2976</v>
      </c>
      <c r="BT96" s="125" t="s">
        <v>2976</v>
      </c>
      <c r="BU96" s="2"/>
      <c r="BV96" s="3"/>
      <c r="BW96" s="3"/>
      <c r="BX96" s="3"/>
      <c r="BY96" s="3"/>
    </row>
    <row r="97" spans="1:77" ht="15">
      <c r="A97" s="66" t="s">
        <v>435</v>
      </c>
      <c r="B97" s="67"/>
      <c r="C97" s="67"/>
      <c r="D97" s="68">
        <v>100</v>
      </c>
      <c r="E97" s="70"/>
      <c r="F97" s="104" t="str">
        <f>HYPERLINK("http://pbs.twimg.com/profile_images/1270044490762465280/wFVYXJz-_normal.jpg")</f>
        <v>http://pbs.twimg.com/profile_images/1270044490762465280/wFVYXJz-_normal.jpg</v>
      </c>
      <c r="G97" s="67"/>
      <c r="H97" s="71" t="s">
        <v>435</v>
      </c>
      <c r="I97" s="72"/>
      <c r="J97" s="72"/>
      <c r="K97" s="71" t="s">
        <v>2096</v>
      </c>
      <c r="L97" s="75">
        <v>1</v>
      </c>
      <c r="M97" s="76">
        <v>9712.681640625</v>
      </c>
      <c r="N97" s="76">
        <v>7573.95068359375</v>
      </c>
      <c r="O97" s="77"/>
      <c r="P97" s="78"/>
      <c r="Q97" s="78"/>
      <c r="R97" s="90"/>
      <c r="S97" s="48">
        <v>0</v>
      </c>
      <c r="T97" s="48">
        <v>2</v>
      </c>
      <c r="U97" s="49">
        <v>0</v>
      </c>
      <c r="V97" s="49">
        <v>0.026316</v>
      </c>
      <c r="W97" s="49">
        <v>0</v>
      </c>
      <c r="X97" s="49">
        <v>0.576762</v>
      </c>
      <c r="Y97" s="49">
        <v>0.5</v>
      </c>
      <c r="Z97" s="49">
        <v>0</v>
      </c>
      <c r="AA97" s="73">
        <v>97</v>
      </c>
      <c r="AB97" s="73"/>
      <c r="AC97" s="74"/>
      <c r="AD97" s="80" t="s">
        <v>1294</v>
      </c>
      <c r="AE97" s="88" t="s">
        <v>1515</v>
      </c>
      <c r="AF97" s="80">
        <v>6604</v>
      </c>
      <c r="AG97" s="80">
        <v>10726</v>
      </c>
      <c r="AH97" s="80">
        <v>1756</v>
      </c>
      <c r="AI97" s="80">
        <v>57086</v>
      </c>
      <c r="AJ97" s="80"/>
      <c r="AK97" s="80" t="s">
        <v>1734</v>
      </c>
      <c r="AL97" s="80" t="s">
        <v>1916</v>
      </c>
      <c r="AM97" s="85" t="str">
        <f>HYPERLINK("https://t.co/raX41aMJqy")</f>
        <v>https://t.co/raX41aMJqy</v>
      </c>
      <c r="AN97" s="80"/>
      <c r="AO97" s="82">
        <v>40491.58320601852</v>
      </c>
      <c r="AP97" s="85" t="str">
        <f>HYPERLINK("https://pbs.twimg.com/profile_banners/213667087/1565402217")</f>
        <v>https://pbs.twimg.com/profile_banners/213667087/1565402217</v>
      </c>
      <c r="AQ97" s="80" t="b">
        <v>0</v>
      </c>
      <c r="AR97" s="80" t="b">
        <v>0</v>
      </c>
      <c r="AS97" s="80" t="b">
        <v>1</v>
      </c>
      <c r="AT97" s="80"/>
      <c r="AU97" s="80">
        <v>35</v>
      </c>
      <c r="AV97" s="85" t="str">
        <f>HYPERLINK("http://abs.twimg.com/images/themes/theme1/bg.png")</f>
        <v>http://abs.twimg.com/images/themes/theme1/bg.png</v>
      </c>
      <c r="AW97" s="80" t="b">
        <v>0</v>
      </c>
      <c r="AX97" s="80" t="s">
        <v>2002</v>
      </c>
      <c r="AY97" s="85" t="str">
        <f>HYPERLINK("https://twitter.com/ryansagare")</f>
        <v>https://twitter.com/ryansagare</v>
      </c>
      <c r="AZ97" s="80" t="s">
        <v>66</v>
      </c>
      <c r="BA97" s="80" t="str">
        <f>REPLACE(INDEX(GroupVertices[Group],MATCH(Vertices[[#This Row],[Vertex]],GroupVertices[Vertex],0)),1,1,"")</f>
        <v>4</v>
      </c>
      <c r="BB97" s="48">
        <v>1</v>
      </c>
      <c r="BC97" s="49">
        <v>3.125</v>
      </c>
      <c r="BD97" s="48">
        <v>1</v>
      </c>
      <c r="BE97" s="49">
        <v>3.125</v>
      </c>
      <c r="BF97" s="48">
        <v>0</v>
      </c>
      <c r="BG97" s="49">
        <v>0</v>
      </c>
      <c r="BH97" s="48">
        <v>30</v>
      </c>
      <c r="BI97" s="49">
        <v>93.75</v>
      </c>
      <c r="BJ97" s="48">
        <v>32</v>
      </c>
      <c r="BK97" s="48"/>
      <c r="BL97" s="48"/>
      <c r="BM97" s="48"/>
      <c r="BN97" s="48"/>
      <c r="BO97" s="48" t="s">
        <v>711</v>
      </c>
      <c r="BP97" s="48" t="s">
        <v>711</v>
      </c>
      <c r="BQ97" s="125" t="s">
        <v>2863</v>
      </c>
      <c r="BR97" s="125" t="s">
        <v>2863</v>
      </c>
      <c r="BS97" s="125" t="s">
        <v>2978</v>
      </c>
      <c r="BT97" s="125" t="s">
        <v>2978</v>
      </c>
      <c r="BU97" s="2"/>
      <c r="BV97" s="3"/>
      <c r="BW97" s="3"/>
      <c r="BX97" s="3"/>
      <c r="BY97" s="3"/>
    </row>
    <row r="98" spans="1:77" ht="15">
      <c r="A98" s="66" t="s">
        <v>534</v>
      </c>
      <c r="B98" s="67"/>
      <c r="C98" s="67"/>
      <c r="D98" s="68">
        <v>1000</v>
      </c>
      <c r="E98" s="70"/>
      <c r="F98" s="104" t="str">
        <f>HYPERLINK("http://pbs.twimg.com/profile_images/1195339067380129793/hby638Gf_normal.jpg")</f>
        <v>http://pbs.twimg.com/profile_images/1195339067380129793/hby638Gf_normal.jpg</v>
      </c>
      <c r="G98" s="67"/>
      <c r="H98" s="71" t="s">
        <v>534</v>
      </c>
      <c r="I98" s="72"/>
      <c r="J98" s="72"/>
      <c r="K98" s="71" t="s">
        <v>2097</v>
      </c>
      <c r="L98" s="75">
        <v>799.5324614666044</v>
      </c>
      <c r="M98" s="76">
        <v>8683.1904296875</v>
      </c>
      <c r="N98" s="76">
        <v>8161.9619140625</v>
      </c>
      <c r="O98" s="77"/>
      <c r="P98" s="78"/>
      <c r="Q98" s="78"/>
      <c r="R98" s="90"/>
      <c r="S98" s="48">
        <v>20</v>
      </c>
      <c r="T98" s="48">
        <v>0</v>
      </c>
      <c r="U98" s="49">
        <v>171</v>
      </c>
      <c r="V98" s="49">
        <v>0.05</v>
      </c>
      <c r="W98" s="49">
        <v>0</v>
      </c>
      <c r="X98" s="49">
        <v>5.020735</v>
      </c>
      <c r="Y98" s="49">
        <v>0.05</v>
      </c>
      <c r="Z98" s="49">
        <v>0</v>
      </c>
      <c r="AA98" s="73">
        <v>98</v>
      </c>
      <c r="AB98" s="73"/>
      <c r="AC98" s="74"/>
      <c r="AD98" s="80" t="s">
        <v>534</v>
      </c>
      <c r="AE98" s="88" t="s">
        <v>1516</v>
      </c>
      <c r="AF98" s="80">
        <v>1160</v>
      </c>
      <c r="AG98" s="80">
        <v>4081</v>
      </c>
      <c r="AH98" s="80">
        <v>3951</v>
      </c>
      <c r="AI98" s="80">
        <v>3585</v>
      </c>
      <c r="AJ98" s="80"/>
      <c r="AK98" s="80" t="s">
        <v>1735</v>
      </c>
      <c r="AL98" s="80" t="s">
        <v>1917</v>
      </c>
      <c r="AM98" s="85" t="str">
        <f>HYPERLINK("https://t.co/izxR7mnZj9")</f>
        <v>https://t.co/izxR7mnZj9</v>
      </c>
      <c r="AN98" s="80"/>
      <c r="AO98" s="82">
        <v>39889.078310185185</v>
      </c>
      <c r="AP98" s="85" t="str">
        <f>HYPERLINK("https://pbs.twimg.com/profile_banners/24817772/1584977132")</f>
        <v>https://pbs.twimg.com/profile_banners/24817772/1584977132</v>
      </c>
      <c r="AQ98" s="80" t="b">
        <v>0</v>
      </c>
      <c r="AR98" s="80" t="b">
        <v>0</v>
      </c>
      <c r="AS98" s="80" t="b">
        <v>0</v>
      </c>
      <c r="AT98" s="80"/>
      <c r="AU98" s="80">
        <v>341</v>
      </c>
      <c r="AV98" s="85" t="str">
        <f>HYPERLINK("http://abs.twimg.com/images/themes/theme1/bg.png")</f>
        <v>http://abs.twimg.com/images/themes/theme1/bg.png</v>
      </c>
      <c r="AW98" s="80" t="b">
        <v>0</v>
      </c>
      <c r="AX98" s="80" t="s">
        <v>2002</v>
      </c>
      <c r="AY98" s="85" t="str">
        <f>HYPERLINK("https://twitter.com/datassist")</f>
        <v>https://twitter.com/datassist</v>
      </c>
      <c r="AZ98" s="80" t="s">
        <v>65</v>
      </c>
      <c r="BA98" s="80" t="str">
        <f>REPLACE(INDEX(GroupVertices[Group],MATCH(Vertices[[#This Row],[Vertex]],GroupVertices[Vertex],0)),1,1,"")</f>
        <v>4</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6" t="s">
        <v>511</v>
      </c>
      <c r="B99" s="67"/>
      <c r="C99" s="67"/>
      <c r="D99" s="68">
        <v>1000</v>
      </c>
      <c r="E99" s="70"/>
      <c r="F99" s="104" t="str">
        <f>HYPERLINK("http://pbs.twimg.com/profile_images/1270467165632823298/LkPmx7tg_normal.jpg")</f>
        <v>http://pbs.twimg.com/profile_images/1270467165632823298/LkPmx7tg_normal.jpg</v>
      </c>
      <c r="G99" s="67"/>
      <c r="H99" s="71" t="s">
        <v>511</v>
      </c>
      <c r="I99" s="72"/>
      <c r="J99" s="72"/>
      <c r="K99" s="71" t="s">
        <v>2098</v>
      </c>
      <c r="L99" s="75">
        <v>799.5324614666044</v>
      </c>
      <c r="M99" s="76">
        <v>8542.6201171875</v>
      </c>
      <c r="N99" s="76">
        <v>8230.5</v>
      </c>
      <c r="O99" s="77"/>
      <c r="P99" s="78"/>
      <c r="Q99" s="78"/>
      <c r="R99" s="90"/>
      <c r="S99" s="48">
        <v>19</v>
      </c>
      <c r="T99" s="48">
        <v>1</v>
      </c>
      <c r="U99" s="49">
        <v>171</v>
      </c>
      <c r="V99" s="49">
        <v>0.05</v>
      </c>
      <c r="W99" s="49">
        <v>0</v>
      </c>
      <c r="X99" s="49">
        <v>5.020735</v>
      </c>
      <c r="Y99" s="49">
        <v>0.05</v>
      </c>
      <c r="Z99" s="49">
        <v>0</v>
      </c>
      <c r="AA99" s="73">
        <v>99</v>
      </c>
      <c r="AB99" s="73"/>
      <c r="AC99" s="74"/>
      <c r="AD99" s="80" t="s">
        <v>1295</v>
      </c>
      <c r="AE99" s="88" t="s">
        <v>1517</v>
      </c>
      <c r="AF99" s="80">
        <v>1572</v>
      </c>
      <c r="AG99" s="80">
        <v>11315</v>
      </c>
      <c r="AH99" s="80">
        <v>21062</v>
      </c>
      <c r="AI99" s="80">
        <v>1116</v>
      </c>
      <c r="AJ99" s="80"/>
      <c r="AK99" s="80" t="s">
        <v>1736</v>
      </c>
      <c r="AL99" s="80" t="s">
        <v>1916</v>
      </c>
      <c r="AM99" s="85" t="str">
        <f>HYPERLINK("http://t.co/ehuTJb4nKU")</f>
        <v>http://t.co/ehuTJb4nKU</v>
      </c>
      <c r="AN99" s="80"/>
      <c r="AO99" s="82">
        <v>39848.90207175926</v>
      </c>
      <c r="AP99" s="85" t="str">
        <f>HYPERLINK("https://pbs.twimg.com/profile_banners/20097091/1591738103")</f>
        <v>https://pbs.twimg.com/profile_banners/20097091/1591738103</v>
      </c>
      <c r="AQ99" s="80" t="b">
        <v>0</v>
      </c>
      <c r="AR99" s="80" t="b">
        <v>0</v>
      </c>
      <c r="AS99" s="80" t="b">
        <v>1</v>
      </c>
      <c r="AT99" s="80"/>
      <c r="AU99" s="80">
        <v>639</v>
      </c>
      <c r="AV99" s="85" t="str">
        <f>HYPERLINK("http://abs.twimg.com/images/themes/theme2/bg.gif")</f>
        <v>http://abs.twimg.com/images/themes/theme2/bg.gif</v>
      </c>
      <c r="AW99" s="80" t="b">
        <v>0</v>
      </c>
      <c r="AX99" s="80" t="s">
        <v>2002</v>
      </c>
      <c r="AY99" s="85" t="str">
        <f>HYPERLINK("https://twitter.com/utknightcenter")</f>
        <v>https://twitter.com/utknightcenter</v>
      </c>
      <c r="AZ99" s="80" t="s">
        <v>66</v>
      </c>
      <c r="BA99" s="80" t="str">
        <f>REPLACE(INDEX(GroupVertices[Group],MATCH(Vertices[[#This Row],[Vertex]],GroupVertices[Vertex],0)),1,1,"")</f>
        <v>4</v>
      </c>
      <c r="BB99" s="48">
        <v>1</v>
      </c>
      <c r="BC99" s="49">
        <v>3.125</v>
      </c>
      <c r="BD99" s="48">
        <v>1</v>
      </c>
      <c r="BE99" s="49">
        <v>3.125</v>
      </c>
      <c r="BF99" s="48">
        <v>0</v>
      </c>
      <c r="BG99" s="49">
        <v>0</v>
      </c>
      <c r="BH99" s="48">
        <v>30</v>
      </c>
      <c r="BI99" s="49">
        <v>93.75</v>
      </c>
      <c r="BJ99" s="48">
        <v>32</v>
      </c>
      <c r="BK99" s="48" t="s">
        <v>2752</v>
      </c>
      <c r="BL99" s="48" t="s">
        <v>2752</v>
      </c>
      <c r="BM99" s="48" t="s">
        <v>689</v>
      </c>
      <c r="BN99" s="48" t="s">
        <v>689</v>
      </c>
      <c r="BO99" s="48" t="s">
        <v>727</v>
      </c>
      <c r="BP99" s="48" t="s">
        <v>727</v>
      </c>
      <c r="BQ99" s="125" t="s">
        <v>2863</v>
      </c>
      <c r="BR99" s="125" t="s">
        <v>2863</v>
      </c>
      <c r="BS99" s="125" t="s">
        <v>2978</v>
      </c>
      <c r="BT99" s="125" t="s">
        <v>2978</v>
      </c>
      <c r="BU99" s="2"/>
      <c r="BV99" s="3"/>
      <c r="BW99" s="3"/>
      <c r="BX99" s="3"/>
      <c r="BY99" s="3"/>
    </row>
    <row r="100" spans="1:77" ht="15">
      <c r="A100" s="66" t="s">
        <v>436</v>
      </c>
      <c r="B100" s="67"/>
      <c r="C100" s="67"/>
      <c r="D100" s="68">
        <v>100</v>
      </c>
      <c r="E100" s="70"/>
      <c r="F100" s="104" t="str">
        <f>HYPERLINK("http://pbs.twimg.com/profile_images/1228314766223069184/4ZlSbaZL_normal.jpg")</f>
        <v>http://pbs.twimg.com/profile_images/1228314766223069184/4ZlSbaZL_normal.jpg</v>
      </c>
      <c r="G100" s="67"/>
      <c r="H100" s="71" t="s">
        <v>436</v>
      </c>
      <c r="I100" s="72"/>
      <c r="J100" s="72"/>
      <c r="K100" s="71" t="s">
        <v>2099</v>
      </c>
      <c r="L100" s="75">
        <v>1</v>
      </c>
      <c r="M100" s="76">
        <v>3494.050537109375</v>
      </c>
      <c r="N100" s="76">
        <v>2330.90869140625</v>
      </c>
      <c r="O100" s="77"/>
      <c r="P100" s="78"/>
      <c r="Q100" s="78"/>
      <c r="R100" s="90"/>
      <c r="S100" s="48">
        <v>0</v>
      </c>
      <c r="T100" s="48">
        <v>2</v>
      </c>
      <c r="U100" s="49">
        <v>0</v>
      </c>
      <c r="V100" s="49">
        <v>0.013158</v>
      </c>
      <c r="W100" s="49">
        <v>0.021547</v>
      </c>
      <c r="X100" s="49">
        <v>0.566735</v>
      </c>
      <c r="Y100" s="49">
        <v>1</v>
      </c>
      <c r="Z100" s="49">
        <v>0</v>
      </c>
      <c r="AA100" s="73">
        <v>100</v>
      </c>
      <c r="AB100" s="73"/>
      <c r="AC100" s="74"/>
      <c r="AD100" s="80" t="s">
        <v>1296</v>
      </c>
      <c r="AE100" s="88" t="s">
        <v>1518</v>
      </c>
      <c r="AF100" s="80">
        <v>1755</v>
      </c>
      <c r="AG100" s="80">
        <v>1138</v>
      </c>
      <c r="AH100" s="80">
        <v>12417</v>
      </c>
      <c r="AI100" s="80">
        <v>740</v>
      </c>
      <c r="AJ100" s="80"/>
      <c r="AK100" s="80" t="s">
        <v>1737</v>
      </c>
      <c r="AL100" s="80" t="s">
        <v>1866</v>
      </c>
      <c r="AM100" s="85" t="str">
        <f>HYPERLINK("https://t.co/fpkRkfICUJ")</f>
        <v>https://t.co/fpkRkfICUJ</v>
      </c>
      <c r="AN100" s="80"/>
      <c r="AO100" s="82">
        <v>40486.780439814815</v>
      </c>
      <c r="AP100" s="85" t="str">
        <f>HYPERLINK("https://pbs.twimg.com/profile_banners/211950987/1432306579")</f>
        <v>https://pbs.twimg.com/profile_banners/211950987/1432306579</v>
      </c>
      <c r="AQ100" s="80" t="b">
        <v>0</v>
      </c>
      <c r="AR100" s="80" t="b">
        <v>0</v>
      </c>
      <c r="AS100" s="80" t="b">
        <v>0</v>
      </c>
      <c r="AT100" s="80"/>
      <c r="AU100" s="80">
        <v>69</v>
      </c>
      <c r="AV100" s="85" t="str">
        <f>HYPERLINK("http://abs.twimg.com/images/themes/theme1/bg.png")</f>
        <v>http://abs.twimg.com/images/themes/theme1/bg.png</v>
      </c>
      <c r="AW100" s="80" t="b">
        <v>0</v>
      </c>
      <c r="AX100" s="80" t="s">
        <v>2002</v>
      </c>
      <c r="AY100" s="85" t="str">
        <f>HYPERLINK("https://twitter.com/agilchristpike")</f>
        <v>https://twitter.com/agilchristpike</v>
      </c>
      <c r="AZ100" s="80" t="s">
        <v>66</v>
      </c>
      <c r="BA100" s="80" t="str">
        <f>REPLACE(INDEX(GroupVertices[Group],MATCH(Vertices[[#This Row],[Vertex]],GroupVertices[Vertex],0)),1,1,"")</f>
        <v>2</v>
      </c>
      <c r="BB100" s="48">
        <v>3</v>
      </c>
      <c r="BC100" s="49">
        <v>7.5</v>
      </c>
      <c r="BD100" s="48">
        <v>0</v>
      </c>
      <c r="BE100" s="49">
        <v>0</v>
      </c>
      <c r="BF100" s="48">
        <v>0</v>
      </c>
      <c r="BG100" s="49">
        <v>0</v>
      </c>
      <c r="BH100" s="48">
        <v>37</v>
      </c>
      <c r="BI100" s="49">
        <v>92.5</v>
      </c>
      <c r="BJ100" s="48">
        <v>40</v>
      </c>
      <c r="BK100" s="48"/>
      <c r="BL100" s="48"/>
      <c r="BM100" s="48"/>
      <c r="BN100" s="48"/>
      <c r="BO100" s="48"/>
      <c r="BP100" s="48"/>
      <c r="BQ100" s="125" t="s">
        <v>3088</v>
      </c>
      <c r="BR100" s="125" t="s">
        <v>3088</v>
      </c>
      <c r="BS100" s="125" t="s">
        <v>2976</v>
      </c>
      <c r="BT100" s="125" t="s">
        <v>2976</v>
      </c>
      <c r="BU100" s="2"/>
      <c r="BV100" s="3"/>
      <c r="BW100" s="3"/>
      <c r="BX100" s="3"/>
      <c r="BY100" s="3"/>
    </row>
    <row r="101" spans="1:77" ht="15">
      <c r="A101" s="66" t="s">
        <v>437</v>
      </c>
      <c r="B101" s="67"/>
      <c r="C101" s="67"/>
      <c r="D101" s="68">
        <v>100.47846842105263</v>
      </c>
      <c r="E101" s="70"/>
      <c r="F101" s="104" t="str">
        <f>HYPERLINK("http://pbs.twimg.com/profile_images/1247792742849056769/ngW359z8_normal.jpg")</f>
        <v>http://pbs.twimg.com/profile_images/1247792742849056769/ngW359z8_normal.jpg</v>
      </c>
      <c r="G101" s="67"/>
      <c r="H101" s="71" t="s">
        <v>437</v>
      </c>
      <c r="I101" s="72"/>
      <c r="J101" s="72"/>
      <c r="K101" s="71" t="s">
        <v>2100</v>
      </c>
      <c r="L101" s="75">
        <v>1.4245250733302195</v>
      </c>
      <c r="M101" s="76">
        <v>7054.36083984375</v>
      </c>
      <c r="N101" s="76">
        <v>7463.99951171875</v>
      </c>
      <c r="O101" s="77"/>
      <c r="P101" s="78"/>
      <c r="Q101" s="78"/>
      <c r="R101" s="90"/>
      <c r="S101" s="48">
        <v>0</v>
      </c>
      <c r="T101" s="48">
        <v>3</v>
      </c>
      <c r="U101" s="49">
        <v>0.090909</v>
      </c>
      <c r="V101" s="49">
        <v>0.020408</v>
      </c>
      <c r="W101" s="49">
        <v>0</v>
      </c>
      <c r="X101" s="49">
        <v>0.681054</v>
      </c>
      <c r="Y101" s="49">
        <v>0.3333333333333333</v>
      </c>
      <c r="Z101" s="49">
        <v>0</v>
      </c>
      <c r="AA101" s="73">
        <v>101</v>
      </c>
      <c r="AB101" s="73"/>
      <c r="AC101" s="74"/>
      <c r="AD101" s="80" t="s">
        <v>1297</v>
      </c>
      <c r="AE101" s="88" t="s">
        <v>1519</v>
      </c>
      <c r="AF101" s="80">
        <v>695</v>
      </c>
      <c r="AG101" s="80">
        <v>1118</v>
      </c>
      <c r="AH101" s="80">
        <v>6678</v>
      </c>
      <c r="AI101" s="80">
        <v>549</v>
      </c>
      <c r="AJ101" s="80"/>
      <c r="AK101" s="80" t="s">
        <v>1738</v>
      </c>
      <c r="AL101" s="80" t="s">
        <v>1918</v>
      </c>
      <c r="AM101" s="85" t="str">
        <f>HYPERLINK("https://t.co/FrqDAL1UUB")</f>
        <v>https://t.co/FrqDAL1UUB</v>
      </c>
      <c r="AN101" s="80"/>
      <c r="AO101" s="82">
        <v>42849.402037037034</v>
      </c>
      <c r="AP101" s="85" t="str">
        <f>HYPERLINK("https://pbs.twimg.com/profile_banners/856442322862702593/1591361878")</f>
        <v>https://pbs.twimg.com/profile_banners/856442322862702593/1591361878</v>
      </c>
      <c r="AQ101" s="80" t="b">
        <v>0</v>
      </c>
      <c r="AR101" s="80" t="b">
        <v>0</v>
      </c>
      <c r="AS101" s="80" t="b">
        <v>1</v>
      </c>
      <c r="AT101" s="80"/>
      <c r="AU101" s="80">
        <v>5</v>
      </c>
      <c r="AV101" s="85" t="str">
        <f>HYPERLINK("http://abs.twimg.com/images/themes/theme1/bg.png")</f>
        <v>http://abs.twimg.com/images/themes/theme1/bg.png</v>
      </c>
      <c r="AW101" s="80" t="b">
        <v>0</v>
      </c>
      <c r="AX101" s="80" t="s">
        <v>2002</v>
      </c>
      <c r="AY101" s="85" t="str">
        <f>HYPERLINK("https://twitter.com/mrvisgeography")</f>
        <v>https://twitter.com/mrvisgeography</v>
      </c>
      <c r="AZ101" s="80" t="s">
        <v>66</v>
      </c>
      <c r="BA101" s="80" t="str">
        <f>REPLACE(INDEX(GroupVertices[Group],MATCH(Vertices[[#This Row],[Vertex]],GroupVertices[Vertex],0)),1,1,"")</f>
        <v>3</v>
      </c>
      <c r="BB101" s="48">
        <v>1</v>
      </c>
      <c r="BC101" s="49">
        <v>4.761904761904762</v>
      </c>
      <c r="BD101" s="48">
        <v>0</v>
      </c>
      <c r="BE101" s="49">
        <v>0</v>
      </c>
      <c r="BF101" s="48">
        <v>0</v>
      </c>
      <c r="BG101" s="49">
        <v>0</v>
      </c>
      <c r="BH101" s="48">
        <v>20</v>
      </c>
      <c r="BI101" s="49">
        <v>95.23809523809524</v>
      </c>
      <c r="BJ101" s="48">
        <v>21</v>
      </c>
      <c r="BK101" s="48"/>
      <c r="BL101" s="48"/>
      <c r="BM101" s="48"/>
      <c r="BN101" s="48"/>
      <c r="BO101" s="48" t="s">
        <v>703</v>
      </c>
      <c r="BP101" s="48" t="s">
        <v>703</v>
      </c>
      <c r="BQ101" s="125" t="s">
        <v>3093</v>
      </c>
      <c r="BR101" s="125" t="s">
        <v>3093</v>
      </c>
      <c r="BS101" s="125" t="s">
        <v>3122</v>
      </c>
      <c r="BT101" s="125" t="s">
        <v>3122</v>
      </c>
      <c r="BU101" s="2"/>
      <c r="BV101" s="3"/>
      <c r="BW101" s="3"/>
      <c r="BX101" s="3"/>
      <c r="BY101" s="3"/>
    </row>
    <row r="102" spans="1:77" ht="15">
      <c r="A102" s="66" t="s">
        <v>509</v>
      </c>
      <c r="B102" s="67"/>
      <c r="C102" s="67"/>
      <c r="D102" s="68">
        <v>293.4609263157895</v>
      </c>
      <c r="E102" s="70"/>
      <c r="F102" s="104" t="str">
        <f>HYPERLINK("http://pbs.twimg.com/profile_images/1084755983640027136/buwVTx1D_normal.jpg")</f>
        <v>http://pbs.twimg.com/profile_images/1084755983640027136/buwVTx1D_normal.jpg</v>
      </c>
      <c r="G102" s="67"/>
      <c r="H102" s="71" t="s">
        <v>509</v>
      </c>
      <c r="I102" s="72"/>
      <c r="J102" s="72"/>
      <c r="K102" s="71" t="s">
        <v>2101</v>
      </c>
      <c r="L102" s="75">
        <v>172.64981076506305</v>
      </c>
      <c r="M102" s="76">
        <v>6397.3037109375</v>
      </c>
      <c r="N102" s="76">
        <v>7677.94140625</v>
      </c>
      <c r="O102" s="77"/>
      <c r="P102" s="78"/>
      <c r="Q102" s="78"/>
      <c r="R102" s="90"/>
      <c r="S102" s="48">
        <v>11</v>
      </c>
      <c r="T102" s="48">
        <v>2</v>
      </c>
      <c r="U102" s="49">
        <v>36.757576</v>
      </c>
      <c r="V102" s="49">
        <v>0.025641</v>
      </c>
      <c r="W102" s="49">
        <v>0</v>
      </c>
      <c r="X102" s="49">
        <v>2.631606</v>
      </c>
      <c r="Y102" s="49">
        <v>0.14102564102564102</v>
      </c>
      <c r="Z102" s="49">
        <v>0</v>
      </c>
      <c r="AA102" s="73">
        <v>102</v>
      </c>
      <c r="AB102" s="73"/>
      <c r="AC102" s="74"/>
      <c r="AD102" s="80" t="s">
        <v>1298</v>
      </c>
      <c r="AE102" s="88" t="s">
        <v>1520</v>
      </c>
      <c r="AF102" s="80">
        <v>1242</v>
      </c>
      <c r="AG102" s="80">
        <v>1669</v>
      </c>
      <c r="AH102" s="80">
        <v>2298</v>
      </c>
      <c r="AI102" s="80">
        <v>132</v>
      </c>
      <c r="AJ102" s="80"/>
      <c r="AK102" s="80" t="s">
        <v>1739</v>
      </c>
      <c r="AL102" s="80" t="s">
        <v>1919</v>
      </c>
      <c r="AM102" s="80"/>
      <c r="AN102" s="80"/>
      <c r="AO102" s="82">
        <v>41518.39900462963</v>
      </c>
      <c r="AP102" s="85" t="str">
        <f>HYPERLINK("https://pbs.twimg.com/profile_banners/1718439252/1566400584")</f>
        <v>https://pbs.twimg.com/profile_banners/1718439252/1566400584</v>
      </c>
      <c r="AQ102" s="80" t="b">
        <v>1</v>
      </c>
      <c r="AR102" s="80" t="b">
        <v>0</v>
      </c>
      <c r="AS102" s="80" t="b">
        <v>1</v>
      </c>
      <c r="AT102" s="80"/>
      <c r="AU102" s="80">
        <v>7</v>
      </c>
      <c r="AV102" s="85" t="str">
        <f>HYPERLINK("http://abs.twimg.com/images/themes/theme1/bg.png")</f>
        <v>http://abs.twimg.com/images/themes/theme1/bg.png</v>
      </c>
      <c r="AW102" s="80" t="b">
        <v>0</v>
      </c>
      <c r="AX102" s="80" t="s">
        <v>2002</v>
      </c>
      <c r="AY102" s="85" t="str">
        <f>HYPERLINK("https://twitter.com/jmbgeog")</f>
        <v>https://twitter.com/jmbgeog</v>
      </c>
      <c r="AZ102" s="80" t="s">
        <v>66</v>
      </c>
      <c r="BA102" s="80" t="str">
        <f>REPLACE(INDEX(GroupVertices[Group],MATCH(Vertices[[#This Row],[Vertex]],GroupVertices[Vertex],0)),1,1,"")</f>
        <v>3</v>
      </c>
      <c r="BB102" s="48">
        <v>1</v>
      </c>
      <c r="BC102" s="49">
        <v>4.761904761904762</v>
      </c>
      <c r="BD102" s="48">
        <v>0</v>
      </c>
      <c r="BE102" s="49">
        <v>0</v>
      </c>
      <c r="BF102" s="48">
        <v>0</v>
      </c>
      <c r="BG102" s="49">
        <v>0</v>
      </c>
      <c r="BH102" s="48">
        <v>20</v>
      </c>
      <c r="BI102" s="49">
        <v>95.23809523809524</v>
      </c>
      <c r="BJ102" s="48">
        <v>21</v>
      </c>
      <c r="BK102" s="48" t="s">
        <v>2724</v>
      </c>
      <c r="BL102" s="48" t="s">
        <v>2724</v>
      </c>
      <c r="BM102" s="48" t="s">
        <v>678</v>
      </c>
      <c r="BN102" s="48" t="s">
        <v>678</v>
      </c>
      <c r="BO102" s="48" t="s">
        <v>703</v>
      </c>
      <c r="BP102" s="48" t="s">
        <v>703</v>
      </c>
      <c r="BQ102" s="125" t="s">
        <v>3093</v>
      </c>
      <c r="BR102" s="125" t="s">
        <v>3093</v>
      </c>
      <c r="BS102" s="125" t="s">
        <v>3122</v>
      </c>
      <c r="BT102" s="125" t="s">
        <v>3122</v>
      </c>
      <c r="BU102" s="2"/>
      <c r="BV102" s="3"/>
      <c r="BW102" s="3"/>
      <c r="BX102" s="3"/>
      <c r="BY102" s="3"/>
    </row>
    <row r="103" spans="1:77" ht="15">
      <c r="A103" s="66" t="s">
        <v>438</v>
      </c>
      <c r="B103" s="67"/>
      <c r="C103" s="67"/>
      <c r="D103" s="68">
        <v>100</v>
      </c>
      <c r="E103" s="70"/>
      <c r="F103" s="104" t="str">
        <f>HYPERLINK("http://pbs.twimg.com/profile_images/1150333779573166080/5Gh56cGN_normal.jpg")</f>
        <v>http://pbs.twimg.com/profile_images/1150333779573166080/5Gh56cGN_normal.jpg</v>
      </c>
      <c r="G103" s="67"/>
      <c r="H103" s="71" t="s">
        <v>438</v>
      </c>
      <c r="I103" s="72"/>
      <c r="J103" s="72"/>
      <c r="K103" s="71" t="s">
        <v>2102</v>
      </c>
      <c r="L103" s="75">
        <v>1</v>
      </c>
      <c r="M103" s="76">
        <v>2677.341552734375</v>
      </c>
      <c r="N103" s="76">
        <v>4276.5380859375</v>
      </c>
      <c r="O103" s="77"/>
      <c r="P103" s="78"/>
      <c r="Q103" s="78"/>
      <c r="R103" s="90"/>
      <c r="S103" s="48">
        <v>0</v>
      </c>
      <c r="T103" s="48">
        <v>2</v>
      </c>
      <c r="U103" s="49">
        <v>0</v>
      </c>
      <c r="V103" s="49">
        <v>0.013158</v>
      </c>
      <c r="W103" s="49">
        <v>0.021547</v>
      </c>
      <c r="X103" s="49">
        <v>0.566735</v>
      </c>
      <c r="Y103" s="49">
        <v>1</v>
      </c>
      <c r="Z103" s="49">
        <v>0</v>
      </c>
      <c r="AA103" s="73">
        <v>103</v>
      </c>
      <c r="AB103" s="73"/>
      <c r="AC103" s="74"/>
      <c r="AD103" s="80" t="s">
        <v>1299</v>
      </c>
      <c r="AE103" s="88" t="s">
        <v>1521</v>
      </c>
      <c r="AF103" s="80">
        <v>2664</v>
      </c>
      <c r="AG103" s="80">
        <v>2749</v>
      </c>
      <c r="AH103" s="80">
        <v>45669</v>
      </c>
      <c r="AI103" s="80">
        <v>43837</v>
      </c>
      <c r="AJ103" s="80"/>
      <c r="AK103" s="80" t="s">
        <v>1740</v>
      </c>
      <c r="AL103" s="80" t="s">
        <v>1920</v>
      </c>
      <c r="AM103" s="85" t="str">
        <f>HYPERLINK("https://t.co/kb18gYplbX")</f>
        <v>https://t.co/kb18gYplbX</v>
      </c>
      <c r="AN103" s="80"/>
      <c r="AO103" s="82">
        <v>40411.30388888889</v>
      </c>
      <c r="AP103" s="85" t="str">
        <f>HYPERLINK("https://pbs.twimg.com/profile_banners/181091752/1563018508")</f>
        <v>https://pbs.twimg.com/profile_banners/181091752/1563018508</v>
      </c>
      <c r="AQ103" s="80" t="b">
        <v>0</v>
      </c>
      <c r="AR103" s="80" t="b">
        <v>0</v>
      </c>
      <c r="AS103" s="80" t="b">
        <v>0</v>
      </c>
      <c r="AT103" s="80"/>
      <c r="AU103" s="80">
        <v>304</v>
      </c>
      <c r="AV103" s="85" t="str">
        <f>HYPERLINK("http://abs.twimg.com/images/themes/theme1/bg.png")</f>
        <v>http://abs.twimg.com/images/themes/theme1/bg.png</v>
      </c>
      <c r="AW103" s="80" t="b">
        <v>0</v>
      </c>
      <c r="AX103" s="80" t="s">
        <v>2002</v>
      </c>
      <c r="AY103" s="85" t="str">
        <f>HYPERLINK("https://twitter.com/eoinmcfadden")</f>
        <v>https://twitter.com/eoinmcfadden</v>
      </c>
      <c r="AZ103" s="80" t="s">
        <v>66</v>
      </c>
      <c r="BA103" s="80" t="str">
        <f>REPLACE(INDEX(GroupVertices[Group],MATCH(Vertices[[#This Row],[Vertex]],GroupVertices[Vertex],0)),1,1,"")</f>
        <v>2</v>
      </c>
      <c r="BB103" s="48">
        <v>3</v>
      </c>
      <c r="BC103" s="49">
        <v>7.5</v>
      </c>
      <c r="BD103" s="48">
        <v>0</v>
      </c>
      <c r="BE103" s="49">
        <v>0</v>
      </c>
      <c r="BF103" s="48">
        <v>0</v>
      </c>
      <c r="BG103" s="49">
        <v>0</v>
      </c>
      <c r="BH103" s="48">
        <v>37</v>
      </c>
      <c r="BI103" s="49">
        <v>92.5</v>
      </c>
      <c r="BJ103" s="48">
        <v>40</v>
      </c>
      <c r="BK103" s="48"/>
      <c r="BL103" s="48"/>
      <c r="BM103" s="48"/>
      <c r="BN103" s="48"/>
      <c r="BO103" s="48"/>
      <c r="BP103" s="48"/>
      <c r="BQ103" s="125" t="s">
        <v>3088</v>
      </c>
      <c r="BR103" s="125" t="s">
        <v>3088</v>
      </c>
      <c r="BS103" s="125" t="s">
        <v>2976</v>
      </c>
      <c r="BT103" s="125" t="s">
        <v>2976</v>
      </c>
      <c r="BU103" s="2"/>
      <c r="BV103" s="3"/>
      <c r="BW103" s="3"/>
      <c r="BX103" s="3"/>
      <c r="BY103" s="3"/>
    </row>
    <row r="104" spans="1:77" ht="15">
      <c r="A104" s="66" t="s">
        <v>439</v>
      </c>
      <c r="B104" s="67"/>
      <c r="C104" s="67"/>
      <c r="D104" s="68">
        <v>100</v>
      </c>
      <c r="E104" s="70"/>
      <c r="F104" s="104" t="str">
        <f>HYPERLINK("http://pbs.twimg.com/profile_images/1270622425563217921/tU7vG6JV_normal.jpg")</f>
        <v>http://pbs.twimg.com/profile_images/1270622425563217921/tU7vG6JV_normal.jpg</v>
      </c>
      <c r="G104" s="67"/>
      <c r="H104" s="71" t="s">
        <v>439</v>
      </c>
      <c r="I104" s="72"/>
      <c r="J104" s="72"/>
      <c r="K104" s="71" t="s">
        <v>2103</v>
      </c>
      <c r="L104" s="75">
        <v>1</v>
      </c>
      <c r="M104" s="76">
        <v>1963.99951171875</v>
      </c>
      <c r="N104" s="76">
        <v>155.33128356933594</v>
      </c>
      <c r="O104" s="77"/>
      <c r="P104" s="78"/>
      <c r="Q104" s="78"/>
      <c r="R104" s="90"/>
      <c r="S104" s="48">
        <v>0</v>
      </c>
      <c r="T104" s="48">
        <v>2</v>
      </c>
      <c r="U104" s="49">
        <v>0</v>
      </c>
      <c r="V104" s="49">
        <v>0.013158</v>
      </c>
      <c r="W104" s="49">
        <v>0.021547</v>
      </c>
      <c r="X104" s="49">
        <v>0.566735</v>
      </c>
      <c r="Y104" s="49">
        <v>1</v>
      </c>
      <c r="Z104" s="49">
        <v>0</v>
      </c>
      <c r="AA104" s="73">
        <v>104</v>
      </c>
      <c r="AB104" s="73"/>
      <c r="AC104" s="74"/>
      <c r="AD104" s="80" t="s">
        <v>1300</v>
      </c>
      <c r="AE104" s="88" t="s">
        <v>1522</v>
      </c>
      <c r="AF104" s="80">
        <v>590</v>
      </c>
      <c r="AG104" s="80">
        <v>1248</v>
      </c>
      <c r="AH104" s="80">
        <v>15280</v>
      </c>
      <c r="AI104" s="80">
        <v>22018</v>
      </c>
      <c r="AJ104" s="80"/>
      <c r="AK104" s="80" t="s">
        <v>1741</v>
      </c>
      <c r="AL104" s="80" t="s">
        <v>1921</v>
      </c>
      <c r="AM104" s="85" t="str">
        <f>HYPERLINK("https://t.co/voBb8pWleN")</f>
        <v>https://t.co/voBb8pWleN</v>
      </c>
      <c r="AN104" s="80"/>
      <c r="AO104" s="82">
        <v>41340.462696759256</v>
      </c>
      <c r="AP104" s="85" t="str">
        <f>HYPERLINK("https://pbs.twimg.com/profile_banners/1248497546/1584795404")</f>
        <v>https://pbs.twimg.com/profile_banners/1248497546/1584795404</v>
      </c>
      <c r="AQ104" s="80" t="b">
        <v>1</v>
      </c>
      <c r="AR104" s="80" t="b">
        <v>0</v>
      </c>
      <c r="AS104" s="80" t="b">
        <v>0</v>
      </c>
      <c r="AT104" s="80"/>
      <c r="AU104" s="80">
        <v>108</v>
      </c>
      <c r="AV104" s="85" t="str">
        <f>HYPERLINK("http://abs.twimg.com/images/themes/theme1/bg.png")</f>
        <v>http://abs.twimg.com/images/themes/theme1/bg.png</v>
      </c>
      <c r="AW104" s="80" t="b">
        <v>0</v>
      </c>
      <c r="AX104" s="80" t="s">
        <v>2002</v>
      </c>
      <c r="AY104" s="85" t="str">
        <f>HYPERLINK("https://twitter.com/jasonbelldata")</f>
        <v>https://twitter.com/jasonbelldata</v>
      </c>
      <c r="AZ104" s="80" t="s">
        <v>66</v>
      </c>
      <c r="BA104" s="80" t="str">
        <f>REPLACE(INDEX(GroupVertices[Group],MATCH(Vertices[[#This Row],[Vertex]],GroupVertices[Vertex],0)),1,1,"")</f>
        <v>2</v>
      </c>
      <c r="BB104" s="48">
        <v>3</v>
      </c>
      <c r="BC104" s="49">
        <v>7.5</v>
      </c>
      <c r="BD104" s="48">
        <v>0</v>
      </c>
      <c r="BE104" s="49">
        <v>0</v>
      </c>
      <c r="BF104" s="48">
        <v>0</v>
      </c>
      <c r="BG104" s="49">
        <v>0</v>
      </c>
      <c r="BH104" s="48">
        <v>37</v>
      </c>
      <c r="BI104" s="49">
        <v>92.5</v>
      </c>
      <c r="BJ104" s="48">
        <v>40</v>
      </c>
      <c r="BK104" s="48"/>
      <c r="BL104" s="48"/>
      <c r="BM104" s="48"/>
      <c r="BN104" s="48"/>
      <c r="BO104" s="48"/>
      <c r="BP104" s="48"/>
      <c r="BQ104" s="125" t="s">
        <v>3088</v>
      </c>
      <c r="BR104" s="125" t="s">
        <v>3088</v>
      </c>
      <c r="BS104" s="125" t="s">
        <v>2976</v>
      </c>
      <c r="BT104" s="125" t="s">
        <v>2976</v>
      </c>
      <c r="BU104" s="2"/>
      <c r="BV104" s="3"/>
      <c r="BW104" s="3"/>
      <c r="BX104" s="3"/>
      <c r="BY104" s="3"/>
    </row>
    <row r="105" spans="1:77" ht="15">
      <c r="A105" s="66" t="s">
        <v>440</v>
      </c>
      <c r="B105" s="67"/>
      <c r="C105" s="67"/>
      <c r="D105" s="68">
        <v>100</v>
      </c>
      <c r="E105" s="70"/>
      <c r="F105" s="104" t="str">
        <f>HYPERLINK("http://pbs.twimg.com/profile_images/2695904339/942121048881be1d5f306d6df33688be_normal.jpeg")</f>
        <v>http://pbs.twimg.com/profile_images/2695904339/942121048881be1d5f306d6df33688be_normal.jpeg</v>
      </c>
      <c r="G105" s="67"/>
      <c r="H105" s="71" t="s">
        <v>440</v>
      </c>
      <c r="I105" s="72"/>
      <c r="J105" s="72"/>
      <c r="K105" s="71" t="s">
        <v>2104</v>
      </c>
      <c r="L105" s="75">
        <v>1</v>
      </c>
      <c r="M105" s="76">
        <v>114.10748291015625</v>
      </c>
      <c r="N105" s="76">
        <v>1989.2515869140625</v>
      </c>
      <c r="O105" s="77"/>
      <c r="P105" s="78"/>
      <c r="Q105" s="78"/>
      <c r="R105" s="90"/>
      <c r="S105" s="48">
        <v>0</v>
      </c>
      <c r="T105" s="48">
        <v>1</v>
      </c>
      <c r="U105" s="49">
        <v>0</v>
      </c>
      <c r="V105" s="49">
        <v>0.012987</v>
      </c>
      <c r="W105" s="49">
        <v>0.011445</v>
      </c>
      <c r="X105" s="49">
        <v>0.359282</v>
      </c>
      <c r="Y105" s="49">
        <v>0</v>
      </c>
      <c r="Z105" s="49">
        <v>0</v>
      </c>
      <c r="AA105" s="73">
        <v>105</v>
      </c>
      <c r="AB105" s="73"/>
      <c r="AC105" s="74"/>
      <c r="AD105" s="80" t="s">
        <v>1301</v>
      </c>
      <c r="AE105" s="88" t="s">
        <v>1523</v>
      </c>
      <c r="AF105" s="80">
        <v>261</v>
      </c>
      <c r="AG105" s="80">
        <v>264</v>
      </c>
      <c r="AH105" s="80">
        <v>2391</v>
      </c>
      <c r="AI105" s="80">
        <v>4467</v>
      </c>
      <c r="AJ105" s="80"/>
      <c r="AK105" s="80" t="s">
        <v>1742</v>
      </c>
      <c r="AL105" s="80" t="s">
        <v>1922</v>
      </c>
      <c r="AM105" s="80"/>
      <c r="AN105" s="80"/>
      <c r="AO105" s="82">
        <v>40214.88949074074</v>
      </c>
      <c r="AP105" s="80"/>
      <c r="AQ105" s="80" t="b">
        <v>0</v>
      </c>
      <c r="AR105" s="80" t="b">
        <v>0</v>
      </c>
      <c r="AS105" s="80" t="b">
        <v>1</v>
      </c>
      <c r="AT105" s="80"/>
      <c r="AU105" s="80">
        <v>50</v>
      </c>
      <c r="AV105" s="85" t="str">
        <f>HYPERLINK("http://abs.twimg.com/images/themes/theme1/bg.png")</f>
        <v>http://abs.twimg.com/images/themes/theme1/bg.png</v>
      </c>
      <c r="AW105" s="80" t="b">
        <v>0</v>
      </c>
      <c r="AX105" s="80" t="s">
        <v>2002</v>
      </c>
      <c r="AY105" s="85" t="str">
        <f>HYPERLINK("https://twitter.com/mortlin")</f>
        <v>https://twitter.com/mortlin</v>
      </c>
      <c r="AZ105" s="80" t="s">
        <v>66</v>
      </c>
      <c r="BA105" s="80" t="str">
        <f>REPLACE(INDEX(GroupVertices[Group],MATCH(Vertices[[#This Row],[Vertex]],GroupVertices[Vertex],0)),1,1,"")</f>
        <v>2</v>
      </c>
      <c r="BB105" s="48">
        <v>1</v>
      </c>
      <c r="BC105" s="49">
        <v>4.545454545454546</v>
      </c>
      <c r="BD105" s="48">
        <v>1</v>
      </c>
      <c r="BE105" s="49">
        <v>4.545454545454546</v>
      </c>
      <c r="BF105" s="48">
        <v>0</v>
      </c>
      <c r="BG105" s="49">
        <v>0</v>
      </c>
      <c r="BH105" s="48">
        <v>20</v>
      </c>
      <c r="BI105" s="49">
        <v>90.9090909090909</v>
      </c>
      <c r="BJ105" s="48">
        <v>22</v>
      </c>
      <c r="BK105" s="48"/>
      <c r="BL105" s="48"/>
      <c r="BM105" s="48"/>
      <c r="BN105" s="48"/>
      <c r="BO105" s="48" t="s">
        <v>699</v>
      </c>
      <c r="BP105" s="48" t="s">
        <v>699</v>
      </c>
      <c r="BQ105" s="125" t="s">
        <v>3094</v>
      </c>
      <c r="BR105" s="125" t="s">
        <v>3094</v>
      </c>
      <c r="BS105" s="125" t="s">
        <v>3119</v>
      </c>
      <c r="BT105" s="125" t="s">
        <v>3119</v>
      </c>
      <c r="BU105" s="2"/>
      <c r="BV105" s="3"/>
      <c r="BW105" s="3"/>
      <c r="BX105" s="3"/>
      <c r="BY105" s="3"/>
    </row>
    <row r="106" spans="1:77" ht="15">
      <c r="A106" s="66" t="s">
        <v>441</v>
      </c>
      <c r="B106" s="67"/>
      <c r="C106" s="67"/>
      <c r="D106" s="68">
        <v>100</v>
      </c>
      <c r="E106" s="70"/>
      <c r="F106" s="104" t="str">
        <f>HYPERLINK("http://pbs.twimg.com/profile_images/1172140587803451394/qMUerOdK_normal.jpg")</f>
        <v>http://pbs.twimg.com/profile_images/1172140587803451394/qMUerOdK_normal.jpg</v>
      </c>
      <c r="G106" s="67"/>
      <c r="H106" s="71" t="s">
        <v>441</v>
      </c>
      <c r="I106" s="72"/>
      <c r="J106" s="72"/>
      <c r="K106" s="71" t="s">
        <v>2105</v>
      </c>
      <c r="L106" s="75">
        <v>1</v>
      </c>
      <c r="M106" s="76">
        <v>1540.99169921875</v>
      </c>
      <c r="N106" s="76">
        <v>267.58416748046875</v>
      </c>
      <c r="O106" s="77"/>
      <c r="P106" s="78"/>
      <c r="Q106" s="78"/>
      <c r="R106" s="90"/>
      <c r="S106" s="48">
        <v>0</v>
      </c>
      <c r="T106" s="48">
        <v>2</v>
      </c>
      <c r="U106" s="49">
        <v>0</v>
      </c>
      <c r="V106" s="49">
        <v>0.013158</v>
      </c>
      <c r="W106" s="49">
        <v>0.021547</v>
      </c>
      <c r="X106" s="49">
        <v>0.566735</v>
      </c>
      <c r="Y106" s="49">
        <v>1</v>
      </c>
      <c r="Z106" s="49">
        <v>0</v>
      </c>
      <c r="AA106" s="73">
        <v>106</v>
      </c>
      <c r="AB106" s="73"/>
      <c r="AC106" s="74"/>
      <c r="AD106" s="80" t="s">
        <v>1302</v>
      </c>
      <c r="AE106" s="88" t="s">
        <v>1524</v>
      </c>
      <c r="AF106" s="80">
        <v>935</v>
      </c>
      <c r="AG106" s="80">
        <v>638</v>
      </c>
      <c r="AH106" s="80">
        <v>1157</v>
      </c>
      <c r="AI106" s="80">
        <v>1419</v>
      </c>
      <c r="AJ106" s="80"/>
      <c r="AK106" s="80" t="s">
        <v>1743</v>
      </c>
      <c r="AL106" s="80" t="s">
        <v>1871</v>
      </c>
      <c r="AM106" s="80"/>
      <c r="AN106" s="80"/>
      <c r="AO106" s="82">
        <v>40911.53327546296</v>
      </c>
      <c r="AP106" s="85" t="str">
        <f>HYPERLINK("https://pbs.twimg.com/profile_banners/453929951/1550420208")</f>
        <v>https://pbs.twimg.com/profile_banners/453929951/1550420208</v>
      </c>
      <c r="AQ106" s="80" t="b">
        <v>0</v>
      </c>
      <c r="AR106" s="80" t="b">
        <v>0</v>
      </c>
      <c r="AS106" s="80" t="b">
        <v>0</v>
      </c>
      <c r="AT106" s="80"/>
      <c r="AU106" s="80">
        <v>12</v>
      </c>
      <c r="AV106" s="85" t="str">
        <f>HYPERLINK("http://abs.twimg.com/images/themes/theme16/bg.gif")</f>
        <v>http://abs.twimg.com/images/themes/theme16/bg.gif</v>
      </c>
      <c r="AW106" s="80" t="b">
        <v>0</v>
      </c>
      <c r="AX106" s="80" t="s">
        <v>2002</v>
      </c>
      <c r="AY106" s="85" t="str">
        <f>HYPERLINK("https://twitter.com/cariannewhit")</f>
        <v>https://twitter.com/cariannewhit</v>
      </c>
      <c r="AZ106" s="80" t="s">
        <v>66</v>
      </c>
      <c r="BA106" s="80" t="str">
        <f>REPLACE(INDEX(GroupVertices[Group],MATCH(Vertices[[#This Row],[Vertex]],GroupVertices[Vertex],0)),1,1,"")</f>
        <v>2</v>
      </c>
      <c r="BB106" s="48">
        <v>3</v>
      </c>
      <c r="BC106" s="49">
        <v>7.5</v>
      </c>
      <c r="BD106" s="48">
        <v>0</v>
      </c>
      <c r="BE106" s="49">
        <v>0</v>
      </c>
      <c r="BF106" s="48">
        <v>0</v>
      </c>
      <c r="BG106" s="49">
        <v>0</v>
      </c>
      <c r="BH106" s="48">
        <v>37</v>
      </c>
      <c r="BI106" s="49">
        <v>92.5</v>
      </c>
      <c r="BJ106" s="48">
        <v>40</v>
      </c>
      <c r="BK106" s="48"/>
      <c r="BL106" s="48"/>
      <c r="BM106" s="48"/>
      <c r="BN106" s="48"/>
      <c r="BO106" s="48"/>
      <c r="BP106" s="48"/>
      <c r="BQ106" s="125" t="s">
        <v>3088</v>
      </c>
      <c r="BR106" s="125" t="s">
        <v>3088</v>
      </c>
      <c r="BS106" s="125" t="s">
        <v>2976</v>
      </c>
      <c r="BT106" s="125" t="s">
        <v>2976</v>
      </c>
      <c r="BU106" s="2"/>
      <c r="BV106" s="3"/>
      <c r="BW106" s="3"/>
      <c r="BX106" s="3"/>
      <c r="BY106" s="3"/>
    </row>
    <row r="107" spans="1:77" ht="15">
      <c r="A107" s="66" t="s">
        <v>442</v>
      </c>
      <c r="B107" s="67"/>
      <c r="C107" s="67"/>
      <c r="D107" s="68">
        <v>100</v>
      </c>
      <c r="E107" s="70"/>
      <c r="F107" s="104" t="str">
        <f>HYPERLINK("http://pbs.twimg.com/profile_images/1263206771461632000/gINCRVso_normal.jpg")</f>
        <v>http://pbs.twimg.com/profile_images/1263206771461632000/gINCRVso_normal.jpg</v>
      </c>
      <c r="G107" s="67"/>
      <c r="H107" s="71" t="s">
        <v>442</v>
      </c>
      <c r="I107" s="72"/>
      <c r="J107" s="72"/>
      <c r="K107" s="71" t="s">
        <v>2106</v>
      </c>
      <c r="L107" s="75">
        <v>1</v>
      </c>
      <c r="M107" s="76">
        <v>3117.12109375</v>
      </c>
      <c r="N107" s="76">
        <v>4123.5361328125</v>
      </c>
      <c r="O107" s="77"/>
      <c r="P107" s="78"/>
      <c r="Q107" s="78"/>
      <c r="R107" s="90"/>
      <c r="S107" s="48">
        <v>0</v>
      </c>
      <c r="T107" s="48">
        <v>2</v>
      </c>
      <c r="U107" s="49">
        <v>0</v>
      </c>
      <c r="V107" s="49">
        <v>0.013158</v>
      </c>
      <c r="W107" s="49">
        <v>0.021547</v>
      </c>
      <c r="X107" s="49">
        <v>0.566735</v>
      </c>
      <c r="Y107" s="49">
        <v>1</v>
      </c>
      <c r="Z107" s="49">
        <v>0</v>
      </c>
      <c r="AA107" s="73">
        <v>107</v>
      </c>
      <c r="AB107" s="73"/>
      <c r="AC107" s="74"/>
      <c r="AD107" s="80" t="s">
        <v>1303</v>
      </c>
      <c r="AE107" s="88" t="s">
        <v>1525</v>
      </c>
      <c r="AF107" s="80">
        <v>3476</v>
      </c>
      <c r="AG107" s="80">
        <v>8314</v>
      </c>
      <c r="AH107" s="80">
        <v>9850</v>
      </c>
      <c r="AI107" s="80">
        <v>8631</v>
      </c>
      <c r="AJ107" s="80"/>
      <c r="AK107" s="80" t="s">
        <v>1744</v>
      </c>
      <c r="AL107" s="80" t="s">
        <v>1923</v>
      </c>
      <c r="AM107" s="85" t="str">
        <f>HYPERLINK("https://t.co/Zf622CiNo4")</f>
        <v>https://t.co/Zf622CiNo4</v>
      </c>
      <c r="AN107" s="80"/>
      <c r="AO107" s="82">
        <v>39841.00732638889</v>
      </c>
      <c r="AP107" s="85" t="str">
        <f>HYPERLINK("https://pbs.twimg.com/profile_banners/19626301/1433796735")</f>
        <v>https://pbs.twimg.com/profile_banners/19626301/1433796735</v>
      </c>
      <c r="AQ107" s="80" t="b">
        <v>0</v>
      </c>
      <c r="AR107" s="80" t="b">
        <v>0</v>
      </c>
      <c r="AS107" s="80" t="b">
        <v>1</v>
      </c>
      <c r="AT107" s="80"/>
      <c r="AU107" s="80">
        <v>156</v>
      </c>
      <c r="AV107" s="85" t="str">
        <f>HYPERLINK("http://abs.twimg.com/images/themes/theme5/bg.gif")</f>
        <v>http://abs.twimg.com/images/themes/theme5/bg.gif</v>
      </c>
      <c r="AW107" s="80" t="b">
        <v>0</v>
      </c>
      <c r="AX107" s="80" t="s">
        <v>2002</v>
      </c>
      <c r="AY107" s="85" t="str">
        <f>HYPERLINK("https://twitter.com/meandvan")</f>
        <v>https://twitter.com/meandvan</v>
      </c>
      <c r="AZ107" s="80" t="s">
        <v>66</v>
      </c>
      <c r="BA107" s="80" t="str">
        <f>REPLACE(INDEX(GroupVertices[Group],MATCH(Vertices[[#This Row],[Vertex]],GroupVertices[Vertex],0)),1,1,"")</f>
        <v>2</v>
      </c>
      <c r="BB107" s="48">
        <v>3</v>
      </c>
      <c r="BC107" s="49">
        <v>7.5</v>
      </c>
      <c r="BD107" s="48">
        <v>0</v>
      </c>
      <c r="BE107" s="49">
        <v>0</v>
      </c>
      <c r="BF107" s="48">
        <v>0</v>
      </c>
      <c r="BG107" s="49">
        <v>0</v>
      </c>
      <c r="BH107" s="48">
        <v>37</v>
      </c>
      <c r="BI107" s="49">
        <v>92.5</v>
      </c>
      <c r="BJ107" s="48">
        <v>40</v>
      </c>
      <c r="BK107" s="48"/>
      <c r="BL107" s="48"/>
      <c r="BM107" s="48"/>
      <c r="BN107" s="48"/>
      <c r="BO107" s="48"/>
      <c r="BP107" s="48"/>
      <c r="BQ107" s="125" t="s">
        <v>3088</v>
      </c>
      <c r="BR107" s="125" t="s">
        <v>3088</v>
      </c>
      <c r="BS107" s="125" t="s">
        <v>2976</v>
      </c>
      <c r="BT107" s="125" t="s">
        <v>2976</v>
      </c>
      <c r="BU107" s="2"/>
      <c r="BV107" s="3"/>
      <c r="BW107" s="3"/>
      <c r="BX107" s="3"/>
      <c r="BY107" s="3"/>
    </row>
    <row r="108" spans="1:77" ht="15">
      <c r="A108" s="66" t="s">
        <v>443</v>
      </c>
      <c r="B108" s="67"/>
      <c r="C108" s="67"/>
      <c r="D108" s="68">
        <v>100</v>
      </c>
      <c r="E108" s="70"/>
      <c r="F108" s="104" t="str">
        <f>HYPERLINK("http://pbs.twimg.com/profile_images/1170012838229893120/5m-z9bsb_normal.jpg")</f>
        <v>http://pbs.twimg.com/profile_images/1170012838229893120/5m-z9bsb_normal.jpg</v>
      </c>
      <c r="G108" s="67"/>
      <c r="H108" s="71" t="s">
        <v>443</v>
      </c>
      <c r="I108" s="72"/>
      <c r="J108" s="72"/>
      <c r="K108" s="71" t="s">
        <v>2107</v>
      </c>
      <c r="L108" s="75">
        <v>1</v>
      </c>
      <c r="M108" s="76">
        <v>3088.388916015625</v>
      </c>
      <c r="N108" s="76">
        <v>1736.0614013671875</v>
      </c>
      <c r="O108" s="77"/>
      <c r="P108" s="78"/>
      <c r="Q108" s="78"/>
      <c r="R108" s="90"/>
      <c r="S108" s="48">
        <v>0</v>
      </c>
      <c r="T108" s="48">
        <v>2</v>
      </c>
      <c r="U108" s="49">
        <v>0</v>
      </c>
      <c r="V108" s="49">
        <v>0.013158</v>
      </c>
      <c r="W108" s="49">
        <v>0.021547</v>
      </c>
      <c r="X108" s="49">
        <v>0.566735</v>
      </c>
      <c r="Y108" s="49">
        <v>1</v>
      </c>
      <c r="Z108" s="49">
        <v>0</v>
      </c>
      <c r="AA108" s="73">
        <v>108</v>
      </c>
      <c r="AB108" s="73"/>
      <c r="AC108" s="74"/>
      <c r="AD108" s="80" t="s">
        <v>1304</v>
      </c>
      <c r="AE108" s="88" t="s">
        <v>1526</v>
      </c>
      <c r="AF108" s="80">
        <v>433</v>
      </c>
      <c r="AG108" s="80">
        <v>797</v>
      </c>
      <c r="AH108" s="80">
        <v>3218</v>
      </c>
      <c r="AI108" s="80">
        <v>3357</v>
      </c>
      <c r="AJ108" s="80"/>
      <c r="AK108" s="88" t="s">
        <v>1745</v>
      </c>
      <c r="AL108" s="80" t="s">
        <v>1924</v>
      </c>
      <c r="AM108" s="80"/>
      <c r="AN108" s="80"/>
      <c r="AO108" s="82">
        <v>39934.40045138889</v>
      </c>
      <c r="AP108" s="85" t="str">
        <f>HYPERLINK("https://pbs.twimg.com/profile_banners/36914837/1567787925")</f>
        <v>https://pbs.twimg.com/profile_banners/36914837/1567787925</v>
      </c>
      <c r="AQ108" s="80" t="b">
        <v>1</v>
      </c>
      <c r="AR108" s="80" t="b">
        <v>0</v>
      </c>
      <c r="AS108" s="80" t="b">
        <v>1</v>
      </c>
      <c r="AT108" s="80"/>
      <c r="AU108" s="80">
        <v>49</v>
      </c>
      <c r="AV108" s="85" t="str">
        <f>HYPERLINK("http://abs.twimg.com/images/themes/theme1/bg.png")</f>
        <v>http://abs.twimg.com/images/themes/theme1/bg.png</v>
      </c>
      <c r="AW108" s="80" t="b">
        <v>0</v>
      </c>
      <c r="AX108" s="80" t="s">
        <v>2002</v>
      </c>
      <c r="AY108" s="85" t="str">
        <f>HYPERLINK("https://twitter.com/timbrooks100")</f>
        <v>https://twitter.com/timbrooks100</v>
      </c>
      <c r="AZ108" s="80" t="s">
        <v>66</v>
      </c>
      <c r="BA108" s="80" t="str">
        <f>REPLACE(INDEX(GroupVertices[Group],MATCH(Vertices[[#This Row],[Vertex]],GroupVertices[Vertex],0)),1,1,"")</f>
        <v>2</v>
      </c>
      <c r="BB108" s="48">
        <v>3</v>
      </c>
      <c r="BC108" s="49">
        <v>7.5</v>
      </c>
      <c r="BD108" s="48">
        <v>0</v>
      </c>
      <c r="BE108" s="49">
        <v>0</v>
      </c>
      <c r="BF108" s="48">
        <v>0</v>
      </c>
      <c r="BG108" s="49">
        <v>0</v>
      </c>
      <c r="BH108" s="48">
        <v>37</v>
      </c>
      <c r="BI108" s="49">
        <v>92.5</v>
      </c>
      <c r="BJ108" s="48">
        <v>40</v>
      </c>
      <c r="BK108" s="48"/>
      <c r="BL108" s="48"/>
      <c r="BM108" s="48"/>
      <c r="BN108" s="48"/>
      <c r="BO108" s="48"/>
      <c r="BP108" s="48"/>
      <c r="BQ108" s="125" t="s">
        <v>3088</v>
      </c>
      <c r="BR108" s="125" t="s">
        <v>3088</v>
      </c>
      <c r="BS108" s="125" t="s">
        <v>2976</v>
      </c>
      <c r="BT108" s="125" t="s">
        <v>2976</v>
      </c>
      <c r="BU108" s="2"/>
      <c r="BV108" s="3"/>
      <c r="BW108" s="3"/>
      <c r="BX108" s="3"/>
      <c r="BY108" s="3"/>
    </row>
    <row r="109" spans="1:77" ht="15">
      <c r="A109" s="66" t="s">
        <v>444</v>
      </c>
      <c r="B109" s="67"/>
      <c r="C109" s="67"/>
      <c r="D109" s="68">
        <v>100.47846842105263</v>
      </c>
      <c r="E109" s="70"/>
      <c r="F109" s="104" t="str">
        <f>HYPERLINK("http://pbs.twimg.com/profile_images/1032898545890852864/E1wkA-VS_normal.jpg")</f>
        <v>http://pbs.twimg.com/profile_images/1032898545890852864/E1wkA-VS_normal.jpg</v>
      </c>
      <c r="G109" s="67"/>
      <c r="H109" s="71" t="s">
        <v>444</v>
      </c>
      <c r="I109" s="72"/>
      <c r="J109" s="72"/>
      <c r="K109" s="71" t="s">
        <v>2108</v>
      </c>
      <c r="L109" s="75">
        <v>1.4245250733302195</v>
      </c>
      <c r="M109" s="76">
        <v>6524.49951171875</v>
      </c>
      <c r="N109" s="76">
        <v>7022.97998046875</v>
      </c>
      <c r="O109" s="77"/>
      <c r="P109" s="78"/>
      <c r="Q109" s="78"/>
      <c r="R109" s="90"/>
      <c r="S109" s="48">
        <v>0</v>
      </c>
      <c r="T109" s="48">
        <v>3</v>
      </c>
      <c r="U109" s="49">
        <v>0.090909</v>
      </c>
      <c r="V109" s="49">
        <v>0.020408</v>
      </c>
      <c r="W109" s="49">
        <v>0</v>
      </c>
      <c r="X109" s="49">
        <v>0.681054</v>
      </c>
      <c r="Y109" s="49">
        <v>0.3333333333333333</v>
      </c>
      <c r="Z109" s="49">
        <v>0</v>
      </c>
      <c r="AA109" s="73">
        <v>109</v>
      </c>
      <c r="AB109" s="73"/>
      <c r="AC109" s="74"/>
      <c r="AD109" s="80" t="s">
        <v>1305</v>
      </c>
      <c r="AE109" s="88" t="s">
        <v>1527</v>
      </c>
      <c r="AF109" s="80">
        <v>477</v>
      </c>
      <c r="AG109" s="80">
        <v>304</v>
      </c>
      <c r="AH109" s="80">
        <v>3081</v>
      </c>
      <c r="AI109" s="80">
        <v>2882</v>
      </c>
      <c r="AJ109" s="80"/>
      <c r="AK109" s="80" t="s">
        <v>1746</v>
      </c>
      <c r="AL109" s="80" t="s">
        <v>1925</v>
      </c>
      <c r="AM109" s="80"/>
      <c r="AN109" s="80"/>
      <c r="AO109" s="82">
        <v>43336.23085648148</v>
      </c>
      <c r="AP109" s="85" t="str">
        <f>HYPERLINK("https://pbs.twimg.com/profile_banners/1032863180748406785/1586344260")</f>
        <v>https://pbs.twimg.com/profile_banners/1032863180748406785/1586344260</v>
      </c>
      <c r="AQ109" s="80" t="b">
        <v>1</v>
      </c>
      <c r="AR109" s="80" t="b">
        <v>0</v>
      </c>
      <c r="AS109" s="80" t="b">
        <v>0</v>
      </c>
      <c r="AT109" s="80"/>
      <c r="AU109" s="80">
        <v>0</v>
      </c>
      <c r="AV109" s="80"/>
      <c r="AW109" s="80" t="b">
        <v>0</v>
      </c>
      <c r="AX109" s="80" t="s">
        <v>2002</v>
      </c>
      <c r="AY109" s="85" t="str">
        <f>HYPERLINK("https://twitter.com/frankhannigan5")</f>
        <v>https://twitter.com/frankhannigan5</v>
      </c>
      <c r="AZ109" s="80" t="s">
        <v>66</v>
      </c>
      <c r="BA109" s="80" t="str">
        <f>REPLACE(INDEX(GroupVertices[Group],MATCH(Vertices[[#This Row],[Vertex]],GroupVertices[Vertex],0)),1,1,"")</f>
        <v>3</v>
      </c>
      <c r="BB109" s="48">
        <v>1</v>
      </c>
      <c r="BC109" s="49">
        <v>4.761904761904762</v>
      </c>
      <c r="BD109" s="48">
        <v>0</v>
      </c>
      <c r="BE109" s="49">
        <v>0</v>
      </c>
      <c r="BF109" s="48">
        <v>0</v>
      </c>
      <c r="BG109" s="49">
        <v>0</v>
      </c>
      <c r="BH109" s="48">
        <v>20</v>
      </c>
      <c r="BI109" s="49">
        <v>95.23809523809524</v>
      </c>
      <c r="BJ109" s="48">
        <v>21</v>
      </c>
      <c r="BK109" s="48"/>
      <c r="BL109" s="48"/>
      <c r="BM109" s="48"/>
      <c r="BN109" s="48"/>
      <c r="BO109" s="48" t="s">
        <v>703</v>
      </c>
      <c r="BP109" s="48" t="s">
        <v>703</v>
      </c>
      <c r="BQ109" s="125" t="s">
        <v>3093</v>
      </c>
      <c r="BR109" s="125" t="s">
        <v>3093</v>
      </c>
      <c r="BS109" s="125" t="s">
        <v>3122</v>
      </c>
      <c r="BT109" s="125" t="s">
        <v>3122</v>
      </c>
      <c r="BU109" s="2"/>
      <c r="BV109" s="3"/>
      <c r="BW109" s="3"/>
      <c r="BX109" s="3"/>
      <c r="BY109" s="3"/>
    </row>
    <row r="110" spans="1:77" ht="15">
      <c r="A110" s="66" t="s">
        <v>445</v>
      </c>
      <c r="B110" s="67"/>
      <c r="C110" s="67"/>
      <c r="D110" s="68">
        <v>100</v>
      </c>
      <c r="E110" s="70"/>
      <c r="F110" s="104" t="str">
        <f>HYPERLINK("http://pbs.twimg.com/profile_images/1236600745299972096/YMyoFFkS_normal.jpg")</f>
        <v>http://pbs.twimg.com/profile_images/1236600745299972096/YMyoFFkS_normal.jpg</v>
      </c>
      <c r="G110" s="67"/>
      <c r="H110" s="71" t="s">
        <v>445</v>
      </c>
      <c r="I110" s="72"/>
      <c r="J110" s="72"/>
      <c r="K110" s="71" t="s">
        <v>2109</v>
      </c>
      <c r="L110" s="75">
        <v>1</v>
      </c>
      <c r="M110" s="76">
        <v>943.5770263671875</v>
      </c>
      <c r="N110" s="76">
        <v>4271.67578125</v>
      </c>
      <c r="O110" s="77"/>
      <c r="P110" s="78"/>
      <c r="Q110" s="78"/>
      <c r="R110" s="90"/>
      <c r="S110" s="48">
        <v>0</v>
      </c>
      <c r="T110" s="48">
        <v>1</v>
      </c>
      <c r="U110" s="49">
        <v>0</v>
      </c>
      <c r="V110" s="49">
        <v>0.012987</v>
      </c>
      <c r="W110" s="49">
        <v>0.011445</v>
      </c>
      <c r="X110" s="49">
        <v>0.359282</v>
      </c>
      <c r="Y110" s="49">
        <v>0</v>
      </c>
      <c r="Z110" s="49">
        <v>0</v>
      </c>
      <c r="AA110" s="73">
        <v>110</v>
      </c>
      <c r="AB110" s="73"/>
      <c r="AC110" s="74"/>
      <c r="AD110" s="80" t="s">
        <v>1306</v>
      </c>
      <c r="AE110" s="88" t="s">
        <v>1528</v>
      </c>
      <c r="AF110" s="80">
        <v>5001</v>
      </c>
      <c r="AG110" s="80">
        <v>3818</v>
      </c>
      <c r="AH110" s="80">
        <v>30254</v>
      </c>
      <c r="AI110" s="80">
        <v>37155</v>
      </c>
      <c r="AJ110" s="80"/>
      <c r="AK110" s="80" t="s">
        <v>1747</v>
      </c>
      <c r="AL110" s="80" t="s">
        <v>1926</v>
      </c>
      <c r="AM110" s="80"/>
      <c r="AN110" s="80"/>
      <c r="AO110" s="82">
        <v>40034.87583333333</v>
      </c>
      <c r="AP110" s="85" t="str">
        <f>HYPERLINK("https://pbs.twimg.com/profile_banners/64253234/1592656503")</f>
        <v>https://pbs.twimg.com/profile_banners/64253234/1592656503</v>
      </c>
      <c r="AQ110" s="80" t="b">
        <v>0</v>
      </c>
      <c r="AR110" s="80" t="b">
        <v>0</v>
      </c>
      <c r="AS110" s="80" t="b">
        <v>0</v>
      </c>
      <c r="AT110" s="80"/>
      <c r="AU110" s="80">
        <v>335</v>
      </c>
      <c r="AV110" s="85" t="str">
        <f>HYPERLINK("http://abs.twimg.com/images/themes/theme2/bg.gif")</f>
        <v>http://abs.twimg.com/images/themes/theme2/bg.gif</v>
      </c>
      <c r="AW110" s="80" t="b">
        <v>0</v>
      </c>
      <c r="AX110" s="80" t="s">
        <v>2002</v>
      </c>
      <c r="AY110" s="85" t="str">
        <f>HYPERLINK("https://twitter.com/watty62")</f>
        <v>https://twitter.com/watty62</v>
      </c>
      <c r="AZ110" s="80" t="s">
        <v>66</v>
      </c>
      <c r="BA110" s="80" t="str">
        <f>REPLACE(INDEX(GroupVertices[Group],MATCH(Vertices[[#This Row],[Vertex]],GroupVertices[Vertex],0)),1,1,"")</f>
        <v>2</v>
      </c>
      <c r="BB110" s="48">
        <v>1</v>
      </c>
      <c r="BC110" s="49">
        <v>4.545454545454546</v>
      </c>
      <c r="BD110" s="48">
        <v>1</v>
      </c>
      <c r="BE110" s="49">
        <v>4.545454545454546</v>
      </c>
      <c r="BF110" s="48">
        <v>0</v>
      </c>
      <c r="BG110" s="49">
        <v>0</v>
      </c>
      <c r="BH110" s="48">
        <v>20</v>
      </c>
      <c r="BI110" s="49">
        <v>90.9090909090909</v>
      </c>
      <c r="BJ110" s="48">
        <v>22</v>
      </c>
      <c r="BK110" s="48"/>
      <c r="BL110" s="48"/>
      <c r="BM110" s="48"/>
      <c r="BN110" s="48"/>
      <c r="BO110" s="48" t="s">
        <v>699</v>
      </c>
      <c r="BP110" s="48" t="s">
        <v>699</v>
      </c>
      <c r="BQ110" s="125" t="s">
        <v>3094</v>
      </c>
      <c r="BR110" s="125" t="s">
        <v>3094</v>
      </c>
      <c r="BS110" s="125" t="s">
        <v>3119</v>
      </c>
      <c r="BT110" s="125" t="s">
        <v>3119</v>
      </c>
      <c r="BU110" s="2"/>
      <c r="BV110" s="3"/>
      <c r="BW110" s="3"/>
      <c r="BX110" s="3"/>
      <c r="BY110" s="3"/>
    </row>
    <row r="111" spans="1:77" ht="15">
      <c r="A111" s="66" t="s">
        <v>446</v>
      </c>
      <c r="B111" s="67"/>
      <c r="C111" s="67"/>
      <c r="D111" s="68">
        <v>100.47846842105263</v>
      </c>
      <c r="E111" s="70"/>
      <c r="F111" s="104" t="str">
        <f>HYPERLINK("http://pbs.twimg.com/profile_images/677443783978557440/q3pe4llc_normal.jpg")</f>
        <v>http://pbs.twimg.com/profile_images/677443783978557440/q3pe4llc_normal.jpg</v>
      </c>
      <c r="G111" s="67"/>
      <c r="H111" s="71" t="s">
        <v>446</v>
      </c>
      <c r="I111" s="72"/>
      <c r="J111" s="72"/>
      <c r="K111" s="71" t="s">
        <v>2110</v>
      </c>
      <c r="L111" s="75">
        <v>1.4245250733302195</v>
      </c>
      <c r="M111" s="76">
        <v>6410.23876953125</v>
      </c>
      <c r="N111" s="76">
        <v>9061.390625</v>
      </c>
      <c r="O111" s="77"/>
      <c r="P111" s="78"/>
      <c r="Q111" s="78"/>
      <c r="R111" s="90"/>
      <c r="S111" s="48">
        <v>0</v>
      </c>
      <c r="T111" s="48">
        <v>3</v>
      </c>
      <c r="U111" s="49">
        <v>0.090909</v>
      </c>
      <c r="V111" s="49">
        <v>0.020408</v>
      </c>
      <c r="W111" s="49">
        <v>0</v>
      </c>
      <c r="X111" s="49">
        <v>0.681054</v>
      </c>
      <c r="Y111" s="49">
        <v>0.3333333333333333</v>
      </c>
      <c r="Z111" s="49">
        <v>0</v>
      </c>
      <c r="AA111" s="73">
        <v>111</v>
      </c>
      <c r="AB111" s="73"/>
      <c r="AC111" s="74"/>
      <c r="AD111" s="80" t="s">
        <v>1307</v>
      </c>
      <c r="AE111" s="88" t="s">
        <v>1529</v>
      </c>
      <c r="AF111" s="80">
        <v>340</v>
      </c>
      <c r="AG111" s="80">
        <v>172</v>
      </c>
      <c r="AH111" s="80">
        <v>1584</v>
      </c>
      <c r="AI111" s="80">
        <v>1313</v>
      </c>
      <c r="AJ111" s="80"/>
      <c r="AK111" s="80" t="s">
        <v>1748</v>
      </c>
      <c r="AL111" s="80" t="s">
        <v>1927</v>
      </c>
      <c r="AM111" s="80"/>
      <c r="AN111" s="80"/>
      <c r="AO111" s="82">
        <v>42353.966412037036</v>
      </c>
      <c r="AP111" s="80"/>
      <c r="AQ111" s="80" t="b">
        <v>1</v>
      </c>
      <c r="AR111" s="80" t="b">
        <v>0</v>
      </c>
      <c r="AS111" s="80" t="b">
        <v>0</v>
      </c>
      <c r="AT111" s="80"/>
      <c r="AU111" s="80">
        <v>6</v>
      </c>
      <c r="AV111" s="80"/>
      <c r="AW111" s="80" t="b">
        <v>0</v>
      </c>
      <c r="AX111" s="80" t="s">
        <v>2002</v>
      </c>
      <c r="AY111" s="85" t="str">
        <f>HYPERLINK("https://twitter.com/lms_geography")</f>
        <v>https://twitter.com/lms_geography</v>
      </c>
      <c r="AZ111" s="80" t="s">
        <v>66</v>
      </c>
      <c r="BA111" s="80" t="str">
        <f>REPLACE(INDEX(GroupVertices[Group],MATCH(Vertices[[#This Row],[Vertex]],GroupVertices[Vertex],0)),1,1,"")</f>
        <v>3</v>
      </c>
      <c r="BB111" s="48">
        <v>1</v>
      </c>
      <c r="BC111" s="49">
        <v>4.761904761904762</v>
      </c>
      <c r="BD111" s="48">
        <v>0</v>
      </c>
      <c r="BE111" s="49">
        <v>0</v>
      </c>
      <c r="BF111" s="48">
        <v>0</v>
      </c>
      <c r="BG111" s="49">
        <v>0</v>
      </c>
      <c r="BH111" s="48">
        <v>20</v>
      </c>
      <c r="BI111" s="49">
        <v>95.23809523809524</v>
      </c>
      <c r="BJ111" s="48">
        <v>21</v>
      </c>
      <c r="BK111" s="48"/>
      <c r="BL111" s="48"/>
      <c r="BM111" s="48"/>
      <c r="BN111" s="48"/>
      <c r="BO111" s="48" t="s">
        <v>703</v>
      </c>
      <c r="BP111" s="48" t="s">
        <v>703</v>
      </c>
      <c r="BQ111" s="125" t="s">
        <v>3093</v>
      </c>
      <c r="BR111" s="125" t="s">
        <v>3093</v>
      </c>
      <c r="BS111" s="125" t="s">
        <v>3122</v>
      </c>
      <c r="BT111" s="125" t="s">
        <v>3122</v>
      </c>
      <c r="BU111" s="2"/>
      <c r="BV111" s="3"/>
      <c r="BW111" s="3"/>
      <c r="BX111" s="3"/>
      <c r="BY111" s="3"/>
    </row>
    <row r="112" spans="1:77" ht="15">
      <c r="A112" s="66" t="s">
        <v>447</v>
      </c>
      <c r="B112" s="67"/>
      <c r="C112" s="67"/>
      <c r="D112" s="68">
        <v>100.47846842105263</v>
      </c>
      <c r="E112" s="70"/>
      <c r="F112" s="104" t="str">
        <f>HYPERLINK("http://pbs.twimg.com/profile_images/965169509869989888/RNPmn_cM_normal.jpg")</f>
        <v>http://pbs.twimg.com/profile_images/965169509869989888/RNPmn_cM_normal.jpg</v>
      </c>
      <c r="G112" s="67"/>
      <c r="H112" s="71" t="s">
        <v>447</v>
      </c>
      <c r="I112" s="72"/>
      <c r="J112" s="72"/>
      <c r="K112" s="71" t="s">
        <v>2111</v>
      </c>
      <c r="L112" s="75">
        <v>1.4245250733302195</v>
      </c>
      <c r="M112" s="76">
        <v>7071.69775390625</v>
      </c>
      <c r="N112" s="76">
        <v>7971.9140625</v>
      </c>
      <c r="O112" s="77"/>
      <c r="P112" s="78"/>
      <c r="Q112" s="78"/>
      <c r="R112" s="90"/>
      <c r="S112" s="48">
        <v>0</v>
      </c>
      <c r="T112" s="48">
        <v>3</v>
      </c>
      <c r="U112" s="49">
        <v>0.090909</v>
      </c>
      <c r="V112" s="49">
        <v>0.020408</v>
      </c>
      <c r="W112" s="49">
        <v>0</v>
      </c>
      <c r="X112" s="49">
        <v>0.681054</v>
      </c>
      <c r="Y112" s="49">
        <v>0.3333333333333333</v>
      </c>
      <c r="Z112" s="49">
        <v>0</v>
      </c>
      <c r="AA112" s="73">
        <v>112</v>
      </c>
      <c r="AB112" s="73"/>
      <c r="AC112" s="74"/>
      <c r="AD112" s="80" t="s">
        <v>1308</v>
      </c>
      <c r="AE112" s="88" t="s">
        <v>1530</v>
      </c>
      <c r="AF112" s="80">
        <v>227</v>
      </c>
      <c r="AG112" s="80">
        <v>301</v>
      </c>
      <c r="AH112" s="80">
        <v>2855</v>
      </c>
      <c r="AI112" s="80">
        <v>7621</v>
      </c>
      <c r="AJ112" s="80"/>
      <c r="AK112" s="80" t="s">
        <v>1749</v>
      </c>
      <c r="AL112" s="80" t="s">
        <v>1928</v>
      </c>
      <c r="AM112" s="80"/>
      <c r="AN112" s="80"/>
      <c r="AO112" s="82">
        <v>43104.813055555554</v>
      </c>
      <c r="AP112" s="85" t="str">
        <f>HYPERLINK("https://pbs.twimg.com/profile_banners/949000177767108609/1518949359")</f>
        <v>https://pbs.twimg.com/profile_banners/949000177767108609/1518949359</v>
      </c>
      <c r="AQ112" s="80" t="b">
        <v>1</v>
      </c>
      <c r="AR112" s="80" t="b">
        <v>0</v>
      </c>
      <c r="AS112" s="80" t="b">
        <v>1</v>
      </c>
      <c r="AT112" s="80"/>
      <c r="AU112" s="80">
        <v>1</v>
      </c>
      <c r="AV112" s="80"/>
      <c r="AW112" s="80" t="b">
        <v>0</v>
      </c>
      <c r="AX112" s="80" t="s">
        <v>2002</v>
      </c>
      <c r="AY112" s="85" t="str">
        <f>HYPERLINK("https://twitter.com/chsiceland18")</f>
        <v>https://twitter.com/chsiceland18</v>
      </c>
      <c r="AZ112" s="80" t="s">
        <v>66</v>
      </c>
      <c r="BA112" s="80" t="str">
        <f>REPLACE(INDEX(GroupVertices[Group],MATCH(Vertices[[#This Row],[Vertex]],GroupVertices[Vertex],0)),1,1,"")</f>
        <v>3</v>
      </c>
      <c r="BB112" s="48">
        <v>1</v>
      </c>
      <c r="BC112" s="49">
        <v>4.761904761904762</v>
      </c>
      <c r="BD112" s="48">
        <v>0</v>
      </c>
      <c r="BE112" s="49">
        <v>0</v>
      </c>
      <c r="BF112" s="48">
        <v>0</v>
      </c>
      <c r="BG112" s="49">
        <v>0</v>
      </c>
      <c r="BH112" s="48">
        <v>20</v>
      </c>
      <c r="BI112" s="49">
        <v>95.23809523809524</v>
      </c>
      <c r="BJ112" s="48">
        <v>21</v>
      </c>
      <c r="BK112" s="48"/>
      <c r="BL112" s="48"/>
      <c r="BM112" s="48"/>
      <c r="BN112" s="48"/>
      <c r="BO112" s="48" t="s">
        <v>703</v>
      </c>
      <c r="BP112" s="48" t="s">
        <v>703</v>
      </c>
      <c r="BQ112" s="125" t="s">
        <v>3093</v>
      </c>
      <c r="BR112" s="125" t="s">
        <v>3093</v>
      </c>
      <c r="BS112" s="125" t="s">
        <v>3122</v>
      </c>
      <c r="BT112" s="125" t="s">
        <v>3122</v>
      </c>
      <c r="BU112" s="2"/>
      <c r="BV112" s="3"/>
      <c r="BW112" s="3"/>
      <c r="BX112" s="3"/>
      <c r="BY112" s="3"/>
    </row>
    <row r="113" spans="1:77" ht="15">
      <c r="A113" s="66" t="s">
        <v>448</v>
      </c>
      <c r="B113" s="67"/>
      <c r="C113" s="67"/>
      <c r="D113" s="68">
        <v>100</v>
      </c>
      <c r="E113" s="70"/>
      <c r="F113" s="104" t="str">
        <f>HYPERLINK("http://pbs.twimg.com/profile_images/1267701669862805504/47N4-Xma_normal.jpg")</f>
        <v>http://pbs.twimg.com/profile_images/1267701669862805504/47N4-Xma_normal.jpg</v>
      </c>
      <c r="G113" s="67"/>
      <c r="H113" s="71" t="s">
        <v>448</v>
      </c>
      <c r="I113" s="72"/>
      <c r="J113" s="72"/>
      <c r="K113" s="71" t="s">
        <v>2112</v>
      </c>
      <c r="L113" s="75">
        <v>1</v>
      </c>
      <c r="M113" s="76">
        <v>175.12408447265625</v>
      </c>
      <c r="N113" s="76">
        <v>4623.81494140625</v>
      </c>
      <c r="O113" s="77"/>
      <c r="P113" s="78"/>
      <c r="Q113" s="78"/>
      <c r="R113" s="90"/>
      <c r="S113" s="48">
        <v>0</v>
      </c>
      <c r="T113" s="48">
        <v>1</v>
      </c>
      <c r="U113" s="49">
        <v>0</v>
      </c>
      <c r="V113" s="49">
        <v>0.007299</v>
      </c>
      <c r="W113" s="49">
        <v>0</v>
      </c>
      <c r="X113" s="49">
        <v>0.492938</v>
      </c>
      <c r="Y113" s="49">
        <v>0</v>
      </c>
      <c r="Z113" s="49">
        <v>0</v>
      </c>
      <c r="AA113" s="73">
        <v>113</v>
      </c>
      <c r="AB113" s="73"/>
      <c r="AC113" s="74"/>
      <c r="AD113" s="80" t="s">
        <v>1309</v>
      </c>
      <c r="AE113" s="88" t="s">
        <v>1531</v>
      </c>
      <c r="AF113" s="80">
        <v>2959</v>
      </c>
      <c r="AG113" s="80">
        <v>1942</v>
      </c>
      <c r="AH113" s="80">
        <v>3492</v>
      </c>
      <c r="AI113" s="80">
        <v>29512</v>
      </c>
      <c r="AJ113" s="80"/>
      <c r="AK113" s="80" t="s">
        <v>1750</v>
      </c>
      <c r="AL113" s="80"/>
      <c r="AM113" s="80"/>
      <c r="AN113" s="80"/>
      <c r="AO113" s="82">
        <v>41446.61383101852</v>
      </c>
      <c r="AP113" s="85" t="str">
        <f>HYPERLINK("https://pbs.twimg.com/profile_banners/1536665708/1569864296")</f>
        <v>https://pbs.twimg.com/profile_banners/1536665708/1569864296</v>
      </c>
      <c r="AQ113" s="80" t="b">
        <v>1</v>
      </c>
      <c r="AR113" s="80" t="b">
        <v>0</v>
      </c>
      <c r="AS113" s="80" t="b">
        <v>0</v>
      </c>
      <c r="AT113" s="80"/>
      <c r="AU113" s="80">
        <v>35</v>
      </c>
      <c r="AV113" s="85" t="str">
        <f>HYPERLINK("http://abs.twimg.com/images/themes/theme1/bg.png")</f>
        <v>http://abs.twimg.com/images/themes/theme1/bg.png</v>
      </c>
      <c r="AW113" s="80" t="b">
        <v>0</v>
      </c>
      <c r="AX113" s="80" t="s">
        <v>2002</v>
      </c>
      <c r="AY113" s="85" t="str">
        <f>HYPERLINK("https://twitter.com/barbalhofernand")</f>
        <v>https://twitter.com/barbalhofernand</v>
      </c>
      <c r="AZ113" s="80" t="s">
        <v>66</v>
      </c>
      <c r="BA113" s="80" t="str">
        <f>REPLACE(INDEX(GroupVertices[Group],MATCH(Vertices[[#This Row],[Vertex]],GroupVertices[Vertex],0)),1,1,"")</f>
        <v>1</v>
      </c>
      <c r="BB113" s="48">
        <v>0</v>
      </c>
      <c r="BC113" s="49">
        <v>0</v>
      </c>
      <c r="BD113" s="48">
        <v>0</v>
      </c>
      <c r="BE113" s="49">
        <v>0</v>
      </c>
      <c r="BF113" s="48">
        <v>0</v>
      </c>
      <c r="BG113" s="49">
        <v>0</v>
      </c>
      <c r="BH113" s="48">
        <v>5</v>
      </c>
      <c r="BI113" s="49">
        <v>100</v>
      </c>
      <c r="BJ113" s="48">
        <v>5</v>
      </c>
      <c r="BK113" s="48" t="s">
        <v>2728</v>
      </c>
      <c r="BL113" s="48" t="s">
        <v>2728</v>
      </c>
      <c r="BM113" s="48" t="s">
        <v>676</v>
      </c>
      <c r="BN113" s="48" t="s">
        <v>676</v>
      </c>
      <c r="BO113" s="48" t="s">
        <v>712</v>
      </c>
      <c r="BP113" s="48" t="s">
        <v>712</v>
      </c>
      <c r="BQ113" s="125" t="s">
        <v>3095</v>
      </c>
      <c r="BR113" s="125" t="s">
        <v>3095</v>
      </c>
      <c r="BS113" s="125" t="s">
        <v>3123</v>
      </c>
      <c r="BT113" s="125" t="s">
        <v>3123</v>
      </c>
      <c r="BU113" s="2"/>
      <c r="BV113" s="3"/>
      <c r="BW113" s="3"/>
      <c r="BX113" s="3"/>
      <c r="BY113" s="3"/>
    </row>
    <row r="114" spans="1:77" ht="15">
      <c r="A114" s="66" t="s">
        <v>475</v>
      </c>
      <c r="B114" s="67"/>
      <c r="C114" s="67"/>
      <c r="D114" s="68">
        <v>584.2105263157895</v>
      </c>
      <c r="E114" s="70"/>
      <c r="F114" s="104" t="str">
        <f>HYPERLINK("http://pbs.twimg.com/profile_images/1097946134570512389/5lPBEHxc_normal.jpg")</f>
        <v>http://pbs.twimg.com/profile_images/1097946134570512389/5lPBEHxc_normal.jpg</v>
      </c>
      <c r="G114" s="67"/>
      <c r="H114" s="71" t="s">
        <v>475</v>
      </c>
      <c r="I114" s="72"/>
      <c r="J114" s="72"/>
      <c r="K114" s="71" t="s">
        <v>2113</v>
      </c>
      <c r="L114" s="75">
        <v>430.619803829986</v>
      </c>
      <c r="M114" s="76">
        <v>1071.829345703125</v>
      </c>
      <c r="N114" s="76">
        <v>6036.8935546875</v>
      </c>
      <c r="O114" s="77"/>
      <c r="P114" s="78"/>
      <c r="Q114" s="78"/>
      <c r="R114" s="90"/>
      <c r="S114" s="48">
        <v>4</v>
      </c>
      <c r="T114" s="48">
        <v>1</v>
      </c>
      <c r="U114" s="49">
        <v>92</v>
      </c>
      <c r="V114" s="49">
        <v>0.010989</v>
      </c>
      <c r="W114" s="49">
        <v>0</v>
      </c>
      <c r="X114" s="49">
        <v>1.613828</v>
      </c>
      <c r="Y114" s="49">
        <v>0.3333333333333333</v>
      </c>
      <c r="Z114" s="49">
        <v>0</v>
      </c>
      <c r="AA114" s="73">
        <v>114</v>
      </c>
      <c r="AB114" s="73"/>
      <c r="AC114" s="74"/>
      <c r="AD114" s="80" t="s">
        <v>1310</v>
      </c>
      <c r="AE114" s="88" t="s">
        <v>1532</v>
      </c>
      <c r="AF114" s="80">
        <v>1686</v>
      </c>
      <c r="AG114" s="80">
        <v>821</v>
      </c>
      <c r="AH114" s="80">
        <v>1180</v>
      </c>
      <c r="AI114" s="80">
        <v>5496</v>
      </c>
      <c r="AJ114" s="80"/>
      <c r="AK114" s="80" t="s">
        <v>1751</v>
      </c>
      <c r="AL114" s="80" t="s">
        <v>1929</v>
      </c>
      <c r="AM114" s="85" t="str">
        <f>HYPERLINK("https://t.co/ptO6VhkkJT")</f>
        <v>https://t.co/ptO6VhkkJT</v>
      </c>
      <c r="AN114" s="80"/>
      <c r="AO114" s="82">
        <v>40008.67202546296</v>
      </c>
      <c r="AP114" s="85" t="str">
        <f>HYPERLINK("https://pbs.twimg.com/profile_banners/56735097/1455037048")</f>
        <v>https://pbs.twimg.com/profile_banners/56735097/1455037048</v>
      </c>
      <c r="AQ114" s="80" t="b">
        <v>0</v>
      </c>
      <c r="AR114" s="80" t="b">
        <v>0</v>
      </c>
      <c r="AS114" s="80" t="b">
        <v>1</v>
      </c>
      <c r="AT114" s="80"/>
      <c r="AU114" s="80">
        <v>21</v>
      </c>
      <c r="AV114" s="85" t="str">
        <f>HYPERLINK("http://abs.twimg.com/images/themes/theme20/bg.png")</f>
        <v>http://abs.twimg.com/images/themes/theme20/bg.png</v>
      </c>
      <c r="AW114" s="80" t="b">
        <v>0</v>
      </c>
      <c r="AX114" s="80" t="s">
        <v>2002</v>
      </c>
      <c r="AY114" s="85" t="str">
        <f>HYPERLINK("https://twitter.com/marilia_gehrke")</f>
        <v>https://twitter.com/marilia_gehrke</v>
      </c>
      <c r="AZ114" s="80" t="s">
        <v>66</v>
      </c>
      <c r="BA114" s="80" t="str">
        <f>REPLACE(INDEX(GroupVertices[Group],MATCH(Vertices[[#This Row],[Vertex]],GroupVertices[Vertex],0)),1,1,"")</f>
        <v>1</v>
      </c>
      <c r="BB114" s="48">
        <v>0</v>
      </c>
      <c r="BC114" s="49">
        <v>0</v>
      </c>
      <c r="BD114" s="48">
        <v>0</v>
      </c>
      <c r="BE114" s="49">
        <v>0</v>
      </c>
      <c r="BF114" s="48">
        <v>0</v>
      </c>
      <c r="BG114" s="49">
        <v>0</v>
      </c>
      <c r="BH114" s="48">
        <v>5</v>
      </c>
      <c r="BI114" s="49">
        <v>100</v>
      </c>
      <c r="BJ114" s="48">
        <v>5</v>
      </c>
      <c r="BK114" s="48" t="s">
        <v>2728</v>
      </c>
      <c r="BL114" s="48" t="s">
        <v>2728</v>
      </c>
      <c r="BM114" s="48" t="s">
        <v>676</v>
      </c>
      <c r="BN114" s="48" t="s">
        <v>676</v>
      </c>
      <c r="BO114" s="48" t="s">
        <v>712</v>
      </c>
      <c r="BP114" s="48" t="s">
        <v>712</v>
      </c>
      <c r="BQ114" s="125" t="s">
        <v>3095</v>
      </c>
      <c r="BR114" s="125" t="s">
        <v>3095</v>
      </c>
      <c r="BS114" s="125" t="s">
        <v>3123</v>
      </c>
      <c r="BT114" s="125" t="s">
        <v>3123</v>
      </c>
      <c r="BU114" s="2"/>
      <c r="BV114" s="3"/>
      <c r="BW114" s="3"/>
      <c r="BX114" s="3"/>
      <c r="BY114" s="3"/>
    </row>
    <row r="115" spans="1:77" ht="15">
      <c r="A115" s="66" t="s">
        <v>449</v>
      </c>
      <c r="B115" s="67"/>
      <c r="C115" s="67"/>
      <c r="D115" s="68">
        <v>100</v>
      </c>
      <c r="E115" s="70"/>
      <c r="F115" s="104" t="str">
        <f>HYPERLINK("http://pbs.twimg.com/profile_images/1063924442508783616/cWwIObmK_normal.jpg")</f>
        <v>http://pbs.twimg.com/profile_images/1063924442508783616/cWwIObmK_normal.jpg</v>
      </c>
      <c r="G115" s="67"/>
      <c r="H115" s="71" t="s">
        <v>449</v>
      </c>
      <c r="I115" s="72"/>
      <c r="J115" s="72"/>
      <c r="K115" s="71" t="s">
        <v>2114</v>
      </c>
      <c r="L115" s="75">
        <v>1</v>
      </c>
      <c r="M115" s="76">
        <v>1158.6046142578125</v>
      </c>
      <c r="N115" s="76">
        <v>485.4667053222656</v>
      </c>
      <c r="O115" s="77"/>
      <c r="P115" s="78"/>
      <c r="Q115" s="78"/>
      <c r="R115" s="90"/>
      <c r="S115" s="48">
        <v>0</v>
      </c>
      <c r="T115" s="48">
        <v>2</v>
      </c>
      <c r="U115" s="49">
        <v>0</v>
      </c>
      <c r="V115" s="49">
        <v>0.013158</v>
      </c>
      <c r="W115" s="49">
        <v>0.021547</v>
      </c>
      <c r="X115" s="49">
        <v>0.566735</v>
      </c>
      <c r="Y115" s="49">
        <v>1</v>
      </c>
      <c r="Z115" s="49">
        <v>0</v>
      </c>
      <c r="AA115" s="73">
        <v>115</v>
      </c>
      <c r="AB115" s="73"/>
      <c r="AC115" s="74"/>
      <c r="AD115" s="80" t="s">
        <v>1311</v>
      </c>
      <c r="AE115" s="88" t="s">
        <v>1533</v>
      </c>
      <c r="AF115" s="80">
        <v>723</v>
      </c>
      <c r="AG115" s="80">
        <v>521</v>
      </c>
      <c r="AH115" s="80">
        <v>1685</v>
      </c>
      <c r="AI115" s="80">
        <v>4391</v>
      </c>
      <c r="AJ115" s="80"/>
      <c r="AK115" s="80" t="s">
        <v>1752</v>
      </c>
      <c r="AL115" s="80"/>
      <c r="AM115" s="80"/>
      <c r="AN115" s="80"/>
      <c r="AO115" s="82">
        <v>41150.220868055556</v>
      </c>
      <c r="AP115" s="85" t="str">
        <f>HYPERLINK("https://pbs.twimg.com/profile_banners/788595367/1542494329")</f>
        <v>https://pbs.twimg.com/profile_banners/788595367/1542494329</v>
      </c>
      <c r="AQ115" s="80" t="b">
        <v>1</v>
      </c>
      <c r="AR115" s="80" t="b">
        <v>0</v>
      </c>
      <c r="AS115" s="80" t="b">
        <v>0</v>
      </c>
      <c r="AT115" s="80"/>
      <c r="AU115" s="80">
        <v>5</v>
      </c>
      <c r="AV115" s="85" t="str">
        <f>HYPERLINK("http://abs.twimg.com/images/themes/theme1/bg.png")</f>
        <v>http://abs.twimg.com/images/themes/theme1/bg.png</v>
      </c>
      <c r="AW115" s="80" t="b">
        <v>0</v>
      </c>
      <c r="AX115" s="80" t="s">
        <v>2002</v>
      </c>
      <c r="AY115" s="85" t="str">
        <f>HYPERLINK("https://twitter.com/holgerhke")</f>
        <v>https://twitter.com/holgerhke</v>
      </c>
      <c r="AZ115" s="80" t="s">
        <v>66</v>
      </c>
      <c r="BA115" s="80" t="str">
        <f>REPLACE(INDEX(GroupVertices[Group],MATCH(Vertices[[#This Row],[Vertex]],GroupVertices[Vertex],0)),1,1,"")</f>
        <v>2</v>
      </c>
      <c r="BB115" s="48">
        <v>3</v>
      </c>
      <c r="BC115" s="49">
        <v>7.5</v>
      </c>
      <c r="BD115" s="48">
        <v>0</v>
      </c>
      <c r="BE115" s="49">
        <v>0</v>
      </c>
      <c r="BF115" s="48">
        <v>0</v>
      </c>
      <c r="BG115" s="49">
        <v>0</v>
      </c>
      <c r="BH115" s="48">
        <v>37</v>
      </c>
      <c r="BI115" s="49">
        <v>92.5</v>
      </c>
      <c r="BJ115" s="48">
        <v>40</v>
      </c>
      <c r="BK115" s="48"/>
      <c r="BL115" s="48"/>
      <c r="BM115" s="48"/>
      <c r="BN115" s="48"/>
      <c r="BO115" s="48"/>
      <c r="BP115" s="48"/>
      <c r="BQ115" s="125" t="s">
        <v>3088</v>
      </c>
      <c r="BR115" s="125" t="s">
        <v>3088</v>
      </c>
      <c r="BS115" s="125" t="s">
        <v>2976</v>
      </c>
      <c r="BT115" s="125" t="s">
        <v>2976</v>
      </c>
      <c r="BU115" s="2"/>
      <c r="BV115" s="3"/>
      <c r="BW115" s="3"/>
      <c r="BX115" s="3"/>
      <c r="BY115" s="3"/>
    </row>
    <row r="116" spans="1:77" ht="15">
      <c r="A116" s="66" t="s">
        <v>450</v>
      </c>
      <c r="B116" s="67"/>
      <c r="C116" s="67"/>
      <c r="D116" s="68">
        <v>100</v>
      </c>
      <c r="E116" s="70"/>
      <c r="F116" s="104" t="str">
        <f>HYPERLINK("http://pbs.twimg.com/profile_images/1223573858814431234/C_wpiNHG_normal.jpg")</f>
        <v>http://pbs.twimg.com/profile_images/1223573858814431234/C_wpiNHG_normal.jpg</v>
      </c>
      <c r="G116" s="67"/>
      <c r="H116" s="71" t="s">
        <v>450</v>
      </c>
      <c r="I116" s="72"/>
      <c r="J116" s="72"/>
      <c r="K116" s="71" t="s">
        <v>2115</v>
      </c>
      <c r="L116" s="75">
        <v>1</v>
      </c>
      <c r="M116" s="76">
        <v>1024.9410400390625</v>
      </c>
      <c r="N116" s="76">
        <v>1395.5897216796875</v>
      </c>
      <c r="O116" s="77"/>
      <c r="P116" s="78"/>
      <c r="Q116" s="78"/>
      <c r="R116" s="90"/>
      <c r="S116" s="48">
        <v>0</v>
      </c>
      <c r="T116" s="48">
        <v>2</v>
      </c>
      <c r="U116" s="49">
        <v>0</v>
      </c>
      <c r="V116" s="49">
        <v>0.013158</v>
      </c>
      <c r="W116" s="49">
        <v>0.021547</v>
      </c>
      <c r="X116" s="49">
        <v>0.566735</v>
      </c>
      <c r="Y116" s="49">
        <v>1</v>
      </c>
      <c r="Z116" s="49">
        <v>0</v>
      </c>
      <c r="AA116" s="73">
        <v>116</v>
      </c>
      <c r="AB116" s="73"/>
      <c r="AC116" s="74"/>
      <c r="AD116" s="80" t="s">
        <v>1312</v>
      </c>
      <c r="AE116" s="88" t="s">
        <v>1534</v>
      </c>
      <c r="AF116" s="80">
        <v>3341</v>
      </c>
      <c r="AG116" s="80">
        <v>6008</v>
      </c>
      <c r="AH116" s="80">
        <v>43438</v>
      </c>
      <c r="AI116" s="80">
        <v>4068</v>
      </c>
      <c r="AJ116" s="80"/>
      <c r="AK116" s="80" t="s">
        <v>1753</v>
      </c>
      <c r="AL116" s="80" t="s">
        <v>1930</v>
      </c>
      <c r="AM116" s="85" t="str">
        <f>HYPERLINK("https://t.co/NuQbdPvTqd")</f>
        <v>https://t.co/NuQbdPvTqd</v>
      </c>
      <c r="AN116" s="80"/>
      <c r="AO116" s="82">
        <v>39155.81269675926</v>
      </c>
      <c r="AP116" s="80"/>
      <c r="AQ116" s="80" t="b">
        <v>0</v>
      </c>
      <c r="AR116" s="80" t="b">
        <v>0</v>
      </c>
      <c r="AS116" s="80" t="b">
        <v>1</v>
      </c>
      <c r="AT116" s="80"/>
      <c r="AU116" s="80">
        <v>446</v>
      </c>
      <c r="AV116" s="85" t="str">
        <f>HYPERLINK("http://abs.twimg.com/images/themes/theme4/bg.gif")</f>
        <v>http://abs.twimg.com/images/themes/theme4/bg.gif</v>
      </c>
      <c r="AW116" s="80" t="b">
        <v>0</v>
      </c>
      <c r="AX116" s="80" t="s">
        <v>2002</v>
      </c>
      <c r="AY116" s="85" t="str">
        <f>HYPERLINK("https://twitter.com/garyshort")</f>
        <v>https://twitter.com/garyshort</v>
      </c>
      <c r="AZ116" s="80" t="s">
        <v>66</v>
      </c>
      <c r="BA116" s="80" t="str">
        <f>REPLACE(INDEX(GroupVertices[Group],MATCH(Vertices[[#This Row],[Vertex]],GroupVertices[Vertex],0)),1,1,"")</f>
        <v>2</v>
      </c>
      <c r="BB116" s="48">
        <v>3</v>
      </c>
      <c r="BC116" s="49">
        <v>7.5</v>
      </c>
      <c r="BD116" s="48">
        <v>0</v>
      </c>
      <c r="BE116" s="49">
        <v>0</v>
      </c>
      <c r="BF116" s="48">
        <v>0</v>
      </c>
      <c r="BG116" s="49">
        <v>0</v>
      </c>
      <c r="BH116" s="48">
        <v>37</v>
      </c>
      <c r="BI116" s="49">
        <v>92.5</v>
      </c>
      <c r="BJ116" s="48">
        <v>40</v>
      </c>
      <c r="BK116" s="48"/>
      <c r="BL116" s="48"/>
      <c r="BM116" s="48"/>
      <c r="BN116" s="48"/>
      <c r="BO116" s="48"/>
      <c r="BP116" s="48"/>
      <c r="BQ116" s="125" t="s">
        <v>3088</v>
      </c>
      <c r="BR116" s="125" t="s">
        <v>3088</v>
      </c>
      <c r="BS116" s="125" t="s">
        <v>2976</v>
      </c>
      <c r="BT116" s="125" t="s">
        <v>2976</v>
      </c>
      <c r="BU116" s="2"/>
      <c r="BV116" s="3"/>
      <c r="BW116" s="3"/>
      <c r="BX116" s="3"/>
      <c r="BY116" s="3"/>
    </row>
    <row r="117" spans="1:77" ht="15">
      <c r="A117" s="66" t="s">
        <v>451</v>
      </c>
      <c r="B117" s="67"/>
      <c r="C117" s="67"/>
      <c r="D117" s="68">
        <v>101.50375789473684</v>
      </c>
      <c r="E117" s="70"/>
      <c r="F117" s="104" t="str">
        <f>HYPERLINK("http://pbs.twimg.com/profile_images/1180922167309017088/wZyFeG_Z_normal.png")</f>
        <v>http://pbs.twimg.com/profile_images/1180922167309017088/wZyFeG_Z_normal.png</v>
      </c>
      <c r="G117" s="67"/>
      <c r="H117" s="71" t="s">
        <v>451</v>
      </c>
      <c r="I117" s="72"/>
      <c r="J117" s="72"/>
      <c r="K117" s="71" t="s">
        <v>2116</v>
      </c>
      <c r="L117" s="75">
        <v>2.3342216590378326</v>
      </c>
      <c r="M117" s="76">
        <v>4526.3818359375</v>
      </c>
      <c r="N117" s="76">
        <v>3489.782470703125</v>
      </c>
      <c r="O117" s="77"/>
      <c r="P117" s="78"/>
      <c r="Q117" s="78"/>
      <c r="R117" s="90"/>
      <c r="S117" s="48">
        <v>0</v>
      </c>
      <c r="T117" s="48">
        <v>3</v>
      </c>
      <c r="U117" s="49">
        <v>0.285714</v>
      </c>
      <c r="V117" s="49">
        <v>0.028571</v>
      </c>
      <c r="W117" s="49">
        <v>0</v>
      </c>
      <c r="X117" s="49">
        <v>0.761422</v>
      </c>
      <c r="Y117" s="49">
        <v>0.3333333333333333</v>
      </c>
      <c r="Z117" s="49">
        <v>0</v>
      </c>
      <c r="AA117" s="73">
        <v>117</v>
      </c>
      <c r="AB117" s="73"/>
      <c r="AC117" s="74"/>
      <c r="AD117" s="80" t="s">
        <v>1313</v>
      </c>
      <c r="AE117" s="88" t="s">
        <v>1535</v>
      </c>
      <c r="AF117" s="80">
        <v>3541</v>
      </c>
      <c r="AG117" s="80">
        <v>931</v>
      </c>
      <c r="AH117" s="80">
        <v>3722</v>
      </c>
      <c r="AI117" s="80">
        <v>5460</v>
      </c>
      <c r="AJ117" s="80"/>
      <c r="AK117" s="80" t="s">
        <v>1754</v>
      </c>
      <c r="AL117" s="80"/>
      <c r="AM117" s="85" t="str">
        <f>HYPERLINK("https://t.co/w0ulK6ugeV")</f>
        <v>https://t.co/w0ulK6ugeV</v>
      </c>
      <c r="AN117" s="80"/>
      <c r="AO117" s="82">
        <v>40911.46127314815</v>
      </c>
      <c r="AP117" s="85" t="str">
        <f>HYPERLINK("https://pbs.twimg.com/profile_banners/453864839/1571068320")</f>
        <v>https://pbs.twimg.com/profile_banners/453864839/1571068320</v>
      </c>
      <c r="AQ117" s="80" t="b">
        <v>0</v>
      </c>
      <c r="AR117" s="80" t="b">
        <v>0</v>
      </c>
      <c r="AS117" s="80" t="b">
        <v>0</v>
      </c>
      <c r="AT117" s="80"/>
      <c r="AU117" s="80">
        <v>13</v>
      </c>
      <c r="AV117" s="85" t="str">
        <f>HYPERLINK("http://abs.twimg.com/images/themes/theme4/bg.gif")</f>
        <v>http://abs.twimg.com/images/themes/theme4/bg.gif</v>
      </c>
      <c r="AW117" s="80" t="b">
        <v>0</v>
      </c>
      <c r="AX117" s="80" t="s">
        <v>2002</v>
      </c>
      <c r="AY117" s="85" t="str">
        <f>HYPERLINK("https://twitter.com/khalidpress7")</f>
        <v>https://twitter.com/khalidpress7</v>
      </c>
      <c r="AZ117" s="80" t="s">
        <v>66</v>
      </c>
      <c r="BA117" s="80" t="str">
        <f>REPLACE(INDEX(GroupVertices[Group],MATCH(Vertices[[#This Row],[Vertex]],GroupVertices[Vertex],0)),1,1,"")</f>
        <v>5</v>
      </c>
      <c r="BB117" s="48">
        <v>2</v>
      </c>
      <c r="BC117" s="49">
        <v>5.555555555555555</v>
      </c>
      <c r="BD117" s="48">
        <v>0</v>
      </c>
      <c r="BE117" s="49">
        <v>0</v>
      </c>
      <c r="BF117" s="48">
        <v>0</v>
      </c>
      <c r="BG117" s="49">
        <v>0</v>
      </c>
      <c r="BH117" s="48">
        <v>34</v>
      </c>
      <c r="BI117" s="49">
        <v>94.44444444444444</v>
      </c>
      <c r="BJ117" s="48">
        <v>36</v>
      </c>
      <c r="BK117" s="48"/>
      <c r="BL117" s="48"/>
      <c r="BM117" s="48"/>
      <c r="BN117" s="48"/>
      <c r="BO117" s="48" t="s">
        <v>699</v>
      </c>
      <c r="BP117" s="48" t="s">
        <v>699</v>
      </c>
      <c r="BQ117" s="125" t="s">
        <v>3090</v>
      </c>
      <c r="BR117" s="125" t="s">
        <v>3090</v>
      </c>
      <c r="BS117" s="125" t="s">
        <v>3120</v>
      </c>
      <c r="BT117" s="125" t="s">
        <v>3120</v>
      </c>
      <c r="BU117" s="2"/>
      <c r="BV117" s="3"/>
      <c r="BW117" s="3"/>
      <c r="BX117" s="3"/>
      <c r="BY117" s="3"/>
    </row>
    <row r="118" spans="1:77" ht="15">
      <c r="A118" s="66" t="s">
        <v>452</v>
      </c>
      <c r="B118" s="67"/>
      <c r="C118" s="67"/>
      <c r="D118" s="68">
        <v>100.47846842105263</v>
      </c>
      <c r="E118" s="70"/>
      <c r="F118" s="104" t="str">
        <f>HYPERLINK("http://pbs.twimg.com/profile_images/929400926045130752/umAVJ3g__normal.jpg")</f>
        <v>http://pbs.twimg.com/profile_images/929400926045130752/umAVJ3g__normal.jpg</v>
      </c>
      <c r="G118" s="67"/>
      <c r="H118" s="71" t="s">
        <v>452</v>
      </c>
      <c r="I118" s="72"/>
      <c r="J118" s="72"/>
      <c r="K118" s="71" t="s">
        <v>2117</v>
      </c>
      <c r="L118" s="75">
        <v>1.4245250733302195</v>
      </c>
      <c r="M118" s="76">
        <v>5768.654296875</v>
      </c>
      <c r="N118" s="76">
        <v>8954.9345703125</v>
      </c>
      <c r="O118" s="77"/>
      <c r="P118" s="78"/>
      <c r="Q118" s="78"/>
      <c r="R118" s="90"/>
      <c r="S118" s="48">
        <v>0</v>
      </c>
      <c r="T118" s="48">
        <v>3</v>
      </c>
      <c r="U118" s="49">
        <v>0.090909</v>
      </c>
      <c r="V118" s="49">
        <v>0.020408</v>
      </c>
      <c r="W118" s="49">
        <v>0</v>
      </c>
      <c r="X118" s="49">
        <v>0.681054</v>
      </c>
      <c r="Y118" s="49">
        <v>0.3333333333333333</v>
      </c>
      <c r="Z118" s="49">
        <v>0</v>
      </c>
      <c r="AA118" s="73">
        <v>118</v>
      </c>
      <c r="AB118" s="73"/>
      <c r="AC118" s="74"/>
      <c r="AD118" s="80" t="s">
        <v>1314</v>
      </c>
      <c r="AE118" s="88" t="s">
        <v>1536</v>
      </c>
      <c r="AF118" s="80">
        <v>1758</v>
      </c>
      <c r="AG118" s="80">
        <v>488</v>
      </c>
      <c r="AH118" s="80">
        <v>12640</v>
      </c>
      <c r="AI118" s="80">
        <v>1489</v>
      </c>
      <c r="AJ118" s="80"/>
      <c r="AK118" s="80" t="s">
        <v>1755</v>
      </c>
      <c r="AL118" s="80" t="s">
        <v>1931</v>
      </c>
      <c r="AM118" s="80"/>
      <c r="AN118" s="80"/>
      <c r="AO118" s="82">
        <v>41351.60097222222</v>
      </c>
      <c r="AP118" s="80"/>
      <c r="AQ118" s="80" t="b">
        <v>1</v>
      </c>
      <c r="AR118" s="80" t="b">
        <v>0</v>
      </c>
      <c r="AS118" s="80" t="b">
        <v>0</v>
      </c>
      <c r="AT118" s="80"/>
      <c r="AU118" s="80">
        <v>28</v>
      </c>
      <c r="AV118" s="85" t="str">
        <f>HYPERLINK("http://abs.twimg.com/images/themes/theme1/bg.png")</f>
        <v>http://abs.twimg.com/images/themes/theme1/bg.png</v>
      </c>
      <c r="AW118" s="80" t="b">
        <v>0</v>
      </c>
      <c r="AX118" s="80" t="s">
        <v>2002</v>
      </c>
      <c r="AY118" s="85" t="str">
        <f>HYPERLINK("https://twitter.com/bareftdoctor")</f>
        <v>https://twitter.com/bareftdoctor</v>
      </c>
      <c r="AZ118" s="80" t="s">
        <v>66</v>
      </c>
      <c r="BA118" s="80" t="str">
        <f>REPLACE(INDEX(GroupVertices[Group],MATCH(Vertices[[#This Row],[Vertex]],GroupVertices[Vertex],0)),1,1,"")</f>
        <v>3</v>
      </c>
      <c r="BB118" s="48">
        <v>1</v>
      </c>
      <c r="BC118" s="49">
        <v>4.761904761904762</v>
      </c>
      <c r="BD118" s="48">
        <v>0</v>
      </c>
      <c r="BE118" s="49">
        <v>0</v>
      </c>
      <c r="BF118" s="48">
        <v>0</v>
      </c>
      <c r="BG118" s="49">
        <v>0</v>
      </c>
      <c r="BH118" s="48">
        <v>20</v>
      </c>
      <c r="BI118" s="49">
        <v>95.23809523809524</v>
      </c>
      <c r="BJ118" s="48">
        <v>21</v>
      </c>
      <c r="BK118" s="48"/>
      <c r="BL118" s="48"/>
      <c r="BM118" s="48"/>
      <c r="BN118" s="48"/>
      <c r="BO118" s="48" t="s">
        <v>703</v>
      </c>
      <c r="BP118" s="48" t="s">
        <v>703</v>
      </c>
      <c r="BQ118" s="125" t="s">
        <v>3093</v>
      </c>
      <c r="BR118" s="125" t="s">
        <v>3093</v>
      </c>
      <c r="BS118" s="125" t="s">
        <v>3122</v>
      </c>
      <c r="BT118" s="125" t="s">
        <v>3122</v>
      </c>
      <c r="BU118" s="2"/>
      <c r="BV118" s="3"/>
      <c r="BW118" s="3"/>
      <c r="BX118" s="3"/>
      <c r="BY118" s="3"/>
    </row>
    <row r="119" spans="1:77" ht="15">
      <c r="A119" s="66" t="s">
        <v>453</v>
      </c>
      <c r="B119" s="67"/>
      <c r="C119" s="67"/>
      <c r="D119" s="68">
        <v>100.47846842105263</v>
      </c>
      <c r="E119" s="70"/>
      <c r="F119" s="104" t="str">
        <f>HYPERLINK("http://pbs.twimg.com/profile_images/663722079817216000/zrrrfqNE_normal.png")</f>
        <v>http://pbs.twimg.com/profile_images/663722079817216000/zrrrfqNE_normal.png</v>
      </c>
      <c r="G119" s="67"/>
      <c r="H119" s="71" t="s">
        <v>453</v>
      </c>
      <c r="I119" s="72"/>
      <c r="J119" s="72"/>
      <c r="K119" s="71" t="s">
        <v>2118</v>
      </c>
      <c r="L119" s="75">
        <v>1.4245250733302195</v>
      </c>
      <c r="M119" s="76">
        <v>5442.72216796875</v>
      </c>
      <c r="N119" s="76">
        <v>8170.2060546875</v>
      </c>
      <c r="O119" s="77"/>
      <c r="P119" s="78"/>
      <c r="Q119" s="78"/>
      <c r="R119" s="90"/>
      <c r="S119" s="48">
        <v>0</v>
      </c>
      <c r="T119" s="48">
        <v>3</v>
      </c>
      <c r="U119" s="49">
        <v>0.090909</v>
      </c>
      <c r="V119" s="49">
        <v>0.020408</v>
      </c>
      <c r="W119" s="49">
        <v>0</v>
      </c>
      <c r="X119" s="49">
        <v>0.681054</v>
      </c>
      <c r="Y119" s="49">
        <v>0.3333333333333333</v>
      </c>
      <c r="Z119" s="49">
        <v>0</v>
      </c>
      <c r="AA119" s="73">
        <v>119</v>
      </c>
      <c r="AB119" s="73"/>
      <c r="AC119" s="74"/>
      <c r="AD119" s="80" t="s">
        <v>1315</v>
      </c>
      <c r="AE119" s="88" t="s">
        <v>1537</v>
      </c>
      <c r="AF119" s="80">
        <v>273</v>
      </c>
      <c r="AG119" s="80">
        <v>320</v>
      </c>
      <c r="AH119" s="80">
        <v>528</v>
      </c>
      <c r="AI119" s="80">
        <v>323</v>
      </c>
      <c r="AJ119" s="80"/>
      <c r="AK119" s="80" t="s">
        <v>1756</v>
      </c>
      <c r="AL119" s="80" t="s">
        <v>1932</v>
      </c>
      <c r="AM119" s="80"/>
      <c r="AN119" s="80"/>
      <c r="AO119" s="82">
        <v>42317.40724537037</v>
      </c>
      <c r="AP119" s="80"/>
      <c r="AQ119" s="80" t="b">
        <v>0</v>
      </c>
      <c r="AR119" s="80" t="b">
        <v>0</v>
      </c>
      <c r="AS119" s="80" t="b">
        <v>1</v>
      </c>
      <c r="AT119" s="80"/>
      <c r="AU119" s="80">
        <v>1</v>
      </c>
      <c r="AV119" s="85" t="str">
        <f>HYPERLINK("http://abs.twimg.com/images/themes/theme1/bg.png")</f>
        <v>http://abs.twimg.com/images/themes/theme1/bg.png</v>
      </c>
      <c r="AW119" s="80" t="b">
        <v>0</v>
      </c>
      <c r="AX119" s="80" t="s">
        <v>2002</v>
      </c>
      <c r="AY119" s="85" t="str">
        <f>HYPERLINK("https://twitter.com/geo_sjfdewsbury")</f>
        <v>https://twitter.com/geo_sjfdewsbury</v>
      </c>
      <c r="AZ119" s="80" t="s">
        <v>66</v>
      </c>
      <c r="BA119" s="80" t="str">
        <f>REPLACE(INDEX(GroupVertices[Group],MATCH(Vertices[[#This Row],[Vertex]],GroupVertices[Vertex],0)),1,1,"")</f>
        <v>3</v>
      </c>
      <c r="BB119" s="48">
        <v>1</v>
      </c>
      <c r="BC119" s="49">
        <v>4.761904761904762</v>
      </c>
      <c r="BD119" s="48">
        <v>0</v>
      </c>
      <c r="BE119" s="49">
        <v>0</v>
      </c>
      <c r="BF119" s="48">
        <v>0</v>
      </c>
      <c r="BG119" s="49">
        <v>0</v>
      </c>
      <c r="BH119" s="48">
        <v>20</v>
      </c>
      <c r="BI119" s="49">
        <v>95.23809523809524</v>
      </c>
      <c r="BJ119" s="48">
        <v>21</v>
      </c>
      <c r="BK119" s="48"/>
      <c r="BL119" s="48"/>
      <c r="BM119" s="48"/>
      <c r="BN119" s="48"/>
      <c r="BO119" s="48" t="s">
        <v>703</v>
      </c>
      <c r="BP119" s="48" t="s">
        <v>703</v>
      </c>
      <c r="BQ119" s="125" t="s">
        <v>3093</v>
      </c>
      <c r="BR119" s="125" t="s">
        <v>3093</v>
      </c>
      <c r="BS119" s="125" t="s">
        <v>3122</v>
      </c>
      <c r="BT119" s="125" t="s">
        <v>3122</v>
      </c>
      <c r="BU119" s="2"/>
      <c r="BV119" s="3"/>
      <c r="BW119" s="3"/>
      <c r="BX119" s="3"/>
      <c r="BY119" s="3"/>
    </row>
    <row r="120" spans="1:77" ht="15">
      <c r="A120" s="66" t="s">
        <v>454</v>
      </c>
      <c r="B120" s="67"/>
      <c r="C120" s="67"/>
      <c r="D120" s="68">
        <v>100</v>
      </c>
      <c r="E120" s="70"/>
      <c r="F120" s="104" t="str">
        <f>HYPERLINK("http://pbs.twimg.com/profile_images/1262043384325320706/l9AAXzAz_normal.jpg")</f>
        <v>http://pbs.twimg.com/profile_images/1262043384325320706/l9AAXzAz_normal.jpg</v>
      </c>
      <c r="G120" s="67"/>
      <c r="H120" s="71" t="s">
        <v>454</v>
      </c>
      <c r="I120" s="72"/>
      <c r="J120" s="72"/>
      <c r="K120" s="71" t="s">
        <v>2119</v>
      </c>
      <c r="L120" s="75">
        <v>1</v>
      </c>
      <c r="M120" s="76">
        <v>2267.4365234375</v>
      </c>
      <c r="N120" s="76">
        <v>4479.32080078125</v>
      </c>
      <c r="O120" s="77"/>
      <c r="P120" s="78"/>
      <c r="Q120" s="78"/>
      <c r="R120" s="90"/>
      <c r="S120" s="48">
        <v>0</v>
      </c>
      <c r="T120" s="48">
        <v>2</v>
      </c>
      <c r="U120" s="49">
        <v>0</v>
      </c>
      <c r="V120" s="49">
        <v>0.013158</v>
      </c>
      <c r="W120" s="49">
        <v>0.021547</v>
      </c>
      <c r="X120" s="49">
        <v>0.566735</v>
      </c>
      <c r="Y120" s="49">
        <v>1</v>
      </c>
      <c r="Z120" s="49">
        <v>0</v>
      </c>
      <c r="AA120" s="73">
        <v>120</v>
      </c>
      <c r="AB120" s="73"/>
      <c r="AC120" s="74"/>
      <c r="AD120" s="80" t="s">
        <v>1316</v>
      </c>
      <c r="AE120" s="88" t="s">
        <v>1538</v>
      </c>
      <c r="AF120" s="80">
        <v>1140</v>
      </c>
      <c r="AG120" s="80">
        <v>2808</v>
      </c>
      <c r="AH120" s="80">
        <v>23034</v>
      </c>
      <c r="AI120" s="80">
        <v>15066</v>
      </c>
      <c r="AJ120" s="80"/>
      <c r="AK120" s="80" t="s">
        <v>1757</v>
      </c>
      <c r="AL120" s="80" t="s">
        <v>1933</v>
      </c>
      <c r="AM120" s="85" t="str">
        <f>HYPERLINK("https://t.co/eSY0fSDlWJ")</f>
        <v>https://t.co/eSY0fSDlWJ</v>
      </c>
      <c r="AN120" s="80"/>
      <c r="AO120" s="82">
        <v>39863.3471875</v>
      </c>
      <c r="AP120" s="85" t="str">
        <f>HYPERLINK("https://pbs.twimg.com/profile_banners/21283221/1586931856")</f>
        <v>https://pbs.twimg.com/profile_banners/21283221/1586931856</v>
      </c>
      <c r="AQ120" s="80" t="b">
        <v>0</v>
      </c>
      <c r="AR120" s="80" t="b">
        <v>0</v>
      </c>
      <c r="AS120" s="80" t="b">
        <v>1</v>
      </c>
      <c r="AT120" s="80"/>
      <c r="AU120" s="80">
        <v>473</v>
      </c>
      <c r="AV120" s="85" t="str">
        <f>HYPERLINK("http://abs.twimg.com/images/themes/theme7/bg.gif")</f>
        <v>http://abs.twimg.com/images/themes/theme7/bg.gif</v>
      </c>
      <c r="AW120" s="80" t="b">
        <v>0</v>
      </c>
      <c r="AX120" s="80" t="s">
        <v>2002</v>
      </c>
      <c r="AY120" s="85" t="str">
        <f>HYPERLINK("https://twitter.com/ekoner")</f>
        <v>https://twitter.com/ekoner</v>
      </c>
      <c r="AZ120" s="80" t="s">
        <v>66</v>
      </c>
      <c r="BA120" s="80" t="str">
        <f>REPLACE(INDEX(GroupVertices[Group],MATCH(Vertices[[#This Row],[Vertex]],GroupVertices[Vertex],0)),1,1,"")</f>
        <v>2</v>
      </c>
      <c r="BB120" s="48">
        <v>3</v>
      </c>
      <c r="BC120" s="49">
        <v>7.5</v>
      </c>
      <c r="BD120" s="48">
        <v>0</v>
      </c>
      <c r="BE120" s="49">
        <v>0</v>
      </c>
      <c r="BF120" s="48">
        <v>0</v>
      </c>
      <c r="BG120" s="49">
        <v>0</v>
      </c>
      <c r="BH120" s="48">
        <v>37</v>
      </c>
      <c r="BI120" s="49">
        <v>92.5</v>
      </c>
      <c r="BJ120" s="48">
        <v>40</v>
      </c>
      <c r="BK120" s="48"/>
      <c r="BL120" s="48"/>
      <c r="BM120" s="48"/>
      <c r="BN120" s="48"/>
      <c r="BO120" s="48"/>
      <c r="BP120" s="48"/>
      <c r="BQ120" s="125" t="s">
        <v>3088</v>
      </c>
      <c r="BR120" s="125" t="s">
        <v>3088</v>
      </c>
      <c r="BS120" s="125" t="s">
        <v>2976</v>
      </c>
      <c r="BT120" s="125" t="s">
        <v>2976</v>
      </c>
      <c r="BU120" s="2"/>
      <c r="BV120" s="3"/>
      <c r="BW120" s="3"/>
      <c r="BX120" s="3"/>
      <c r="BY120" s="3"/>
    </row>
    <row r="121" spans="1:77" ht="15">
      <c r="A121" s="66" t="s">
        <v>455</v>
      </c>
      <c r="B121" s="67"/>
      <c r="C121" s="67"/>
      <c r="D121" s="68">
        <v>100</v>
      </c>
      <c r="E121" s="70"/>
      <c r="F121" s="104" t="str">
        <f>HYPERLINK("http://pbs.twimg.com/profile_images/1094024806591328257/HH4cxtNF_normal.jpg")</f>
        <v>http://pbs.twimg.com/profile_images/1094024806591328257/HH4cxtNF_normal.jpg</v>
      </c>
      <c r="G121" s="67"/>
      <c r="H121" s="71" t="s">
        <v>455</v>
      </c>
      <c r="I121" s="72"/>
      <c r="J121" s="72"/>
      <c r="K121" s="71" t="s">
        <v>2120</v>
      </c>
      <c r="L121" s="75">
        <v>1</v>
      </c>
      <c r="M121" s="76">
        <v>7720.388671875</v>
      </c>
      <c r="N121" s="76">
        <v>5353.5107421875</v>
      </c>
      <c r="O121" s="77"/>
      <c r="P121" s="78"/>
      <c r="Q121" s="78"/>
      <c r="R121" s="90"/>
      <c r="S121" s="48">
        <v>1</v>
      </c>
      <c r="T121" s="48">
        <v>1</v>
      </c>
      <c r="U121" s="49">
        <v>0</v>
      </c>
      <c r="V121" s="49">
        <v>0</v>
      </c>
      <c r="W121" s="49">
        <v>0</v>
      </c>
      <c r="X121" s="49">
        <v>0.999998</v>
      </c>
      <c r="Y121" s="49">
        <v>0</v>
      </c>
      <c r="Z121" s="49">
        <v>0</v>
      </c>
      <c r="AA121" s="73">
        <v>121</v>
      </c>
      <c r="AB121" s="73"/>
      <c r="AC121" s="74"/>
      <c r="AD121" s="80" t="s">
        <v>1317</v>
      </c>
      <c r="AE121" s="88" t="s">
        <v>1539</v>
      </c>
      <c r="AF121" s="80">
        <v>31</v>
      </c>
      <c r="AG121" s="80">
        <v>7</v>
      </c>
      <c r="AH121" s="80">
        <v>67</v>
      </c>
      <c r="AI121" s="80">
        <v>1</v>
      </c>
      <c r="AJ121" s="80"/>
      <c r="AK121" s="80" t="s">
        <v>1758</v>
      </c>
      <c r="AL121" s="80" t="s">
        <v>1934</v>
      </c>
      <c r="AM121" s="85" t="str">
        <f>HYPERLINK("https://t.co/Ly49PwnEYP")</f>
        <v>https://t.co/Ly49PwnEYP</v>
      </c>
      <c r="AN121" s="80"/>
      <c r="AO121" s="82">
        <v>43503.800787037035</v>
      </c>
      <c r="AP121" s="85" t="str">
        <f>HYPERLINK("https://pbs.twimg.com/profile_banners/1093588490577760263/1549670898")</f>
        <v>https://pbs.twimg.com/profile_banners/1093588490577760263/1549670898</v>
      </c>
      <c r="AQ121" s="80" t="b">
        <v>1</v>
      </c>
      <c r="AR121" s="80" t="b">
        <v>0</v>
      </c>
      <c r="AS121" s="80" t="b">
        <v>0</v>
      </c>
      <c r="AT121" s="80"/>
      <c r="AU121" s="80">
        <v>0</v>
      </c>
      <c r="AV121" s="80"/>
      <c r="AW121" s="80" t="b">
        <v>0</v>
      </c>
      <c r="AX121" s="80" t="s">
        <v>2002</v>
      </c>
      <c r="AY121" s="85" t="str">
        <f>HYPERLINK("https://twitter.com/djschoolhouten")</f>
        <v>https://twitter.com/djschoolhouten</v>
      </c>
      <c r="AZ121" s="80" t="s">
        <v>66</v>
      </c>
      <c r="BA121" s="80" t="str">
        <f>REPLACE(INDEX(GroupVertices[Group],MATCH(Vertices[[#This Row],[Vertex]],GroupVertices[Vertex],0)),1,1,"")</f>
        <v>8</v>
      </c>
      <c r="BB121" s="48">
        <v>0</v>
      </c>
      <c r="BC121" s="49">
        <v>0</v>
      </c>
      <c r="BD121" s="48">
        <v>0</v>
      </c>
      <c r="BE121" s="49">
        <v>0</v>
      </c>
      <c r="BF121" s="48">
        <v>0</v>
      </c>
      <c r="BG121" s="49">
        <v>0</v>
      </c>
      <c r="BH121" s="48">
        <v>28</v>
      </c>
      <c r="BI121" s="49">
        <v>100</v>
      </c>
      <c r="BJ121" s="48">
        <v>28</v>
      </c>
      <c r="BK121" s="48" t="s">
        <v>2766</v>
      </c>
      <c r="BL121" s="48" t="s">
        <v>2766</v>
      </c>
      <c r="BM121" s="48" t="s">
        <v>681</v>
      </c>
      <c r="BN121" s="48" t="s">
        <v>681</v>
      </c>
      <c r="BO121" s="48" t="s">
        <v>3074</v>
      </c>
      <c r="BP121" s="48" t="s">
        <v>3074</v>
      </c>
      <c r="BQ121" s="125" t="s">
        <v>3096</v>
      </c>
      <c r="BR121" s="125" t="s">
        <v>3096</v>
      </c>
      <c r="BS121" s="125" t="s">
        <v>3124</v>
      </c>
      <c r="BT121" s="125" t="s">
        <v>3124</v>
      </c>
      <c r="BU121" s="2"/>
      <c r="BV121" s="3"/>
      <c r="BW121" s="3"/>
      <c r="BX121" s="3"/>
      <c r="BY121" s="3"/>
    </row>
    <row r="122" spans="1:77" ht="15">
      <c r="A122" s="66" t="s">
        <v>456</v>
      </c>
      <c r="B122" s="67"/>
      <c r="C122" s="67"/>
      <c r="D122" s="68">
        <v>100</v>
      </c>
      <c r="E122" s="70"/>
      <c r="F122" s="104" t="str">
        <f>HYPERLINK("http://pbs.twimg.com/profile_images/1050192400969129984/yQj50PWU_normal.jpg")</f>
        <v>http://pbs.twimg.com/profile_images/1050192400969129984/yQj50PWU_normal.jpg</v>
      </c>
      <c r="G122" s="67"/>
      <c r="H122" s="71" t="s">
        <v>456</v>
      </c>
      <c r="I122" s="72"/>
      <c r="J122" s="72"/>
      <c r="K122" s="71" t="s">
        <v>2121</v>
      </c>
      <c r="L122" s="75">
        <v>1</v>
      </c>
      <c r="M122" s="76">
        <v>7720.388671875</v>
      </c>
      <c r="N122" s="76">
        <v>6071.16552734375</v>
      </c>
      <c r="O122" s="77"/>
      <c r="P122" s="78"/>
      <c r="Q122" s="78"/>
      <c r="R122" s="90"/>
      <c r="S122" s="48">
        <v>1</v>
      </c>
      <c r="T122" s="48">
        <v>1</v>
      </c>
      <c r="U122" s="49">
        <v>0</v>
      </c>
      <c r="V122" s="49">
        <v>0</v>
      </c>
      <c r="W122" s="49">
        <v>0</v>
      </c>
      <c r="X122" s="49">
        <v>0.999998</v>
      </c>
      <c r="Y122" s="49">
        <v>0</v>
      </c>
      <c r="Z122" s="49">
        <v>0</v>
      </c>
      <c r="AA122" s="73">
        <v>122</v>
      </c>
      <c r="AB122" s="73"/>
      <c r="AC122" s="74"/>
      <c r="AD122" s="80" t="s">
        <v>1318</v>
      </c>
      <c r="AE122" s="88" t="s">
        <v>1540</v>
      </c>
      <c r="AF122" s="80">
        <v>35</v>
      </c>
      <c r="AG122" s="80">
        <v>34</v>
      </c>
      <c r="AH122" s="80">
        <v>321</v>
      </c>
      <c r="AI122" s="80">
        <v>62</v>
      </c>
      <c r="AJ122" s="80"/>
      <c r="AK122" s="80" t="s">
        <v>1759</v>
      </c>
      <c r="AL122" s="80" t="s">
        <v>1935</v>
      </c>
      <c r="AM122" s="85" t="str">
        <f>HYPERLINK("https://t.co/EwUnSaWoGp")</f>
        <v>https://t.co/EwUnSaWoGp</v>
      </c>
      <c r="AN122" s="80"/>
      <c r="AO122" s="82">
        <v>40264.61372685185</v>
      </c>
      <c r="AP122" s="85" t="str">
        <f>HYPERLINK("https://pbs.twimg.com/profile_banners/126949558/1585475374")</f>
        <v>https://pbs.twimg.com/profile_banners/126949558/1585475374</v>
      </c>
      <c r="AQ122" s="80" t="b">
        <v>0</v>
      </c>
      <c r="AR122" s="80" t="b">
        <v>0</v>
      </c>
      <c r="AS122" s="80" t="b">
        <v>0</v>
      </c>
      <c r="AT122" s="80"/>
      <c r="AU122" s="80">
        <v>1</v>
      </c>
      <c r="AV122" s="85" t="str">
        <f>HYPERLINK("http://abs.twimg.com/images/themes/theme1/bg.png")</f>
        <v>http://abs.twimg.com/images/themes/theme1/bg.png</v>
      </c>
      <c r="AW122" s="80" t="b">
        <v>0</v>
      </c>
      <c r="AX122" s="80" t="s">
        <v>2002</v>
      </c>
      <c r="AY122" s="85" t="str">
        <f>HYPERLINK("https://twitter.com/djment0rs")</f>
        <v>https://twitter.com/djment0rs</v>
      </c>
      <c r="AZ122" s="80" t="s">
        <v>66</v>
      </c>
      <c r="BA122" s="80" t="str">
        <f>REPLACE(INDEX(GroupVertices[Group],MATCH(Vertices[[#This Row],[Vertex]],GroupVertices[Vertex],0)),1,1,"")</f>
        <v>8</v>
      </c>
      <c r="BB122" s="48">
        <v>0</v>
      </c>
      <c r="BC122" s="49">
        <v>0</v>
      </c>
      <c r="BD122" s="48">
        <v>0</v>
      </c>
      <c r="BE122" s="49">
        <v>0</v>
      </c>
      <c r="BF122" s="48">
        <v>0</v>
      </c>
      <c r="BG122" s="49">
        <v>0</v>
      </c>
      <c r="BH122" s="48">
        <v>15</v>
      </c>
      <c r="BI122" s="49">
        <v>100</v>
      </c>
      <c r="BJ122" s="48">
        <v>15</v>
      </c>
      <c r="BK122" s="48" t="s">
        <v>2767</v>
      </c>
      <c r="BL122" s="48" t="s">
        <v>2767</v>
      </c>
      <c r="BM122" s="48" t="s">
        <v>681</v>
      </c>
      <c r="BN122" s="48" t="s">
        <v>681</v>
      </c>
      <c r="BO122" s="48" t="s">
        <v>714</v>
      </c>
      <c r="BP122" s="48" t="s">
        <v>714</v>
      </c>
      <c r="BQ122" s="125" t="s">
        <v>3097</v>
      </c>
      <c r="BR122" s="125" t="s">
        <v>3097</v>
      </c>
      <c r="BS122" s="125" t="s">
        <v>3125</v>
      </c>
      <c r="BT122" s="125" t="s">
        <v>3125</v>
      </c>
      <c r="BU122" s="2"/>
      <c r="BV122" s="3"/>
      <c r="BW122" s="3"/>
      <c r="BX122" s="3"/>
      <c r="BY122" s="3"/>
    </row>
    <row r="123" spans="1:77" ht="15">
      <c r="A123" s="66" t="s">
        <v>457</v>
      </c>
      <c r="B123" s="67"/>
      <c r="C123" s="67"/>
      <c r="D123" s="68">
        <v>100</v>
      </c>
      <c r="E123" s="70"/>
      <c r="F123" s="104" t="str">
        <f>HYPERLINK("http://pbs.twimg.com/profile_images/489884735179472896/qoSnlb3r_normal.jpeg")</f>
        <v>http://pbs.twimg.com/profile_images/489884735179472896/qoSnlb3r_normal.jpeg</v>
      </c>
      <c r="G123" s="67"/>
      <c r="H123" s="71" t="s">
        <v>457</v>
      </c>
      <c r="I123" s="72"/>
      <c r="J123" s="72"/>
      <c r="K123" s="71" t="s">
        <v>2122</v>
      </c>
      <c r="L123" s="75">
        <v>1</v>
      </c>
      <c r="M123" s="76">
        <v>1609.5411376953125</v>
      </c>
      <c r="N123" s="76">
        <v>1223.3961181640625</v>
      </c>
      <c r="O123" s="77"/>
      <c r="P123" s="78"/>
      <c r="Q123" s="78"/>
      <c r="R123" s="90"/>
      <c r="S123" s="48">
        <v>0</v>
      </c>
      <c r="T123" s="48">
        <v>2</v>
      </c>
      <c r="U123" s="49">
        <v>0</v>
      </c>
      <c r="V123" s="49">
        <v>0.013158</v>
      </c>
      <c r="W123" s="49">
        <v>0.021547</v>
      </c>
      <c r="X123" s="49">
        <v>0.566735</v>
      </c>
      <c r="Y123" s="49">
        <v>1</v>
      </c>
      <c r="Z123" s="49">
        <v>0</v>
      </c>
      <c r="AA123" s="73">
        <v>123</v>
      </c>
      <c r="AB123" s="73"/>
      <c r="AC123" s="74"/>
      <c r="AD123" s="80" t="s">
        <v>1319</v>
      </c>
      <c r="AE123" s="88" t="s">
        <v>1541</v>
      </c>
      <c r="AF123" s="80">
        <v>429</v>
      </c>
      <c r="AG123" s="80">
        <v>421</v>
      </c>
      <c r="AH123" s="80">
        <v>1297</v>
      </c>
      <c r="AI123" s="80">
        <v>4305</v>
      </c>
      <c r="AJ123" s="80"/>
      <c r="AK123" s="80" t="s">
        <v>1760</v>
      </c>
      <c r="AL123" s="80"/>
      <c r="AM123" s="80"/>
      <c r="AN123" s="80"/>
      <c r="AO123" s="82">
        <v>41837.86771990741</v>
      </c>
      <c r="AP123" s="80"/>
      <c r="AQ123" s="80" t="b">
        <v>1</v>
      </c>
      <c r="AR123" s="80" t="b">
        <v>0</v>
      </c>
      <c r="AS123" s="80" t="b">
        <v>1</v>
      </c>
      <c r="AT123" s="80"/>
      <c r="AU123" s="80">
        <v>22</v>
      </c>
      <c r="AV123" s="85" t="str">
        <f>HYPERLINK("http://abs.twimg.com/images/themes/theme1/bg.png")</f>
        <v>http://abs.twimg.com/images/themes/theme1/bg.png</v>
      </c>
      <c r="AW123" s="80" t="b">
        <v>0</v>
      </c>
      <c r="AX123" s="80" t="s">
        <v>2002</v>
      </c>
      <c r="AY123" s="85" t="str">
        <f>HYPERLINK("https://twitter.com/d_jyldyz")</f>
        <v>https://twitter.com/d_jyldyz</v>
      </c>
      <c r="AZ123" s="80" t="s">
        <v>66</v>
      </c>
      <c r="BA123" s="80" t="str">
        <f>REPLACE(INDEX(GroupVertices[Group],MATCH(Vertices[[#This Row],[Vertex]],GroupVertices[Vertex],0)),1,1,"")</f>
        <v>2</v>
      </c>
      <c r="BB123" s="48">
        <v>3</v>
      </c>
      <c r="BC123" s="49">
        <v>7.5</v>
      </c>
      <c r="BD123" s="48">
        <v>0</v>
      </c>
      <c r="BE123" s="49">
        <v>0</v>
      </c>
      <c r="BF123" s="48">
        <v>0</v>
      </c>
      <c r="BG123" s="49">
        <v>0</v>
      </c>
      <c r="BH123" s="48">
        <v>37</v>
      </c>
      <c r="BI123" s="49">
        <v>92.5</v>
      </c>
      <c r="BJ123" s="48">
        <v>40</v>
      </c>
      <c r="BK123" s="48"/>
      <c r="BL123" s="48"/>
      <c r="BM123" s="48"/>
      <c r="BN123" s="48"/>
      <c r="BO123" s="48"/>
      <c r="BP123" s="48"/>
      <c r="BQ123" s="125" t="s">
        <v>3088</v>
      </c>
      <c r="BR123" s="125" t="s">
        <v>3088</v>
      </c>
      <c r="BS123" s="125" t="s">
        <v>2976</v>
      </c>
      <c r="BT123" s="125" t="s">
        <v>2976</v>
      </c>
      <c r="BU123" s="2"/>
      <c r="BV123" s="3"/>
      <c r="BW123" s="3"/>
      <c r="BX123" s="3"/>
      <c r="BY123" s="3"/>
    </row>
    <row r="124" spans="1:77" ht="15">
      <c r="A124" s="66" t="s">
        <v>458</v>
      </c>
      <c r="B124" s="67"/>
      <c r="C124" s="67"/>
      <c r="D124" s="68">
        <v>100</v>
      </c>
      <c r="E124" s="70"/>
      <c r="F124" s="104" t="str">
        <f>HYPERLINK("http://pbs.twimg.com/profile_images/565550809803276289/Tl6eBb2c_normal.jpeg")</f>
        <v>http://pbs.twimg.com/profile_images/565550809803276289/Tl6eBb2c_normal.jpeg</v>
      </c>
      <c r="G124" s="67"/>
      <c r="H124" s="71" t="s">
        <v>458</v>
      </c>
      <c r="I124" s="72"/>
      <c r="J124" s="72"/>
      <c r="K124" s="71" t="s">
        <v>2123</v>
      </c>
      <c r="L124" s="75">
        <v>1</v>
      </c>
      <c r="M124" s="76">
        <v>9600.951171875</v>
      </c>
      <c r="N124" s="76">
        <v>989.785400390625</v>
      </c>
      <c r="O124" s="77"/>
      <c r="P124" s="78"/>
      <c r="Q124" s="78"/>
      <c r="R124" s="90"/>
      <c r="S124" s="48">
        <v>2</v>
      </c>
      <c r="T124" s="48">
        <v>1</v>
      </c>
      <c r="U124" s="49">
        <v>0</v>
      </c>
      <c r="V124" s="49">
        <v>1</v>
      </c>
      <c r="W124" s="49">
        <v>0</v>
      </c>
      <c r="X124" s="49">
        <v>1.298243</v>
      </c>
      <c r="Y124" s="49">
        <v>0</v>
      </c>
      <c r="Z124" s="49">
        <v>0</v>
      </c>
      <c r="AA124" s="73">
        <v>124</v>
      </c>
      <c r="AB124" s="73"/>
      <c r="AC124" s="74"/>
      <c r="AD124" s="80" t="s">
        <v>1320</v>
      </c>
      <c r="AE124" s="88" t="s">
        <v>1542</v>
      </c>
      <c r="AF124" s="80">
        <v>272</v>
      </c>
      <c r="AG124" s="80">
        <v>83</v>
      </c>
      <c r="AH124" s="80">
        <v>115</v>
      </c>
      <c r="AI124" s="80">
        <v>557</v>
      </c>
      <c r="AJ124" s="80"/>
      <c r="AK124" s="80" t="s">
        <v>1761</v>
      </c>
      <c r="AL124" s="80" t="s">
        <v>1936</v>
      </c>
      <c r="AM124" s="80"/>
      <c r="AN124" s="80"/>
      <c r="AO124" s="82">
        <v>41338.8353125</v>
      </c>
      <c r="AP124" s="85" t="str">
        <f>HYPERLINK("https://pbs.twimg.com/profile_banners/1244505702/1423672840")</f>
        <v>https://pbs.twimg.com/profile_banners/1244505702/1423672840</v>
      </c>
      <c r="AQ124" s="80" t="b">
        <v>0</v>
      </c>
      <c r="AR124" s="80" t="b">
        <v>0</v>
      </c>
      <c r="AS124" s="80" t="b">
        <v>0</v>
      </c>
      <c r="AT124" s="80"/>
      <c r="AU124" s="80">
        <v>0</v>
      </c>
      <c r="AV124" s="85" t="str">
        <f>HYPERLINK("http://abs.twimg.com/images/themes/theme6/bg.gif")</f>
        <v>http://abs.twimg.com/images/themes/theme6/bg.gif</v>
      </c>
      <c r="AW124" s="80" t="b">
        <v>0</v>
      </c>
      <c r="AX124" s="80" t="s">
        <v>2002</v>
      </c>
      <c r="AY124" s="85" t="str">
        <f>HYPERLINK("https://twitter.com/lauranavarrosol")</f>
        <v>https://twitter.com/lauranavarrosol</v>
      </c>
      <c r="AZ124" s="80" t="s">
        <v>66</v>
      </c>
      <c r="BA124" s="80" t="str">
        <f>REPLACE(INDEX(GroupVertices[Group],MATCH(Vertices[[#This Row],[Vertex]],GroupVertices[Vertex],0)),1,1,"")</f>
        <v>19</v>
      </c>
      <c r="BB124" s="48">
        <v>1</v>
      </c>
      <c r="BC124" s="49">
        <v>4.3478260869565215</v>
      </c>
      <c r="BD124" s="48">
        <v>0</v>
      </c>
      <c r="BE124" s="49">
        <v>0</v>
      </c>
      <c r="BF124" s="48">
        <v>0</v>
      </c>
      <c r="BG124" s="49">
        <v>0</v>
      </c>
      <c r="BH124" s="48">
        <v>22</v>
      </c>
      <c r="BI124" s="49">
        <v>95.65217391304348</v>
      </c>
      <c r="BJ124" s="48">
        <v>23</v>
      </c>
      <c r="BK124" s="48" t="s">
        <v>2786</v>
      </c>
      <c r="BL124" s="48" t="s">
        <v>2786</v>
      </c>
      <c r="BM124" s="48" t="s">
        <v>682</v>
      </c>
      <c r="BN124" s="48" t="s">
        <v>682</v>
      </c>
      <c r="BO124" s="48" t="s">
        <v>715</v>
      </c>
      <c r="BP124" s="48" t="s">
        <v>715</v>
      </c>
      <c r="BQ124" s="125" t="s">
        <v>2878</v>
      </c>
      <c r="BR124" s="125" t="s">
        <v>2878</v>
      </c>
      <c r="BS124" s="125" t="s">
        <v>2993</v>
      </c>
      <c r="BT124" s="125" t="s">
        <v>2993</v>
      </c>
      <c r="BU124" s="2"/>
      <c r="BV124" s="3"/>
      <c r="BW124" s="3"/>
      <c r="BX124" s="3"/>
      <c r="BY124" s="3"/>
    </row>
    <row r="125" spans="1:77" ht="15">
      <c r="A125" s="66" t="s">
        <v>459</v>
      </c>
      <c r="B125" s="67"/>
      <c r="C125" s="67"/>
      <c r="D125" s="68">
        <v>100</v>
      </c>
      <c r="E125" s="70"/>
      <c r="F125" s="104" t="str">
        <f>HYPERLINK("http://pbs.twimg.com/profile_images/820901715163680768/FxQ1vsaZ_normal.jpg")</f>
        <v>http://pbs.twimg.com/profile_images/820901715163680768/FxQ1vsaZ_normal.jpg</v>
      </c>
      <c r="G125" s="67"/>
      <c r="H125" s="71" t="s">
        <v>459</v>
      </c>
      <c r="I125" s="72"/>
      <c r="J125" s="72"/>
      <c r="K125" s="71" t="s">
        <v>2124</v>
      </c>
      <c r="L125" s="75">
        <v>1</v>
      </c>
      <c r="M125" s="76">
        <v>9600.951171875</v>
      </c>
      <c r="N125" s="76">
        <v>426.2579345703125</v>
      </c>
      <c r="O125" s="77"/>
      <c r="P125" s="78"/>
      <c r="Q125" s="78"/>
      <c r="R125" s="90"/>
      <c r="S125" s="48">
        <v>0</v>
      </c>
      <c r="T125" s="48">
        <v>1</v>
      </c>
      <c r="U125" s="49">
        <v>0</v>
      </c>
      <c r="V125" s="49">
        <v>1</v>
      </c>
      <c r="W125" s="49">
        <v>0</v>
      </c>
      <c r="X125" s="49">
        <v>0.701753</v>
      </c>
      <c r="Y125" s="49">
        <v>0</v>
      </c>
      <c r="Z125" s="49">
        <v>0</v>
      </c>
      <c r="AA125" s="73">
        <v>125</v>
      </c>
      <c r="AB125" s="73"/>
      <c r="AC125" s="74"/>
      <c r="AD125" s="80" t="s">
        <v>1321</v>
      </c>
      <c r="AE125" s="88" t="s">
        <v>1543</v>
      </c>
      <c r="AF125" s="80">
        <v>1400</v>
      </c>
      <c r="AG125" s="80">
        <v>1073</v>
      </c>
      <c r="AH125" s="80">
        <v>9612</v>
      </c>
      <c r="AI125" s="80">
        <v>6936</v>
      </c>
      <c r="AJ125" s="80"/>
      <c r="AK125" s="80" t="s">
        <v>1762</v>
      </c>
      <c r="AL125" s="80" t="s">
        <v>1937</v>
      </c>
      <c r="AM125" s="80"/>
      <c r="AN125" s="80"/>
      <c r="AO125" s="82">
        <v>40835.321076388886</v>
      </c>
      <c r="AP125" s="85" t="str">
        <f>HYPERLINK("https://pbs.twimg.com/profile_banners/393892827/1400976517")</f>
        <v>https://pbs.twimg.com/profile_banners/393892827/1400976517</v>
      </c>
      <c r="AQ125" s="80" t="b">
        <v>0</v>
      </c>
      <c r="AR125" s="80" t="b">
        <v>0</v>
      </c>
      <c r="AS125" s="80" t="b">
        <v>1</v>
      </c>
      <c r="AT125" s="80"/>
      <c r="AU125" s="80">
        <v>7</v>
      </c>
      <c r="AV125" s="85" t="str">
        <f>HYPERLINK("http://abs.twimg.com/images/themes/theme9/bg.gif")</f>
        <v>http://abs.twimg.com/images/themes/theme9/bg.gif</v>
      </c>
      <c r="AW125" s="80" t="b">
        <v>0</v>
      </c>
      <c r="AX125" s="80" t="s">
        <v>2002</v>
      </c>
      <c r="AY125" s="85" t="str">
        <f>HYPERLINK("https://twitter.com/adircinho")</f>
        <v>https://twitter.com/adircinho</v>
      </c>
      <c r="AZ125" s="80" t="s">
        <v>66</v>
      </c>
      <c r="BA125" s="80" t="str">
        <f>REPLACE(INDEX(GroupVertices[Group],MATCH(Vertices[[#This Row],[Vertex]],GroupVertices[Vertex],0)),1,1,"")</f>
        <v>19</v>
      </c>
      <c r="BB125" s="48">
        <v>1</v>
      </c>
      <c r="BC125" s="49">
        <v>4.3478260869565215</v>
      </c>
      <c r="BD125" s="48">
        <v>0</v>
      </c>
      <c r="BE125" s="49">
        <v>0</v>
      </c>
      <c r="BF125" s="48">
        <v>0</v>
      </c>
      <c r="BG125" s="49">
        <v>0</v>
      </c>
      <c r="BH125" s="48">
        <v>22</v>
      </c>
      <c r="BI125" s="49">
        <v>95.65217391304348</v>
      </c>
      <c r="BJ125" s="48">
        <v>23</v>
      </c>
      <c r="BK125" s="48"/>
      <c r="BL125" s="48"/>
      <c r="BM125" s="48"/>
      <c r="BN125" s="48"/>
      <c r="BO125" s="48" t="s">
        <v>716</v>
      </c>
      <c r="BP125" s="48" t="s">
        <v>716</v>
      </c>
      <c r="BQ125" s="125" t="s">
        <v>2878</v>
      </c>
      <c r="BR125" s="125" t="s">
        <v>2878</v>
      </c>
      <c r="BS125" s="125" t="s">
        <v>2993</v>
      </c>
      <c r="BT125" s="125" t="s">
        <v>2993</v>
      </c>
      <c r="BU125" s="2"/>
      <c r="BV125" s="3"/>
      <c r="BW125" s="3"/>
      <c r="BX125" s="3"/>
      <c r="BY125" s="3"/>
    </row>
    <row r="126" spans="1:77" ht="15">
      <c r="A126" s="66" t="s">
        <v>460</v>
      </c>
      <c r="B126" s="67"/>
      <c r="C126" s="67"/>
      <c r="D126" s="68">
        <v>100</v>
      </c>
      <c r="E126" s="70"/>
      <c r="F126" s="104" t="str">
        <f>HYPERLINK("http://pbs.twimg.com/profile_images/1176652939718533120/bbRNW-Yv_normal.jpg")</f>
        <v>http://pbs.twimg.com/profile_images/1176652939718533120/bbRNW-Yv_normal.jpg</v>
      </c>
      <c r="G126" s="67"/>
      <c r="H126" s="71" t="s">
        <v>460</v>
      </c>
      <c r="I126" s="72"/>
      <c r="J126" s="72"/>
      <c r="K126" s="71" t="s">
        <v>2125</v>
      </c>
      <c r="L126" s="75">
        <v>1</v>
      </c>
      <c r="M126" s="76">
        <v>449.4642333984375</v>
      </c>
      <c r="N126" s="76">
        <v>3290.587890625</v>
      </c>
      <c r="O126" s="77"/>
      <c r="P126" s="78"/>
      <c r="Q126" s="78"/>
      <c r="R126" s="90"/>
      <c r="S126" s="48">
        <v>0</v>
      </c>
      <c r="T126" s="48">
        <v>2</v>
      </c>
      <c r="U126" s="49">
        <v>0</v>
      </c>
      <c r="V126" s="49">
        <v>0.013158</v>
      </c>
      <c r="W126" s="49">
        <v>0.021547</v>
      </c>
      <c r="X126" s="49">
        <v>0.566735</v>
      </c>
      <c r="Y126" s="49">
        <v>1</v>
      </c>
      <c r="Z126" s="49">
        <v>0</v>
      </c>
      <c r="AA126" s="73">
        <v>126</v>
      </c>
      <c r="AB126" s="73"/>
      <c r="AC126" s="74"/>
      <c r="AD126" s="80" t="s">
        <v>1322</v>
      </c>
      <c r="AE126" s="88" t="s">
        <v>1544</v>
      </c>
      <c r="AF126" s="80">
        <v>134</v>
      </c>
      <c r="AG126" s="80">
        <v>313</v>
      </c>
      <c r="AH126" s="80">
        <v>1911</v>
      </c>
      <c r="AI126" s="80">
        <v>6320</v>
      </c>
      <c r="AJ126" s="80"/>
      <c r="AK126" s="80" t="s">
        <v>1763</v>
      </c>
      <c r="AL126" s="80" t="s">
        <v>1885</v>
      </c>
      <c r="AM126" s="85" t="str">
        <f>HYPERLINK("https://t.co/APAhuNq0LU")</f>
        <v>https://t.co/APAhuNq0LU</v>
      </c>
      <c r="AN126" s="80"/>
      <c r="AO126" s="82">
        <v>42174.76274305556</v>
      </c>
      <c r="AP126" s="85" t="str">
        <f>HYPERLINK("https://pbs.twimg.com/profile_banners/3335264723/1572125552")</f>
        <v>https://pbs.twimg.com/profile_banners/3335264723/1572125552</v>
      </c>
      <c r="AQ126" s="80" t="b">
        <v>1</v>
      </c>
      <c r="AR126" s="80" t="b">
        <v>0</v>
      </c>
      <c r="AS126" s="80" t="b">
        <v>0</v>
      </c>
      <c r="AT126" s="80"/>
      <c r="AU126" s="80">
        <v>18</v>
      </c>
      <c r="AV126" s="85" t="str">
        <f>HYPERLINK("http://abs.twimg.com/images/themes/theme1/bg.png")</f>
        <v>http://abs.twimg.com/images/themes/theme1/bg.png</v>
      </c>
      <c r="AW126" s="80" t="b">
        <v>0</v>
      </c>
      <c r="AX126" s="80" t="s">
        <v>2002</v>
      </c>
      <c r="AY126" s="85" t="str">
        <f>HYPERLINK("https://twitter.com/aprilarchivist")</f>
        <v>https://twitter.com/aprilarchivist</v>
      </c>
      <c r="AZ126" s="80" t="s">
        <v>66</v>
      </c>
      <c r="BA126" s="80" t="str">
        <f>REPLACE(INDEX(GroupVertices[Group],MATCH(Vertices[[#This Row],[Vertex]],GroupVertices[Vertex],0)),1,1,"")</f>
        <v>2</v>
      </c>
      <c r="BB126" s="48">
        <v>3</v>
      </c>
      <c r="BC126" s="49">
        <v>7.5</v>
      </c>
      <c r="BD126" s="48">
        <v>0</v>
      </c>
      <c r="BE126" s="49">
        <v>0</v>
      </c>
      <c r="BF126" s="48">
        <v>0</v>
      </c>
      <c r="BG126" s="49">
        <v>0</v>
      </c>
      <c r="BH126" s="48">
        <v>37</v>
      </c>
      <c r="BI126" s="49">
        <v>92.5</v>
      </c>
      <c r="BJ126" s="48">
        <v>40</v>
      </c>
      <c r="BK126" s="48"/>
      <c r="BL126" s="48"/>
      <c r="BM126" s="48"/>
      <c r="BN126" s="48"/>
      <c r="BO126" s="48"/>
      <c r="BP126" s="48"/>
      <c r="BQ126" s="125" t="s">
        <v>3088</v>
      </c>
      <c r="BR126" s="125" t="s">
        <v>3088</v>
      </c>
      <c r="BS126" s="125" t="s">
        <v>2976</v>
      </c>
      <c r="BT126" s="125" t="s">
        <v>2976</v>
      </c>
      <c r="BU126" s="2"/>
      <c r="BV126" s="3"/>
      <c r="BW126" s="3"/>
      <c r="BX126" s="3"/>
      <c r="BY126" s="3"/>
    </row>
    <row r="127" spans="1:77" ht="15">
      <c r="A127" s="66" t="s">
        <v>461</v>
      </c>
      <c r="B127" s="67"/>
      <c r="C127" s="67"/>
      <c r="D127" s="68">
        <v>100</v>
      </c>
      <c r="E127" s="70"/>
      <c r="F127" s="104" t="str">
        <f>HYPERLINK("http://pbs.twimg.com/profile_images/1226458980370833410/ayk1WDlp_normal.jpg")</f>
        <v>http://pbs.twimg.com/profile_images/1226458980370833410/ayk1WDlp_normal.jpg</v>
      </c>
      <c r="G127" s="67"/>
      <c r="H127" s="71" t="s">
        <v>461</v>
      </c>
      <c r="I127" s="72"/>
      <c r="J127" s="72"/>
      <c r="K127" s="71" t="s">
        <v>2126</v>
      </c>
      <c r="L127" s="75">
        <v>1</v>
      </c>
      <c r="M127" s="76">
        <v>3906.191162109375</v>
      </c>
      <c r="N127" s="76">
        <v>2617.0712890625</v>
      </c>
      <c r="O127" s="77"/>
      <c r="P127" s="78"/>
      <c r="Q127" s="78"/>
      <c r="R127" s="90"/>
      <c r="S127" s="48">
        <v>0</v>
      </c>
      <c r="T127" s="48">
        <v>2</v>
      </c>
      <c r="U127" s="49">
        <v>0</v>
      </c>
      <c r="V127" s="49">
        <v>0.013158</v>
      </c>
      <c r="W127" s="49">
        <v>0.021547</v>
      </c>
      <c r="X127" s="49">
        <v>0.566735</v>
      </c>
      <c r="Y127" s="49">
        <v>1</v>
      </c>
      <c r="Z127" s="49">
        <v>0</v>
      </c>
      <c r="AA127" s="73">
        <v>127</v>
      </c>
      <c r="AB127" s="73"/>
      <c r="AC127" s="74"/>
      <c r="AD127" s="80" t="s">
        <v>1323</v>
      </c>
      <c r="AE127" s="88" t="s">
        <v>1545</v>
      </c>
      <c r="AF127" s="80">
        <v>4965</v>
      </c>
      <c r="AG127" s="80">
        <v>4061</v>
      </c>
      <c r="AH127" s="80">
        <v>83228</v>
      </c>
      <c r="AI127" s="80">
        <v>82443</v>
      </c>
      <c r="AJ127" s="80"/>
      <c r="AK127" s="80" t="s">
        <v>1764</v>
      </c>
      <c r="AL127" s="80" t="s">
        <v>1938</v>
      </c>
      <c r="AM127" s="85" t="str">
        <f>HYPERLINK("http://t.co/prCOow5WlS")</f>
        <v>http://t.co/prCOow5WlS</v>
      </c>
      <c r="AN127" s="80"/>
      <c r="AO127" s="82">
        <v>39576.986608796295</v>
      </c>
      <c r="AP127" s="80"/>
      <c r="AQ127" s="80" t="b">
        <v>1</v>
      </c>
      <c r="AR127" s="80" t="b">
        <v>0</v>
      </c>
      <c r="AS127" s="80" t="b">
        <v>1</v>
      </c>
      <c r="AT127" s="80"/>
      <c r="AU127" s="80">
        <v>189</v>
      </c>
      <c r="AV127" s="85" t="str">
        <f>HYPERLINK("http://abs.twimg.com/images/themes/theme1/bg.png")</f>
        <v>http://abs.twimg.com/images/themes/theme1/bg.png</v>
      </c>
      <c r="AW127" s="80" t="b">
        <v>0</v>
      </c>
      <c r="AX127" s="80" t="s">
        <v>2002</v>
      </c>
      <c r="AY127" s="85" t="str">
        <f>HYPERLINK("https://twitter.com/timgollins")</f>
        <v>https://twitter.com/timgollins</v>
      </c>
      <c r="AZ127" s="80" t="s">
        <v>66</v>
      </c>
      <c r="BA127" s="80" t="str">
        <f>REPLACE(INDEX(GroupVertices[Group],MATCH(Vertices[[#This Row],[Vertex]],GroupVertices[Vertex],0)),1,1,"")</f>
        <v>2</v>
      </c>
      <c r="BB127" s="48">
        <v>3</v>
      </c>
      <c r="BC127" s="49">
        <v>7.5</v>
      </c>
      <c r="BD127" s="48">
        <v>0</v>
      </c>
      <c r="BE127" s="49">
        <v>0</v>
      </c>
      <c r="BF127" s="48">
        <v>0</v>
      </c>
      <c r="BG127" s="49">
        <v>0</v>
      </c>
      <c r="BH127" s="48">
        <v>37</v>
      </c>
      <c r="BI127" s="49">
        <v>92.5</v>
      </c>
      <c r="BJ127" s="48">
        <v>40</v>
      </c>
      <c r="BK127" s="48"/>
      <c r="BL127" s="48"/>
      <c r="BM127" s="48"/>
      <c r="BN127" s="48"/>
      <c r="BO127" s="48"/>
      <c r="BP127" s="48"/>
      <c r="BQ127" s="125" t="s">
        <v>3088</v>
      </c>
      <c r="BR127" s="125" t="s">
        <v>3088</v>
      </c>
      <c r="BS127" s="125" t="s">
        <v>2976</v>
      </c>
      <c r="BT127" s="125" t="s">
        <v>2976</v>
      </c>
      <c r="BU127" s="2"/>
      <c r="BV127" s="3"/>
      <c r="BW127" s="3"/>
      <c r="BX127" s="3"/>
      <c r="BY127" s="3"/>
    </row>
    <row r="128" spans="1:77" ht="15">
      <c r="A128" s="66" t="s">
        <v>462</v>
      </c>
      <c r="B128" s="67"/>
      <c r="C128" s="67"/>
      <c r="D128" s="68">
        <v>100.47846842105263</v>
      </c>
      <c r="E128" s="70"/>
      <c r="F128" s="104" t="str">
        <f>HYPERLINK("http://pbs.twimg.com/profile_images/463705400756285440/xN6bn9Fv_normal.png")</f>
        <v>http://pbs.twimg.com/profile_images/463705400756285440/xN6bn9Fv_normal.png</v>
      </c>
      <c r="G128" s="67"/>
      <c r="H128" s="71" t="s">
        <v>462</v>
      </c>
      <c r="I128" s="72"/>
      <c r="J128" s="72"/>
      <c r="K128" s="71" t="s">
        <v>2127</v>
      </c>
      <c r="L128" s="75">
        <v>1.4245250733302195</v>
      </c>
      <c r="M128" s="76">
        <v>7217.9619140625</v>
      </c>
      <c r="N128" s="76">
        <v>8627.6015625</v>
      </c>
      <c r="O128" s="77"/>
      <c r="P128" s="78"/>
      <c r="Q128" s="78"/>
      <c r="R128" s="90"/>
      <c r="S128" s="48">
        <v>0</v>
      </c>
      <c r="T128" s="48">
        <v>2</v>
      </c>
      <c r="U128" s="49">
        <v>0.090909</v>
      </c>
      <c r="V128" s="49">
        <v>0.02</v>
      </c>
      <c r="W128" s="49">
        <v>0</v>
      </c>
      <c r="X128" s="49">
        <v>0.508988</v>
      </c>
      <c r="Y128" s="49">
        <v>0</v>
      </c>
      <c r="Z128" s="49">
        <v>0</v>
      </c>
      <c r="AA128" s="73">
        <v>128</v>
      </c>
      <c r="AB128" s="73"/>
      <c r="AC128" s="74"/>
      <c r="AD128" s="80" t="s">
        <v>1324</v>
      </c>
      <c r="AE128" s="88" t="s">
        <v>1546</v>
      </c>
      <c r="AF128" s="80">
        <v>174</v>
      </c>
      <c r="AG128" s="80">
        <v>67</v>
      </c>
      <c r="AH128" s="80">
        <v>2365</v>
      </c>
      <c r="AI128" s="80">
        <v>151</v>
      </c>
      <c r="AJ128" s="80"/>
      <c r="AK128" s="80"/>
      <c r="AL128" s="80"/>
      <c r="AM128" s="80"/>
      <c r="AN128" s="80"/>
      <c r="AO128" s="82">
        <v>41799.60429398148</v>
      </c>
      <c r="AP128" s="85" t="str">
        <f>HYPERLINK("https://pbs.twimg.com/profile_banners/2556959030/1402324381")</f>
        <v>https://pbs.twimg.com/profile_banners/2556959030/1402324381</v>
      </c>
      <c r="AQ128" s="80" t="b">
        <v>1</v>
      </c>
      <c r="AR128" s="80" t="b">
        <v>0</v>
      </c>
      <c r="AS128" s="80" t="b">
        <v>0</v>
      </c>
      <c r="AT128" s="80"/>
      <c r="AU128" s="80">
        <v>0</v>
      </c>
      <c r="AV128" s="85" t="str">
        <f>HYPERLINK("http://abs.twimg.com/images/themes/theme1/bg.png")</f>
        <v>http://abs.twimg.com/images/themes/theme1/bg.png</v>
      </c>
      <c r="AW128" s="80" t="b">
        <v>0</v>
      </c>
      <c r="AX128" s="80" t="s">
        <v>2002</v>
      </c>
      <c r="AY128" s="85" t="str">
        <f>HYPERLINK("https://twitter.com/dtiiqii")</f>
        <v>https://twitter.com/dtiiqii</v>
      </c>
      <c r="AZ128" s="80" t="s">
        <v>66</v>
      </c>
      <c r="BA128" s="80" t="str">
        <f>REPLACE(INDEX(GroupVertices[Group],MATCH(Vertices[[#This Row],[Vertex]],GroupVertices[Vertex],0)),1,1,"")</f>
        <v>3</v>
      </c>
      <c r="BB128" s="48">
        <v>1</v>
      </c>
      <c r="BC128" s="49">
        <v>5.2631578947368425</v>
      </c>
      <c r="BD128" s="48">
        <v>0</v>
      </c>
      <c r="BE128" s="49">
        <v>0</v>
      </c>
      <c r="BF128" s="48">
        <v>0</v>
      </c>
      <c r="BG128" s="49">
        <v>0</v>
      </c>
      <c r="BH128" s="48">
        <v>18</v>
      </c>
      <c r="BI128" s="49">
        <v>94.73684210526316</v>
      </c>
      <c r="BJ128" s="48">
        <v>19</v>
      </c>
      <c r="BK128" s="48" t="s">
        <v>2724</v>
      </c>
      <c r="BL128" s="48" t="s">
        <v>2724</v>
      </c>
      <c r="BM128" s="48" t="s">
        <v>678</v>
      </c>
      <c r="BN128" s="48" t="s">
        <v>678</v>
      </c>
      <c r="BO128" s="48" t="s">
        <v>703</v>
      </c>
      <c r="BP128" s="48" t="s">
        <v>703</v>
      </c>
      <c r="BQ128" s="125" t="s">
        <v>3091</v>
      </c>
      <c r="BR128" s="125" t="s">
        <v>3091</v>
      </c>
      <c r="BS128" s="125" t="s">
        <v>2977</v>
      </c>
      <c r="BT128" s="125" t="s">
        <v>2977</v>
      </c>
      <c r="BU128" s="2"/>
      <c r="BV128" s="3"/>
      <c r="BW128" s="3"/>
      <c r="BX128" s="3"/>
      <c r="BY128" s="3"/>
    </row>
    <row r="129" spans="1:77" ht="15">
      <c r="A129" s="66" t="s">
        <v>463</v>
      </c>
      <c r="B129" s="67"/>
      <c r="C129" s="67"/>
      <c r="D129" s="68">
        <v>100</v>
      </c>
      <c r="E129" s="70"/>
      <c r="F129" s="104" t="str">
        <f>HYPERLINK("http://pbs.twimg.com/profile_images/1242441234385231873/GLkHNr-B_normal.jpg")</f>
        <v>http://pbs.twimg.com/profile_images/1242441234385231873/GLkHNr-B_normal.jpg</v>
      </c>
      <c r="G129" s="67"/>
      <c r="H129" s="71" t="s">
        <v>463</v>
      </c>
      <c r="I129" s="72"/>
      <c r="J129" s="72"/>
      <c r="K129" s="71" t="s">
        <v>2128</v>
      </c>
      <c r="L129" s="75">
        <v>1</v>
      </c>
      <c r="M129" s="76">
        <v>9768.2451171875</v>
      </c>
      <c r="N129" s="76">
        <v>8945.7060546875</v>
      </c>
      <c r="O129" s="77"/>
      <c r="P129" s="78"/>
      <c r="Q129" s="78"/>
      <c r="R129" s="90"/>
      <c r="S129" s="48">
        <v>0</v>
      </c>
      <c r="T129" s="48">
        <v>2</v>
      </c>
      <c r="U129" s="49">
        <v>0</v>
      </c>
      <c r="V129" s="49">
        <v>0.026316</v>
      </c>
      <c r="W129" s="49">
        <v>0</v>
      </c>
      <c r="X129" s="49">
        <v>0.576762</v>
      </c>
      <c r="Y129" s="49">
        <v>0.5</v>
      </c>
      <c r="Z129" s="49">
        <v>0</v>
      </c>
      <c r="AA129" s="73">
        <v>129</v>
      </c>
      <c r="AB129" s="73"/>
      <c r="AC129" s="74"/>
      <c r="AD129" s="80" t="s">
        <v>1325</v>
      </c>
      <c r="AE129" s="88" t="s">
        <v>1547</v>
      </c>
      <c r="AF129" s="80">
        <v>2090</v>
      </c>
      <c r="AG129" s="80">
        <v>127</v>
      </c>
      <c r="AH129" s="80">
        <v>82</v>
      </c>
      <c r="AI129" s="80">
        <v>522</v>
      </c>
      <c r="AJ129" s="80"/>
      <c r="AK129" s="80" t="s">
        <v>1765</v>
      </c>
      <c r="AL129" s="80"/>
      <c r="AM129" s="85" t="str">
        <f>HYPERLINK("https://t.co/78H4XU2yyq")</f>
        <v>https://t.co/78H4XU2yyq</v>
      </c>
      <c r="AN129" s="80"/>
      <c r="AO129" s="82">
        <v>42690.02667824074</v>
      </c>
      <c r="AP129" s="85" t="str">
        <f>HYPERLINK("https://pbs.twimg.com/profile_banners/798686625232404481/1488036620")</f>
        <v>https://pbs.twimg.com/profile_banners/798686625232404481/1488036620</v>
      </c>
      <c r="AQ129" s="80" t="b">
        <v>1</v>
      </c>
      <c r="AR129" s="80" t="b">
        <v>0</v>
      </c>
      <c r="AS129" s="80" t="b">
        <v>0</v>
      </c>
      <c r="AT129" s="80"/>
      <c r="AU129" s="80">
        <v>0</v>
      </c>
      <c r="AV129" s="80"/>
      <c r="AW129" s="80" t="b">
        <v>0</v>
      </c>
      <c r="AX129" s="80" t="s">
        <v>2002</v>
      </c>
      <c r="AY129" s="85" t="str">
        <f>HYPERLINK("https://twitter.com/ashiquebiniqbal")</f>
        <v>https://twitter.com/ashiquebiniqbal</v>
      </c>
      <c r="AZ129" s="80" t="s">
        <v>66</v>
      </c>
      <c r="BA129" s="80" t="str">
        <f>REPLACE(INDEX(GroupVertices[Group],MATCH(Vertices[[#This Row],[Vertex]],GroupVertices[Vertex],0)),1,1,"")</f>
        <v>4</v>
      </c>
      <c r="BB129" s="48">
        <v>1</v>
      </c>
      <c r="BC129" s="49">
        <v>3.125</v>
      </c>
      <c r="BD129" s="48">
        <v>1</v>
      </c>
      <c r="BE129" s="49">
        <v>3.125</v>
      </c>
      <c r="BF129" s="48">
        <v>0</v>
      </c>
      <c r="BG129" s="49">
        <v>0</v>
      </c>
      <c r="BH129" s="48">
        <v>30</v>
      </c>
      <c r="BI129" s="49">
        <v>93.75</v>
      </c>
      <c r="BJ129" s="48">
        <v>32</v>
      </c>
      <c r="BK129" s="48"/>
      <c r="BL129" s="48"/>
      <c r="BM129" s="48"/>
      <c r="BN129" s="48"/>
      <c r="BO129" s="48" t="s">
        <v>711</v>
      </c>
      <c r="BP129" s="48" t="s">
        <v>711</v>
      </c>
      <c r="BQ129" s="125" t="s">
        <v>2863</v>
      </c>
      <c r="BR129" s="125" t="s">
        <v>2863</v>
      </c>
      <c r="BS129" s="125" t="s">
        <v>2978</v>
      </c>
      <c r="BT129" s="125" t="s">
        <v>2978</v>
      </c>
      <c r="BU129" s="2"/>
      <c r="BV129" s="3"/>
      <c r="BW129" s="3"/>
      <c r="BX129" s="3"/>
      <c r="BY129" s="3"/>
    </row>
    <row r="130" spans="1:77" ht="15">
      <c r="A130" s="66" t="s">
        <v>464</v>
      </c>
      <c r="B130" s="67"/>
      <c r="C130" s="67"/>
      <c r="D130" s="68">
        <v>100</v>
      </c>
      <c r="E130" s="70"/>
      <c r="F130" s="104" t="str">
        <f>HYPERLINK("http://pbs.twimg.com/profile_images/1171559246456135680/S2sSzsQl_normal.jpg")</f>
        <v>http://pbs.twimg.com/profile_images/1171559246456135680/S2sSzsQl_normal.jpg</v>
      </c>
      <c r="G130" s="67"/>
      <c r="H130" s="71" t="s">
        <v>464</v>
      </c>
      <c r="I130" s="72"/>
      <c r="J130" s="72"/>
      <c r="K130" s="71" t="s">
        <v>2129</v>
      </c>
      <c r="L130" s="75">
        <v>1</v>
      </c>
      <c r="M130" s="76">
        <v>9492.353515625</v>
      </c>
      <c r="N130" s="76">
        <v>7073.55126953125</v>
      </c>
      <c r="O130" s="77"/>
      <c r="P130" s="78"/>
      <c r="Q130" s="78"/>
      <c r="R130" s="90"/>
      <c r="S130" s="48">
        <v>0</v>
      </c>
      <c r="T130" s="48">
        <v>2</v>
      </c>
      <c r="U130" s="49">
        <v>0</v>
      </c>
      <c r="V130" s="49">
        <v>0.026316</v>
      </c>
      <c r="W130" s="49">
        <v>0</v>
      </c>
      <c r="X130" s="49">
        <v>0.576762</v>
      </c>
      <c r="Y130" s="49">
        <v>0.5</v>
      </c>
      <c r="Z130" s="49">
        <v>0</v>
      </c>
      <c r="AA130" s="73">
        <v>130</v>
      </c>
      <c r="AB130" s="73"/>
      <c r="AC130" s="74"/>
      <c r="AD130" s="80" t="s">
        <v>1326</v>
      </c>
      <c r="AE130" s="88" t="s">
        <v>1548</v>
      </c>
      <c r="AF130" s="80">
        <v>5745</v>
      </c>
      <c r="AG130" s="80">
        <v>5935</v>
      </c>
      <c r="AH130" s="80">
        <v>48332</v>
      </c>
      <c r="AI130" s="80">
        <v>219962</v>
      </c>
      <c r="AJ130" s="80"/>
      <c r="AK130" s="80" t="s">
        <v>1766</v>
      </c>
      <c r="AL130" s="80" t="s">
        <v>1939</v>
      </c>
      <c r="AM130" s="85" t="str">
        <f>HYPERLINK("https://t.co/YIqCenZlMD")</f>
        <v>https://t.co/YIqCenZlMD</v>
      </c>
      <c r="AN130" s="80"/>
      <c r="AO130" s="82">
        <v>41410.628530092596</v>
      </c>
      <c r="AP130" s="85" t="str">
        <f>HYPERLINK("https://pbs.twimg.com/profile_banners/1433289318/1528335373")</f>
        <v>https://pbs.twimg.com/profile_banners/1433289318/1528335373</v>
      </c>
      <c r="AQ130" s="80" t="b">
        <v>1</v>
      </c>
      <c r="AR130" s="80" t="b">
        <v>0</v>
      </c>
      <c r="AS130" s="80" t="b">
        <v>1</v>
      </c>
      <c r="AT130" s="80"/>
      <c r="AU130" s="80">
        <v>124</v>
      </c>
      <c r="AV130" s="85" t="str">
        <f>HYPERLINK("http://abs.twimg.com/images/themes/theme1/bg.png")</f>
        <v>http://abs.twimg.com/images/themes/theme1/bg.png</v>
      </c>
      <c r="AW130" s="80" t="b">
        <v>0</v>
      </c>
      <c r="AX130" s="80" t="s">
        <v>2002</v>
      </c>
      <c r="AY130" s="85" t="str">
        <f>HYPERLINK("https://twitter.com/ellenychang")</f>
        <v>https://twitter.com/ellenychang</v>
      </c>
      <c r="AZ130" s="80" t="s">
        <v>66</v>
      </c>
      <c r="BA130" s="80" t="str">
        <f>REPLACE(INDEX(GroupVertices[Group],MATCH(Vertices[[#This Row],[Vertex]],GroupVertices[Vertex],0)),1,1,"")</f>
        <v>4</v>
      </c>
      <c r="BB130" s="48">
        <v>1</v>
      </c>
      <c r="BC130" s="49">
        <v>3.125</v>
      </c>
      <c r="BD130" s="48">
        <v>1</v>
      </c>
      <c r="BE130" s="49">
        <v>3.125</v>
      </c>
      <c r="BF130" s="48">
        <v>0</v>
      </c>
      <c r="BG130" s="49">
        <v>0</v>
      </c>
      <c r="BH130" s="48">
        <v>30</v>
      </c>
      <c r="BI130" s="49">
        <v>93.75</v>
      </c>
      <c r="BJ130" s="48">
        <v>32</v>
      </c>
      <c r="BK130" s="48"/>
      <c r="BL130" s="48"/>
      <c r="BM130" s="48"/>
      <c r="BN130" s="48"/>
      <c r="BO130" s="48" t="s">
        <v>711</v>
      </c>
      <c r="BP130" s="48" t="s">
        <v>711</v>
      </c>
      <c r="BQ130" s="125" t="s">
        <v>2863</v>
      </c>
      <c r="BR130" s="125" t="s">
        <v>2863</v>
      </c>
      <c r="BS130" s="125" t="s">
        <v>2978</v>
      </c>
      <c r="BT130" s="125" t="s">
        <v>2978</v>
      </c>
      <c r="BU130" s="2"/>
      <c r="BV130" s="3"/>
      <c r="BW130" s="3"/>
      <c r="BX130" s="3"/>
      <c r="BY130" s="3"/>
    </row>
    <row r="131" spans="1:77" ht="15">
      <c r="A131" s="66" t="s">
        <v>465</v>
      </c>
      <c r="B131" s="67"/>
      <c r="C131" s="67"/>
      <c r="D131" s="68">
        <v>100</v>
      </c>
      <c r="E131" s="70"/>
      <c r="F131" s="104" t="str">
        <f>HYPERLINK("http://pbs.twimg.com/profile_images/944139796628344832/Kky-ZV3__normal.jpg")</f>
        <v>http://pbs.twimg.com/profile_images/944139796628344832/Kky-ZV3__normal.jpg</v>
      </c>
      <c r="G131" s="67"/>
      <c r="H131" s="71" t="s">
        <v>465</v>
      </c>
      <c r="I131" s="72"/>
      <c r="J131" s="72"/>
      <c r="K131" s="71" t="s">
        <v>2130</v>
      </c>
      <c r="L131" s="75">
        <v>1</v>
      </c>
      <c r="M131" s="76">
        <v>8398.7470703125</v>
      </c>
      <c r="N131" s="76">
        <v>9843.6689453125</v>
      </c>
      <c r="O131" s="77"/>
      <c r="P131" s="78"/>
      <c r="Q131" s="78"/>
      <c r="R131" s="90"/>
      <c r="S131" s="48">
        <v>0</v>
      </c>
      <c r="T131" s="48">
        <v>2</v>
      </c>
      <c r="U131" s="49">
        <v>0</v>
      </c>
      <c r="V131" s="49">
        <v>0.026316</v>
      </c>
      <c r="W131" s="49">
        <v>0</v>
      </c>
      <c r="X131" s="49">
        <v>0.576762</v>
      </c>
      <c r="Y131" s="49">
        <v>0.5</v>
      </c>
      <c r="Z131" s="49">
        <v>0</v>
      </c>
      <c r="AA131" s="73">
        <v>131</v>
      </c>
      <c r="AB131" s="73"/>
      <c r="AC131" s="74"/>
      <c r="AD131" s="80" t="s">
        <v>1327</v>
      </c>
      <c r="AE131" s="88" t="s">
        <v>1549</v>
      </c>
      <c r="AF131" s="80">
        <v>894</v>
      </c>
      <c r="AG131" s="80">
        <v>1184</v>
      </c>
      <c r="AH131" s="80">
        <v>11089</v>
      </c>
      <c r="AI131" s="80">
        <v>7660</v>
      </c>
      <c r="AJ131" s="80"/>
      <c r="AK131" s="80" t="s">
        <v>1767</v>
      </c>
      <c r="AL131" s="80" t="s">
        <v>1940</v>
      </c>
      <c r="AM131" s="85" t="str">
        <f>HYPERLINK("https://t.co/yNhol6A29G")</f>
        <v>https://t.co/yNhol6A29G</v>
      </c>
      <c r="AN131" s="80"/>
      <c r="AO131" s="82">
        <v>40949.82030092592</v>
      </c>
      <c r="AP131" s="85" t="str">
        <f>HYPERLINK("https://pbs.twimg.com/profile_banners/488729956/1573833233")</f>
        <v>https://pbs.twimg.com/profile_banners/488729956/1573833233</v>
      </c>
      <c r="AQ131" s="80" t="b">
        <v>0</v>
      </c>
      <c r="AR131" s="80" t="b">
        <v>0</v>
      </c>
      <c r="AS131" s="80" t="b">
        <v>1</v>
      </c>
      <c r="AT131" s="80"/>
      <c r="AU131" s="80">
        <v>11</v>
      </c>
      <c r="AV131" s="85" t="str">
        <f>HYPERLINK("http://abs.twimg.com/images/themes/theme18/bg.gif")</f>
        <v>http://abs.twimg.com/images/themes/theme18/bg.gif</v>
      </c>
      <c r="AW131" s="80" t="b">
        <v>0</v>
      </c>
      <c r="AX131" s="80" t="s">
        <v>2002</v>
      </c>
      <c r="AY131" s="85" t="str">
        <f>HYPERLINK("https://twitter.com/daudpasaney")</f>
        <v>https://twitter.com/daudpasaney</v>
      </c>
      <c r="AZ131" s="80" t="s">
        <v>66</v>
      </c>
      <c r="BA131" s="80" t="str">
        <f>REPLACE(INDEX(GroupVertices[Group],MATCH(Vertices[[#This Row],[Vertex]],GroupVertices[Vertex],0)),1,1,"")</f>
        <v>4</v>
      </c>
      <c r="BB131" s="48">
        <v>1</v>
      </c>
      <c r="BC131" s="49">
        <v>3.125</v>
      </c>
      <c r="BD131" s="48">
        <v>1</v>
      </c>
      <c r="BE131" s="49">
        <v>3.125</v>
      </c>
      <c r="BF131" s="48">
        <v>0</v>
      </c>
      <c r="BG131" s="49">
        <v>0</v>
      </c>
      <c r="BH131" s="48">
        <v>30</v>
      </c>
      <c r="BI131" s="49">
        <v>93.75</v>
      </c>
      <c r="BJ131" s="48">
        <v>32</v>
      </c>
      <c r="BK131" s="48"/>
      <c r="BL131" s="48"/>
      <c r="BM131" s="48"/>
      <c r="BN131" s="48"/>
      <c r="BO131" s="48" t="s">
        <v>711</v>
      </c>
      <c r="BP131" s="48" t="s">
        <v>711</v>
      </c>
      <c r="BQ131" s="125" t="s">
        <v>2863</v>
      </c>
      <c r="BR131" s="125" t="s">
        <v>2863</v>
      </c>
      <c r="BS131" s="125" t="s">
        <v>2978</v>
      </c>
      <c r="BT131" s="125" t="s">
        <v>2978</v>
      </c>
      <c r="BU131" s="2"/>
      <c r="BV131" s="3"/>
      <c r="BW131" s="3"/>
      <c r="BX131" s="3"/>
      <c r="BY131" s="3"/>
    </row>
    <row r="132" spans="1:77" ht="15">
      <c r="A132" s="66" t="s">
        <v>466</v>
      </c>
      <c r="B132" s="67"/>
      <c r="C132" s="67"/>
      <c r="D132" s="68">
        <v>100</v>
      </c>
      <c r="E132" s="70"/>
      <c r="F132" s="104" t="str">
        <f>HYPERLINK("http://pbs.twimg.com/profile_images/1274357533273026562/EXMxtsu0_normal.jpg")</f>
        <v>http://pbs.twimg.com/profile_images/1274357533273026562/EXMxtsu0_normal.jpg</v>
      </c>
      <c r="G132" s="67"/>
      <c r="H132" s="71" t="s">
        <v>466</v>
      </c>
      <c r="I132" s="72"/>
      <c r="J132" s="72"/>
      <c r="K132" s="71" t="s">
        <v>2131</v>
      </c>
      <c r="L132" s="75">
        <v>1</v>
      </c>
      <c r="M132" s="76">
        <v>7949.58203125</v>
      </c>
      <c r="N132" s="76">
        <v>7448.96435546875</v>
      </c>
      <c r="O132" s="77"/>
      <c r="P132" s="78"/>
      <c r="Q132" s="78"/>
      <c r="R132" s="90"/>
      <c r="S132" s="48">
        <v>0</v>
      </c>
      <c r="T132" s="48">
        <v>2</v>
      </c>
      <c r="U132" s="49">
        <v>0</v>
      </c>
      <c r="V132" s="49">
        <v>0.026316</v>
      </c>
      <c r="W132" s="49">
        <v>0</v>
      </c>
      <c r="X132" s="49">
        <v>0.576762</v>
      </c>
      <c r="Y132" s="49">
        <v>0.5</v>
      </c>
      <c r="Z132" s="49">
        <v>0</v>
      </c>
      <c r="AA132" s="73">
        <v>132</v>
      </c>
      <c r="AB132" s="73"/>
      <c r="AC132" s="74"/>
      <c r="AD132" s="80" t="s">
        <v>1328</v>
      </c>
      <c r="AE132" s="88" t="s">
        <v>1550</v>
      </c>
      <c r="AF132" s="80">
        <v>395</v>
      </c>
      <c r="AG132" s="80">
        <v>353</v>
      </c>
      <c r="AH132" s="80">
        <v>9911</v>
      </c>
      <c r="AI132" s="80">
        <v>514</v>
      </c>
      <c r="AJ132" s="80"/>
      <c r="AK132" s="80" t="s">
        <v>1768</v>
      </c>
      <c r="AL132" s="80"/>
      <c r="AM132" s="80"/>
      <c r="AN132" s="80"/>
      <c r="AO132" s="82">
        <v>40367.124872685185</v>
      </c>
      <c r="AP132" s="85" t="str">
        <f>HYPERLINK("https://pbs.twimg.com/profile_banners/164124266/1589593495")</f>
        <v>https://pbs.twimg.com/profile_banners/164124266/1589593495</v>
      </c>
      <c r="AQ132" s="80" t="b">
        <v>0</v>
      </c>
      <c r="AR132" s="80" t="b">
        <v>0</v>
      </c>
      <c r="AS132" s="80" t="b">
        <v>1</v>
      </c>
      <c r="AT132" s="80"/>
      <c r="AU132" s="80">
        <v>4</v>
      </c>
      <c r="AV132" s="85" t="str">
        <f>HYPERLINK("http://abs.twimg.com/images/themes/theme10/bg.gif")</f>
        <v>http://abs.twimg.com/images/themes/theme10/bg.gif</v>
      </c>
      <c r="AW132" s="80" t="b">
        <v>0</v>
      </c>
      <c r="AX132" s="80" t="s">
        <v>2002</v>
      </c>
      <c r="AY132" s="85" t="str">
        <f>HYPERLINK("https://twitter.com/juanainesjjj")</f>
        <v>https://twitter.com/juanainesjjj</v>
      </c>
      <c r="AZ132" s="80" t="s">
        <v>66</v>
      </c>
      <c r="BA132" s="80" t="str">
        <f>REPLACE(INDEX(GroupVertices[Group],MATCH(Vertices[[#This Row],[Vertex]],GroupVertices[Vertex],0)),1,1,"")</f>
        <v>4</v>
      </c>
      <c r="BB132" s="48">
        <v>1</v>
      </c>
      <c r="BC132" s="49">
        <v>3.125</v>
      </c>
      <c r="BD132" s="48">
        <v>1</v>
      </c>
      <c r="BE132" s="49">
        <v>3.125</v>
      </c>
      <c r="BF132" s="48">
        <v>0</v>
      </c>
      <c r="BG132" s="49">
        <v>0</v>
      </c>
      <c r="BH132" s="48">
        <v>30</v>
      </c>
      <c r="BI132" s="49">
        <v>93.75</v>
      </c>
      <c r="BJ132" s="48">
        <v>32</v>
      </c>
      <c r="BK132" s="48"/>
      <c r="BL132" s="48"/>
      <c r="BM132" s="48"/>
      <c r="BN132" s="48"/>
      <c r="BO132" s="48" t="s">
        <v>711</v>
      </c>
      <c r="BP132" s="48" t="s">
        <v>711</v>
      </c>
      <c r="BQ132" s="125" t="s">
        <v>2863</v>
      </c>
      <c r="BR132" s="125" t="s">
        <v>2863</v>
      </c>
      <c r="BS132" s="125" t="s">
        <v>2978</v>
      </c>
      <c r="BT132" s="125" t="s">
        <v>2978</v>
      </c>
      <c r="BU132" s="2"/>
      <c r="BV132" s="3"/>
      <c r="BW132" s="3"/>
      <c r="BX132" s="3"/>
      <c r="BY132" s="3"/>
    </row>
    <row r="133" spans="1:77" ht="15">
      <c r="A133" s="66" t="s">
        <v>467</v>
      </c>
      <c r="B133" s="67"/>
      <c r="C133" s="67"/>
      <c r="D133" s="68">
        <v>100</v>
      </c>
      <c r="E133" s="70"/>
      <c r="F133" s="104" t="str">
        <f>HYPERLINK("http://pbs.twimg.com/profile_images/717636173364076544/bWAXypCk_normal.jpg")</f>
        <v>http://pbs.twimg.com/profile_images/717636173364076544/bWAXypCk_normal.jpg</v>
      </c>
      <c r="G133" s="67"/>
      <c r="H133" s="71" t="s">
        <v>467</v>
      </c>
      <c r="I133" s="72"/>
      <c r="J133" s="72"/>
      <c r="K133" s="71" t="s">
        <v>2132</v>
      </c>
      <c r="L133" s="75">
        <v>1</v>
      </c>
      <c r="M133" s="76">
        <v>8986.890625</v>
      </c>
      <c r="N133" s="76">
        <v>9736.2958984375</v>
      </c>
      <c r="O133" s="77"/>
      <c r="P133" s="78"/>
      <c r="Q133" s="78"/>
      <c r="R133" s="90"/>
      <c r="S133" s="48">
        <v>0</v>
      </c>
      <c r="T133" s="48">
        <v>2</v>
      </c>
      <c r="U133" s="49">
        <v>0</v>
      </c>
      <c r="V133" s="49">
        <v>0.026316</v>
      </c>
      <c r="W133" s="49">
        <v>0</v>
      </c>
      <c r="X133" s="49">
        <v>0.576762</v>
      </c>
      <c r="Y133" s="49">
        <v>0.5</v>
      </c>
      <c r="Z133" s="49">
        <v>0</v>
      </c>
      <c r="AA133" s="73">
        <v>133</v>
      </c>
      <c r="AB133" s="73"/>
      <c r="AC133" s="74"/>
      <c r="AD133" s="80" t="s">
        <v>1329</v>
      </c>
      <c r="AE133" s="88" t="s">
        <v>1551</v>
      </c>
      <c r="AF133" s="80">
        <v>395</v>
      </c>
      <c r="AG133" s="80">
        <v>6752</v>
      </c>
      <c r="AH133" s="80">
        <v>20236</v>
      </c>
      <c r="AI133" s="80">
        <v>8506</v>
      </c>
      <c r="AJ133" s="80"/>
      <c r="AK133" s="80" t="s">
        <v>1769</v>
      </c>
      <c r="AL133" s="80" t="s">
        <v>1941</v>
      </c>
      <c r="AM133" s="80"/>
      <c r="AN133" s="80"/>
      <c r="AO133" s="82">
        <v>40414.768229166664</v>
      </c>
      <c r="AP133" s="80"/>
      <c r="AQ133" s="80" t="b">
        <v>1</v>
      </c>
      <c r="AR133" s="80" t="b">
        <v>0</v>
      </c>
      <c r="AS133" s="80" t="b">
        <v>1</v>
      </c>
      <c r="AT133" s="80"/>
      <c r="AU133" s="80">
        <v>18</v>
      </c>
      <c r="AV133" s="85" t="str">
        <f>HYPERLINK("http://abs.twimg.com/images/themes/theme1/bg.png")</f>
        <v>http://abs.twimg.com/images/themes/theme1/bg.png</v>
      </c>
      <c r="AW133" s="80" t="b">
        <v>0</v>
      </c>
      <c r="AX133" s="80" t="s">
        <v>2002</v>
      </c>
      <c r="AY133" s="85" t="str">
        <f>HYPERLINK("https://twitter.com/nellylaoni")</f>
        <v>https://twitter.com/nellylaoni</v>
      </c>
      <c r="AZ133" s="80" t="s">
        <v>66</v>
      </c>
      <c r="BA133" s="80" t="str">
        <f>REPLACE(INDEX(GroupVertices[Group],MATCH(Vertices[[#This Row],[Vertex]],GroupVertices[Vertex],0)),1,1,"")</f>
        <v>4</v>
      </c>
      <c r="BB133" s="48">
        <v>1</v>
      </c>
      <c r="BC133" s="49">
        <v>3.125</v>
      </c>
      <c r="BD133" s="48">
        <v>1</v>
      </c>
      <c r="BE133" s="49">
        <v>3.125</v>
      </c>
      <c r="BF133" s="48">
        <v>0</v>
      </c>
      <c r="BG133" s="49">
        <v>0</v>
      </c>
      <c r="BH133" s="48">
        <v>30</v>
      </c>
      <c r="BI133" s="49">
        <v>93.75</v>
      </c>
      <c r="BJ133" s="48">
        <v>32</v>
      </c>
      <c r="BK133" s="48"/>
      <c r="BL133" s="48"/>
      <c r="BM133" s="48"/>
      <c r="BN133" s="48"/>
      <c r="BO133" s="48" t="s">
        <v>711</v>
      </c>
      <c r="BP133" s="48" t="s">
        <v>711</v>
      </c>
      <c r="BQ133" s="125" t="s">
        <v>2863</v>
      </c>
      <c r="BR133" s="125" t="s">
        <v>2863</v>
      </c>
      <c r="BS133" s="125" t="s">
        <v>2978</v>
      </c>
      <c r="BT133" s="125" t="s">
        <v>2978</v>
      </c>
      <c r="BU133" s="2"/>
      <c r="BV133" s="3"/>
      <c r="BW133" s="3"/>
      <c r="BX133" s="3"/>
      <c r="BY133" s="3"/>
    </row>
    <row r="134" spans="1:77" ht="15">
      <c r="A134" s="66" t="s">
        <v>468</v>
      </c>
      <c r="B134" s="67"/>
      <c r="C134" s="67"/>
      <c r="D134" s="68">
        <v>100</v>
      </c>
      <c r="E134" s="70"/>
      <c r="F134" s="104" t="str">
        <f>HYPERLINK("http://pbs.twimg.com/profile_images/619271478039715840/3o29n4NO_normal.jpg")</f>
        <v>http://pbs.twimg.com/profile_images/619271478039715840/3o29n4NO_normal.jpg</v>
      </c>
      <c r="G134" s="67"/>
      <c r="H134" s="71" t="s">
        <v>468</v>
      </c>
      <c r="I134" s="72"/>
      <c r="J134" s="72"/>
      <c r="K134" s="71" t="s">
        <v>2133</v>
      </c>
      <c r="L134" s="75">
        <v>1</v>
      </c>
      <c r="M134" s="76">
        <v>7063.232421875</v>
      </c>
      <c r="N134" s="76">
        <v>1401.5938720703125</v>
      </c>
      <c r="O134" s="77"/>
      <c r="P134" s="78"/>
      <c r="Q134" s="78"/>
      <c r="R134" s="90"/>
      <c r="S134" s="48">
        <v>2</v>
      </c>
      <c r="T134" s="48">
        <v>2</v>
      </c>
      <c r="U134" s="49">
        <v>0</v>
      </c>
      <c r="V134" s="49">
        <v>0.333333</v>
      </c>
      <c r="W134" s="49">
        <v>0</v>
      </c>
      <c r="X134" s="49">
        <v>0.999998</v>
      </c>
      <c r="Y134" s="49">
        <v>0.5</v>
      </c>
      <c r="Z134" s="49">
        <v>0.3333333333333333</v>
      </c>
      <c r="AA134" s="73">
        <v>134</v>
      </c>
      <c r="AB134" s="73"/>
      <c r="AC134" s="74"/>
      <c r="AD134" s="80" t="s">
        <v>1330</v>
      </c>
      <c r="AE134" s="88" t="s">
        <v>1552</v>
      </c>
      <c r="AF134" s="80">
        <v>223</v>
      </c>
      <c r="AG134" s="80">
        <v>86</v>
      </c>
      <c r="AH134" s="80">
        <v>111</v>
      </c>
      <c r="AI134" s="80">
        <v>63</v>
      </c>
      <c r="AJ134" s="80"/>
      <c r="AK134" s="80" t="s">
        <v>1770</v>
      </c>
      <c r="AL134" s="80" t="s">
        <v>1942</v>
      </c>
      <c r="AM134" s="85" t="str">
        <f>HYPERLINK("https://t.co/5xoDCv7Bh6")</f>
        <v>https://t.co/5xoDCv7Bh6</v>
      </c>
      <c r="AN134" s="80"/>
      <c r="AO134" s="82">
        <v>42194.92518518519</v>
      </c>
      <c r="AP134" s="85" t="str">
        <f>HYPERLINK("https://pbs.twimg.com/profile_banners/3368295737/1436480968")</f>
        <v>https://pbs.twimg.com/profile_banners/3368295737/1436480968</v>
      </c>
      <c r="AQ134" s="80" t="b">
        <v>1</v>
      </c>
      <c r="AR134" s="80" t="b">
        <v>0</v>
      </c>
      <c r="AS134" s="80" t="b">
        <v>0</v>
      </c>
      <c r="AT134" s="80"/>
      <c r="AU134" s="80">
        <v>5</v>
      </c>
      <c r="AV134" s="85" t="str">
        <f>HYPERLINK("http://abs.twimg.com/images/themes/theme1/bg.png")</f>
        <v>http://abs.twimg.com/images/themes/theme1/bg.png</v>
      </c>
      <c r="AW134" s="80" t="b">
        <v>0</v>
      </c>
      <c r="AX134" s="80" t="s">
        <v>2002</v>
      </c>
      <c r="AY134" s="85" t="str">
        <f>HYPERLINK("https://twitter.com/datosundav")</f>
        <v>https://twitter.com/datosundav</v>
      </c>
      <c r="AZ134" s="80" t="s">
        <v>66</v>
      </c>
      <c r="BA134" s="80" t="str">
        <f>REPLACE(INDEX(GroupVertices[Group],MATCH(Vertices[[#This Row],[Vertex]],GroupVertices[Vertex],0)),1,1,"")</f>
        <v>13</v>
      </c>
      <c r="BB134" s="48">
        <v>0</v>
      </c>
      <c r="BC134" s="49">
        <v>0</v>
      </c>
      <c r="BD134" s="48">
        <v>0</v>
      </c>
      <c r="BE134" s="49">
        <v>0</v>
      </c>
      <c r="BF134" s="48">
        <v>0</v>
      </c>
      <c r="BG134" s="49">
        <v>0</v>
      </c>
      <c r="BH134" s="48">
        <v>16</v>
      </c>
      <c r="BI134" s="49">
        <v>100</v>
      </c>
      <c r="BJ134" s="48">
        <v>16</v>
      </c>
      <c r="BK134" s="48" t="s">
        <v>2725</v>
      </c>
      <c r="BL134" s="48" t="s">
        <v>2725</v>
      </c>
      <c r="BM134" s="48" t="s">
        <v>683</v>
      </c>
      <c r="BN134" s="48" t="s">
        <v>683</v>
      </c>
      <c r="BO134" s="48" t="s">
        <v>707</v>
      </c>
      <c r="BP134" s="48" t="s">
        <v>707</v>
      </c>
      <c r="BQ134" s="125" t="s">
        <v>2872</v>
      </c>
      <c r="BR134" s="125" t="s">
        <v>2872</v>
      </c>
      <c r="BS134" s="125" t="s">
        <v>2987</v>
      </c>
      <c r="BT134" s="125" t="s">
        <v>2987</v>
      </c>
      <c r="BU134" s="2"/>
      <c r="BV134" s="3"/>
      <c r="BW134" s="3"/>
      <c r="BX134" s="3"/>
      <c r="BY134" s="3"/>
    </row>
    <row r="135" spans="1:77" ht="15">
      <c r="A135" s="66" t="s">
        <v>469</v>
      </c>
      <c r="B135" s="67"/>
      <c r="C135" s="67"/>
      <c r="D135" s="68">
        <v>100</v>
      </c>
      <c r="E135" s="70"/>
      <c r="F135" s="104" t="str">
        <f>HYPERLINK("http://pbs.twimg.com/profile_images/1224913695987453952/ZBfvgpih_normal.jpg")</f>
        <v>http://pbs.twimg.com/profile_images/1224913695987453952/ZBfvgpih_normal.jpg</v>
      </c>
      <c r="G135" s="67"/>
      <c r="H135" s="71" t="s">
        <v>469</v>
      </c>
      <c r="I135" s="72"/>
      <c r="J135" s="72"/>
      <c r="K135" s="71" t="s">
        <v>2134</v>
      </c>
      <c r="L135" s="75">
        <v>1</v>
      </c>
      <c r="M135" s="76">
        <v>8158.17578125</v>
      </c>
      <c r="N135" s="76">
        <v>155.33128356933594</v>
      </c>
      <c r="O135" s="77"/>
      <c r="P135" s="78"/>
      <c r="Q135" s="78"/>
      <c r="R135" s="90"/>
      <c r="S135" s="48">
        <v>2</v>
      </c>
      <c r="T135" s="48">
        <v>2</v>
      </c>
      <c r="U135" s="49">
        <v>0</v>
      </c>
      <c r="V135" s="49">
        <v>0.333333</v>
      </c>
      <c r="W135" s="49">
        <v>0</v>
      </c>
      <c r="X135" s="49">
        <v>0.999998</v>
      </c>
      <c r="Y135" s="49">
        <v>0.5</v>
      </c>
      <c r="Z135" s="49">
        <v>0.3333333333333333</v>
      </c>
      <c r="AA135" s="73">
        <v>135</v>
      </c>
      <c r="AB135" s="73"/>
      <c r="AC135" s="74"/>
      <c r="AD135" s="80" t="s">
        <v>1331</v>
      </c>
      <c r="AE135" s="88" t="s">
        <v>1553</v>
      </c>
      <c r="AF135" s="80">
        <v>105</v>
      </c>
      <c r="AG135" s="80">
        <v>107</v>
      </c>
      <c r="AH135" s="80">
        <v>36</v>
      </c>
      <c r="AI135" s="80">
        <v>7</v>
      </c>
      <c r="AJ135" s="80"/>
      <c r="AK135" s="80" t="s">
        <v>1771</v>
      </c>
      <c r="AL135" s="80" t="s">
        <v>1943</v>
      </c>
      <c r="AM135" s="80"/>
      <c r="AN135" s="80"/>
      <c r="AO135" s="82">
        <v>43440.112488425926</v>
      </c>
      <c r="AP135" s="85" t="str">
        <f>HYPERLINK("https://pbs.twimg.com/profile_banners/1070508622499721216/1580875726")</f>
        <v>https://pbs.twimg.com/profile_banners/1070508622499721216/1580875726</v>
      </c>
      <c r="AQ135" s="80" t="b">
        <v>1</v>
      </c>
      <c r="AR135" s="80" t="b">
        <v>0</v>
      </c>
      <c r="AS135" s="80" t="b">
        <v>0</v>
      </c>
      <c r="AT135" s="80"/>
      <c r="AU135" s="80">
        <v>1</v>
      </c>
      <c r="AV135" s="80"/>
      <c r="AW135" s="80" t="b">
        <v>0</v>
      </c>
      <c r="AX135" s="80" t="s">
        <v>2002</v>
      </c>
      <c r="AY135" s="85" t="str">
        <f>HYPERLINK("https://twitter.com/lacajadatera")</f>
        <v>https://twitter.com/lacajadatera</v>
      </c>
      <c r="AZ135" s="80" t="s">
        <v>66</v>
      </c>
      <c r="BA135" s="80" t="str">
        <f>REPLACE(INDEX(GroupVertices[Group],MATCH(Vertices[[#This Row],[Vertex]],GroupVertices[Vertex],0)),1,1,"")</f>
        <v>13</v>
      </c>
      <c r="BB135" s="48">
        <v>0</v>
      </c>
      <c r="BC135" s="49">
        <v>0</v>
      </c>
      <c r="BD135" s="48">
        <v>0</v>
      </c>
      <c r="BE135" s="49">
        <v>0</v>
      </c>
      <c r="BF135" s="48">
        <v>0</v>
      </c>
      <c r="BG135" s="49">
        <v>0</v>
      </c>
      <c r="BH135" s="48">
        <v>16</v>
      </c>
      <c r="BI135" s="49">
        <v>100</v>
      </c>
      <c r="BJ135" s="48">
        <v>16</v>
      </c>
      <c r="BK135" s="48" t="s">
        <v>2725</v>
      </c>
      <c r="BL135" s="48" t="s">
        <v>2725</v>
      </c>
      <c r="BM135" s="48" t="s">
        <v>683</v>
      </c>
      <c r="BN135" s="48" t="s">
        <v>683</v>
      </c>
      <c r="BO135" s="48"/>
      <c r="BP135" s="48"/>
      <c r="BQ135" s="125" t="s">
        <v>2872</v>
      </c>
      <c r="BR135" s="125" t="s">
        <v>2872</v>
      </c>
      <c r="BS135" s="125" t="s">
        <v>2987</v>
      </c>
      <c r="BT135" s="125" t="s">
        <v>2987</v>
      </c>
      <c r="BU135" s="2"/>
      <c r="BV135" s="3"/>
      <c r="BW135" s="3"/>
      <c r="BX135" s="3"/>
      <c r="BY135" s="3"/>
    </row>
    <row r="136" spans="1:77" ht="15">
      <c r="A136" s="66" t="s">
        <v>535</v>
      </c>
      <c r="B136" s="67"/>
      <c r="C136" s="67"/>
      <c r="D136" s="68">
        <v>100</v>
      </c>
      <c r="E136" s="70"/>
      <c r="F136" s="104" t="str">
        <f>HYPERLINK("http://pbs.twimg.com/profile_images/580041695271784449/tQWCYQyf_normal.jpg")</f>
        <v>http://pbs.twimg.com/profile_images/580041695271784449/tQWCYQyf_normal.jpg</v>
      </c>
      <c r="G136" s="67"/>
      <c r="H136" s="71" t="s">
        <v>535</v>
      </c>
      <c r="I136" s="72"/>
      <c r="J136" s="72"/>
      <c r="K136" s="71" t="s">
        <v>2135</v>
      </c>
      <c r="L136" s="75">
        <v>1</v>
      </c>
      <c r="M136" s="76">
        <v>8183.89501953125</v>
      </c>
      <c r="N136" s="76">
        <v>1373.390869140625</v>
      </c>
      <c r="O136" s="77"/>
      <c r="P136" s="78"/>
      <c r="Q136" s="78"/>
      <c r="R136" s="90"/>
      <c r="S136" s="48">
        <v>3</v>
      </c>
      <c r="T136" s="48">
        <v>0</v>
      </c>
      <c r="U136" s="49">
        <v>0</v>
      </c>
      <c r="V136" s="49">
        <v>0.333333</v>
      </c>
      <c r="W136" s="49">
        <v>0</v>
      </c>
      <c r="X136" s="49">
        <v>0.999998</v>
      </c>
      <c r="Y136" s="49">
        <v>0.6666666666666666</v>
      </c>
      <c r="Z136" s="49">
        <v>0</v>
      </c>
      <c r="AA136" s="73">
        <v>136</v>
      </c>
      <c r="AB136" s="73"/>
      <c r="AC136" s="74"/>
      <c r="AD136" s="80" t="s">
        <v>1332</v>
      </c>
      <c r="AE136" s="88" t="s">
        <v>1554</v>
      </c>
      <c r="AF136" s="80">
        <v>946</v>
      </c>
      <c r="AG136" s="80">
        <v>369</v>
      </c>
      <c r="AH136" s="80">
        <v>2723</v>
      </c>
      <c r="AI136" s="80">
        <v>2245</v>
      </c>
      <c r="AJ136" s="80"/>
      <c r="AK136" s="80" t="s">
        <v>1772</v>
      </c>
      <c r="AL136" s="80" t="s">
        <v>1944</v>
      </c>
      <c r="AM136" s="80"/>
      <c r="AN136" s="80"/>
      <c r="AO136" s="82">
        <v>41386.135416666664</v>
      </c>
      <c r="AP136" s="85" t="str">
        <f>HYPERLINK("https://pbs.twimg.com/profile_banners/1371150955/1446480981")</f>
        <v>https://pbs.twimg.com/profile_banners/1371150955/1446480981</v>
      </c>
      <c r="AQ136" s="80" t="b">
        <v>0</v>
      </c>
      <c r="AR136" s="80" t="b">
        <v>0</v>
      </c>
      <c r="AS136" s="80" t="b">
        <v>1</v>
      </c>
      <c r="AT136" s="80"/>
      <c r="AU136" s="80">
        <v>36</v>
      </c>
      <c r="AV136" s="85" t="str">
        <f>HYPERLINK("http://abs.twimg.com/images/themes/theme9/bg.gif")</f>
        <v>http://abs.twimg.com/images/themes/theme9/bg.gif</v>
      </c>
      <c r="AW136" s="80" t="b">
        <v>0</v>
      </c>
      <c r="AX136" s="80" t="s">
        <v>2002</v>
      </c>
      <c r="AY136" s="85" t="str">
        <f>HYPERLINK("https://twitter.com/joseluishuacles")</f>
        <v>https://twitter.com/joseluishuacles</v>
      </c>
      <c r="AZ136" s="80" t="s">
        <v>65</v>
      </c>
      <c r="BA136" s="80" t="str">
        <f>REPLACE(INDEX(GroupVertices[Group],MATCH(Vertices[[#This Row],[Vertex]],GroupVertices[Vertex],0)),1,1,"")</f>
        <v>13</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66" t="s">
        <v>470</v>
      </c>
      <c r="B137" s="67"/>
      <c r="C137" s="67"/>
      <c r="D137" s="68">
        <v>100</v>
      </c>
      <c r="E137" s="70"/>
      <c r="F137" s="104" t="str">
        <f>HYPERLINK("http://pbs.twimg.com/profile_images/1147920122218237953/PY_DNS93_normal.jpg")</f>
        <v>http://pbs.twimg.com/profile_images/1147920122218237953/PY_DNS93_normal.jpg</v>
      </c>
      <c r="G137" s="67"/>
      <c r="H137" s="71" t="s">
        <v>470</v>
      </c>
      <c r="I137" s="72"/>
      <c r="J137" s="72"/>
      <c r="K137" s="71" t="s">
        <v>2136</v>
      </c>
      <c r="L137" s="75">
        <v>1</v>
      </c>
      <c r="M137" s="76">
        <v>7037.5126953125</v>
      </c>
      <c r="N137" s="76">
        <v>172.69723510742188</v>
      </c>
      <c r="O137" s="77"/>
      <c r="P137" s="78"/>
      <c r="Q137" s="78"/>
      <c r="R137" s="90"/>
      <c r="S137" s="48">
        <v>0</v>
      </c>
      <c r="T137" s="48">
        <v>3</v>
      </c>
      <c r="U137" s="49">
        <v>0</v>
      </c>
      <c r="V137" s="49">
        <v>0.333333</v>
      </c>
      <c r="W137" s="49">
        <v>0</v>
      </c>
      <c r="X137" s="49">
        <v>0.999998</v>
      </c>
      <c r="Y137" s="49">
        <v>0.6666666666666666</v>
      </c>
      <c r="Z137" s="49">
        <v>0</v>
      </c>
      <c r="AA137" s="73">
        <v>137</v>
      </c>
      <c r="AB137" s="73"/>
      <c r="AC137" s="74"/>
      <c r="AD137" s="80" t="s">
        <v>1333</v>
      </c>
      <c r="AE137" s="88" t="s">
        <v>1555</v>
      </c>
      <c r="AF137" s="80">
        <v>1116</v>
      </c>
      <c r="AG137" s="80">
        <v>665</v>
      </c>
      <c r="AH137" s="80">
        <v>7056</v>
      </c>
      <c r="AI137" s="80">
        <v>2839</v>
      </c>
      <c r="AJ137" s="80"/>
      <c r="AK137" s="80" t="s">
        <v>1773</v>
      </c>
      <c r="AL137" s="80" t="s">
        <v>1944</v>
      </c>
      <c r="AM137" s="80"/>
      <c r="AN137" s="80"/>
      <c r="AO137" s="82">
        <v>41124.744988425926</v>
      </c>
      <c r="AP137" s="85" t="str">
        <f>HYPERLINK("https://pbs.twimg.com/profile_banners/735275238/1522040642")</f>
        <v>https://pbs.twimg.com/profile_banners/735275238/1522040642</v>
      </c>
      <c r="AQ137" s="80" t="b">
        <v>0</v>
      </c>
      <c r="AR137" s="80" t="b">
        <v>0</v>
      </c>
      <c r="AS137" s="80" t="b">
        <v>1</v>
      </c>
      <c r="AT137" s="80"/>
      <c r="AU137" s="80">
        <v>43</v>
      </c>
      <c r="AV137" s="85" t="str">
        <f>HYPERLINK("http://abs.twimg.com/images/themes/theme1/bg.png")</f>
        <v>http://abs.twimg.com/images/themes/theme1/bg.png</v>
      </c>
      <c r="AW137" s="80" t="b">
        <v>0</v>
      </c>
      <c r="AX137" s="80" t="s">
        <v>2002</v>
      </c>
      <c r="AY137" s="85" t="str">
        <f>HYPERLINK("https://twitter.com/rocioromerox")</f>
        <v>https://twitter.com/rocioromerox</v>
      </c>
      <c r="AZ137" s="80" t="s">
        <v>66</v>
      </c>
      <c r="BA137" s="80" t="str">
        <f>REPLACE(INDEX(GroupVertices[Group],MATCH(Vertices[[#This Row],[Vertex]],GroupVertices[Vertex],0)),1,1,"")</f>
        <v>13</v>
      </c>
      <c r="BB137" s="48">
        <v>0</v>
      </c>
      <c r="BC137" s="49">
        <v>0</v>
      </c>
      <c r="BD137" s="48">
        <v>0</v>
      </c>
      <c r="BE137" s="49">
        <v>0</v>
      </c>
      <c r="BF137" s="48">
        <v>0</v>
      </c>
      <c r="BG137" s="49">
        <v>0</v>
      </c>
      <c r="BH137" s="48">
        <v>16</v>
      </c>
      <c r="BI137" s="49">
        <v>100</v>
      </c>
      <c r="BJ137" s="48">
        <v>16</v>
      </c>
      <c r="BK137" s="48" t="s">
        <v>2725</v>
      </c>
      <c r="BL137" s="48" t="s">
        <v>2725</v>
      </c>
      <c r="BM137" s="48" t="s">
        <v>683</v>
      </c>
      <c r="BN137" s="48" t="s">
        <v>683</v>
      </c>
      <c r="BO137" s="48"/>
      <c r="BP137" s="48"/>
      <c r="BQ137" s="125" t="s">
        <v>2872</v>
      </c>
      <c r="BR137" s="125" t="s">
        <v>2872</v>
      </c>
      <c r="BS137" s="125" t="s">
        <v>2987</v>
      </c>
      <c r="BT137" s="125" t="s">
        <v>2987</v>
      </c>
      <c r="BU137" s="2"/>
      <c r="BV137" s="3"/>
      <c r="BW137" s="3"/>
      <c r="BX137" s="3"/>
      <c r="BY137" s="3"/>
    </row>
    <row r="138" spans="1:77" ht="15">
      <c r="A138" s="66" t="s">
        <v>471</v>
      </c>
      <c r="B138" s="67"/>
      <c r="C138" s="67"/>
      <c r="D138" s="68">
        <v>100</v>
      </c>
      <c r="E138" s="70"/>
      <c r="F138" s="104" t="str">
        <f>HYPERLINK("http://pbs.twimg.com/profile_images/1159027680727068674/kSTrz2sC_normal.jpg")</f>
        <v>http://pbs.twimg.com/profile_images/1159027680727068674/kSTrz2sC_normal.jpg</v>
      </c>
      <c r="G138" s="67"/>
      <c r="H138" s="71" t="s">
        <v>471</v>
      </c>
      <c r="I138" s="72"/>
      <c r="J138" s="72"/>
      <c r="K138" s="71" t="s">
        <v>2137</v>
      </c>
      <c r="L138" s="75">
        <v>1</v>
      </c>
      <c r="M138" s="76">
        <v>8805.4345703125</v>
      </c>
      <c r="N138" s="76">
        <v>7166.07275390625</v>
      </c>
      <c r="O138" s="77"/>
      <c r="P138" s="78"/>
      <c r="Q138" s="78"/>
      <c r="R138" s="90"/>
      <c r="S138" s="48">
        <v>0</v>
      </c>
      <c r="T138" s="48">
        <v>2</v>
      </c>
      <c r="U138" s="49">
        <v>0</v>
      </c>
      <c r="V138" s="49">
        <v>0.026316</v>
      </c>
      <c r="W138" s="49">
        <v>0</v>
      </c>
      <c r="X138" s="49">
        <v>0.576762</v>
      </c>
      <c r="Y138" s="49">
        <v>0.5</v>
      </c>
      <c r="Z138" s="49">
        <v>0</v>
      </c>
      <c r="AA138" s="73">
        <v>138</v>
      </c>
      <c r="AB138" s="73"/>
      <c r="AC138" s="74"/>
      <c r="AD138" s="80" t="s">
        <v>1334</v>
      </c>
      <c r="AE138" s="88" t="s">
        <v>1556</v>
      </c>
      <c r="AF138" s="80">
        <v>187</v>
      </c>
      <c r="AG138" s="80">
        <v>24</v>
      </c>
      <c r="AH138" s="80">
        <v>88</v>
      </c>
      <c r="AI138" s="80">
        <v>382</v>
      </c>
      <c r="AJ138" s="80"/>
      <c r="AK138" s="80" t="s">
        <v>1774</v>
      </c>
      <c r="AL138" s="80" t="s">
        <v>1945</v>
      </c>
      <c r="AM138" s="80"/>
      <c r="AN138" s="80"/>
      <c r="AO138" s="82">
        <v>41822.4777662037</v>
      </c>
      <c r="AP138" s="85" t="str">
        <f>HYPERLINK("https://pbs.twimg.com/profile_banners/2599663638/1567706436")</f>
        <v>https://pbs.twimg.com/profile_banners/2599663638/1567706436</v>
      </c>
      <c r="AQ138" s="80" t="b">
        <v>1</v>
      </c>
      <c r="AR138" s="80" t="b">
        <v>0</v>
      </c>
      <c r="AS138" s="80" t="b">
        <v>0</v>
      </c>
      <c r="AT138" s="80"/>
      <c r="AU138" s="80">
        <v>0</v>
      </c>
      <c r="AV138" s="85" t="str">
        <f>HYPERLINK("http://abs.twimg.com/images/themes/theme1/bg.png")</f>
        <v>http://abs.twimg.com/images/themes/theme1/bg.png</v>
      </c>
      <c r="AW138" s="80" t="b">
        <v>0</v>
      </c>
      <c r="AX138" s="80" t="s">
        <v>2002</v>
      </c>
      <c r="AY138" s="85" t="str">
        <f>HYPERLINK("https://twitter.com/jaishri21")</f>
        <v>https://twitter.com/jaishri21</v>
      </c>
      <c r="AZ138" s="80" t="s">
        <v>66</v>
      </c>
      <c r="BA138" s="80" t="str">
        <f>REPLACE(INDEX(GroupVertices[Group],MATCH(Vertices[[#This Row],[Vertex]],GroupVertices[Vertex],0)),1,1,"")</f>
        <v>4</v>
      </c>
      <c r="BB138" s="48">
        <v>1</v>
      </c>
      <c r="BC138" s="49">
        <v>3.125</v>
      </c>
      <c r="BD138" s="48">
        <v>1</v>
      </c>
      <c r="BE138" s="49">
        <v>3.125</v>
      </c>
      <c r="BF138" s="48">
        <v>0</v>
      </c>
      <c r="BG138" s="49">
        <v>0</v>
      </c>
      <c r="BH138" s="48">
        <v>30</v>
      </c>
      <c r="BI138" s="49">
        <v>93.75</v>
      </c>
      <c r="BJ138" s="48">
        <v>32</v>
      </c>
      <c r="BK138" s="48"/>
      <c r="BL138" s="48"/>
      <c r="BM138" s="48"/>
      <c r="BN138" s="48"/>
      <c r="BO138" s="48" t="s">
        <v>711</v>
      </c>
      <c r="BP138" s="48" t="s">
        <v>711</v>
      </c>
      <c r="BQ138" s="125" t="s">
        <v>2863</v>
      </c>
      <c r="BR138" s="125" t="s">
        <v>2863</v>
      </c>
      <c r="BS138" s="125" t="s">
        <v>2978</v>
      </c>
      <c r="BT138" s="125" t="s">
        <v>2978</v>
      </c>
      <c r="BU138" s="2"/>
      <c r="BV138" s="3"/>
      <c r="BW138" s="3"/>
      <c r="BX138" s="3"/>
      <c r="BY138" s="3"/>
    </row>
    <row r="139" spans="1:77" ht="15">
      <c r="A139" s="66" t="s">
        <v>472</v>
      </c>
      <c r="B139" s="67"/>
      <c r="C139" s="67"/>
      <c r="D139" s="68">
        <v>100</v>
      </c>
      <c r="E139" s="70"/>
      <c r="F139" s="104" t="str">
        <f>HYPERLINK("http://pbs.twimg.com/profile_images/1148347541903355904/S-njLugd_normal.png")</f>
        <v>http://pbs.twimg.com/profile_images/1148347541903355904/S-njLugd_normal.png</v>
      </c>
      <c r="G139" s="67"/>
      <c r="H139" s="71" t="s">
        <v>472</v>
      </c>
      <c r="I139" s="72"/>
      <c r="J139" s="72"/>
      <c r="K139" s="71" t="s">
        <v>2138</v>
      </c>
      <c r="L139" s="75">
        <v>1</v>
      </c>
      <c r="M139" s="76">
        <v>7931.90966796875</v>
      </c>
      <c r="N139" s="76">
        <v>6794.1142578125</v>
      </c>
      <c r="O139" s="77"/>
      <c r="P139" s="78"/>
      <c r="Q139" s="78"/>
      <c r="R139" s="90"/>
      <c r="S139" s="48">
        <v>0</v>
      </c>
      <c r="T139" s="48">
        <v>2</v>
      </c>
      <c r="U139" s="49">
        <v>0</v>
      </c>
      <c r="V139" s="49">
        <v>0.026316</v>
      </c>
      <c r="W139" s="49">
        <v>0</v>
      </c>
      <c r="X139" s="49">
        <v>0.576762</v>
      </c>
      <c r="Y139" s="49">
        <v>0.5</v>
      </c>
      <c r="Z139" s="49">
        <v>0</v>
      </c>
      <c r="AA139" s="73">
        <v>139</v>
      </c>
      <c r="AB139" s="73"/>
      <c r="AC139" s="74"/>
      <c r="AD139" s="80" t="s">
        <v>1335</v>
      </c>
      <c r="AE139" s="88" t="s">
        <v>1557</v>
      </c>
      <c r="AF139" s="80">
        <v>2029</v>
      </c>
      <c r="AG139" s="80">
        <v>429</v>
      </c>
      <c r="AH139" s="80">
        <v>5493</v>
      </c>
      <c r="AI139" s="80">
        <v>4453</v>
      </c>
      <c r="AJ139" s="80"/>
      <c r="AK139" s="80" t="s">
        <v>1775</v>
      </c>
      <c r="AL139" s="80" t="s">
        <v>1946</v>
      </c>
      <c r="AM139" s="80"/>
      <c r="AN139" s="80"/>
      <c r="AO139" s="82">
        <v>40992.07753472222</v>
      </c>
      <c r="AP139" s="85" t="str">
        <f>HYPERLINK("https://pbs.twimg.com/profile_banners/534897278/1486494528")</f>
        <v>https://pbs.twimg.com/profile_banners/534897278/1486494528</v>
      </c>
      <c r="AQ139" s="80" t="b">
        <v>0</v>
      </c>
      <c r="AR139" s="80" t="b">
        <v>0</v>
      </c>
      <c r="AS139" s="80" t="b">
        <v>1</v>
      </c>
      <c r="AT139" s="80"/>
      <c r="AU139" s="80">
        <v>7</v>
      </c>
      <c r="AV139" s="85" t="str">
        <f>HYPERLINK("http://abs.twimg.com/images/themes/theme14/bg.gif")</f>
        <v>http://abs.twimg.com/images/themes/theme14/bg.gif</v>
      </c>
      <c r="AW139" s="80" t="b">
        <v>0</v>
      </c>
      <c r="AX139" s="80" t="s">
        <v>2002</v>
      </c>
      <c r="AY139" s="85" t="str">
        <f>HYPERLINK("https://twitter.com/grasiel_grasel")</f>
        <v>https://twitter.com/grasiel_grasel</v>
      </c>
      <c r="AZ139" s="80" t="s">
        <v>66</v>
      </c>
      <c r="BA139" s="80" t="str">
        <f>REPLACE(INDEX(GroupVertices[Group],MATCH(Vertices[[#This Row],[Vertex]],GroupVertices[Vertex],0)),1,1,"")</f>
        <v>4</v>
      </c>
      <c r="BB139" s="48">
        <v>1</v>
      </c>
      <c r="BC139" s="49">
        <v>3.125</v>
      </c>
      <c r="BD139" s="48">
        <v>1</v>
      </c>
      <c r="BE139" s="49">
        <v>3.125</v>
      </c>
      <c r="BF139" s="48">
        <v>0</v>
      </c>
      <c r="BG139" s="49">
        <v>0</v>
      </c>
      <c r="BH139" s="48">
        <v>30</v>
      </c>
      <c r="BI139" s="49">
        <v>93.75</v>
      </c>
      <c r="BJ139" s="48">
        <v>32</v>
      </c>
      <c r="BK139" s="48"/>
      <c r="BL139" s="48"/>
      <c r="BM139" s="48"/>
      <c r="BN139" s="48"/>
      <c r="BO139" s="48" t="s">
        <v>711</v>
      </c>
      <c r="BP139" s="48" t="s">
        <v>711</v>
      </c>
      <c r="BQ139" s="125" t="s">
        <v>2863</v>
      </c>
      <c r="BR139" s="125" t="s">
        <v>2863</v>
      </c>
      <c r="BS139" s="125" t="s">
        <v>2978</v>
      </c>
      <c r="BT139" s="125" t="s">
        <v>2978</v>
      </c>
      <c r="BU139" s="2"/>
      <c r="BV139" s="3"/>
      <c r="BW139" s="3"/>
      <c r="BX139" s="3"/>
      <c r="BY139" s="3"/>
    </row>
    <row r="140" spans="1:77" ht="15">
      <c r="A140" s="66" t="s">
        <v>473</v>
      </c>
      <c r="B140" s="67"/>
      <c r="C140" s="67"/>
      <c r="D140" s="68">
        <v>1000</v>
      </c>
      <c r="E140" s="70"/>
      <c r="F140" s="104" t="str">
        <f>HYPERLINK("http://pbs.twimg.com/profile_images/953436802110623744/NK6Q5dVg_normal.jpg")</f>
        <v>http://pbs.twimg.com/profile_images/953436802110623744/NK6Q5dVg_normal.jpg</v>
      </c>
      <c r="G140" s="67"/>
      <c r="H140" s="71" t="s">
        <v>473</v>
      </c>
      <c r="I140" s="72"/>
      <c r="J140" s="72"/>
      <c r="K140" s="71" t="s">
        <v>2139</v>
      </c>
      <c r="L140" s="75">
        <v>9999</v>
      </c>
      <c r="M140" s="76">
        <v>2028.51416015625</v>
      </c>
      <c r="N140" s="76">
        <v>7819.52880859375</v>
      </c>
      <c r="O140" s="77"/>
      <c r="P140" s="78"/>
      <c r="Q140" s="78"/>
      <c r="R140" s="90"/>
      <c r="S140" s="48">
        <v>1</v>
      </c>
      <c r="T140" s="48">
        <v>46</v>
      </c>
      <c r="U140" s="49">
        <v>2141</v>
      </c>
      <c r="V140" s="49">
        <v>0.020833</v>
      </c>
      <c r="W140" s="49">
        <v>0</v>
      </c>
      <c r="X140" s="49">
        <v>20.048768</v>
      </c>
      <c r="Y140" s="49">
        <v>0.001932367149758454</v>
      </c>
      <c r="Z140" s="49">
        <v>0.021739130434782608</v>
      </c>
      <c r="AA140" s="73">
        <v>140</v>
      </c>
      <c r="AB140" s="73"/>
      <c r="AC140" s="74"/>
      <c r="AD140" s="80" t="s">
        <v>1336</v>
      </c>
      <c r="AE140" s="88" t="s">
        <v>1558</v>
      </c>
      <c r="AF140" s="80">
        <v>118</v>
      </c>
      <c r="AG140" s="80">
        <v>299</v>
      </c>
      <c r="AH140" s="80">
        <v>10599</v>
      </c>
      <c r="AI140" s="80">
        <v>0</v>
      </c>
      <c r="AJ140" s="80"/>
      <c r="AK140" s="80" t="s">
        <v>1776</v>
      </c>
      <c r="AL140" s="80" t="s">
        <v>1947</v>
      </c>
      <c r="AM140" s="80"/>
      <c r="AN140" s="80"/>
      <c r="AO140" s="82">
        <v>43117.04950231482</v>
      </c>
      <c r="AP140" s="85" t="str">
        <f>HYPERLINK("https://pbs.twimg.com/profile_banners/953434515732619264/1516152149")</f>
        <v>https://pbs.twimg.com/profile_banners/953434515732619264/1516152149</v>
      </c>
      <c r="AQ140" s="80" t="b">
        <v>0</v>
      </c>
      <c r="AR140" s="80" t="b">
        <v>0</v>
      </c>
      <c r="AS140" s="80" t="b">
        <v>0</v>
      </c>
      <c r="AT140" s="80"/>
      <c r="AU140" s="80">
        <v>9</v>
      </c>
      <c r="AV140" s="85" t="str">
        <f>HYPERLINK("http://abs.twimg.com/images/themes/theme1/bg.png")</f>
        <v>http://abs.twimg.com/images/themes/theme1/bg.png</v>
      </c>
      <c r="AW140" s="80" t="b">
        <v>0</v>
      </c>
      <c r="AX140" s="80" t="s">
        <v>2002</v>
      </c>
      <c r="AY140" s="85" t="str">
        <f>HYPERLINK("https://twitter.com/jornalismodados")</f>
        <v>https://twitter.com/jornalismodados</v>
      </c>
      <c r="AZ140" s="80" t="s">
        <v>66</v>
      </c>
      <c r="BA140" s="80" t="str">
        <f>REPLACE(INDEX(GroupVertices[Group],MATCH(Vertices[[#This Row],[Vertex]],GroupVertices[Vertex],0)),1,1,"")</f>
        <v>1</v>
      </c>
      <c r="BB140" s="48">
        <v>0</v>
      </c>
      <c r="BC140" s="49">
        <v>0</v>
      </c>
      <c r="BD140" s="48">
        <v>0</v>
      </c>
      <c r="BE140" s="49">
        <v>0</v>
      </c>
      <c r="BF140" s="48">
        <v>0</v>
      </c>
      <c r="BG140" s="49">
        <v>0</v>
      </c>
      <c r="BH140" s="48">
        <v>1168</v>
      </c>
      <c r="BI140" s="49">
        <v>100</v>
      </c>
      <c r="BJ140" s="48">
        <v>1168</v>
      </c>
      <c r="BK140" s="48" t="s">
        <v>3060</v>
      </c>
      <c r="BL140" s="48" t="s">
        <v>3060</v>
      </c>
      <c r="BM140" s="48" t="s">
        <v>676</v>
      </c>
      <c r="BN140" s="48" t="s">
        <v>676</v>
      </c>
      <c r="BO140" s="48" t="s">
        <v>720</v>
      </c>
      <c r="BP140" s="48" t="s">
        <v>3079</v>
      </c>
      <c r="BQ140" s="125" t="s">
        <v>3098</v>
      </c>
      <c r="BR140" s="125" t="s">
        <v>3110</v>
      </c>
      <c r="BS140" s="125" t="s">
        <v>2975</v>
      </c>
      <c r="BT140" s="125" t="s">
        <v>3133</v>
      </c>
      <c r="BU140" s="2"/>
      <c r="BV140" s="3"/>
      <c r="BW140" s="3"/>
      <c r="BX140" s="3"/>
      <c r="BY140" s="3"/>
    </row>
    <row r="141" spans="1:77" ht="15">
      <c r="A141" s="66" t="s">
        <v>536</v>
      </c>
      <c r="B141" s="67"/>
      <c r="C141" s="67"/>
      <c r="D141" s="68">
        <v>100</v>
      </c>
      <c r="E141" s="70"/>
      <c r="F141" s="104" t="str">
        <f>HYPERLINK("http://pbs.twimg.com/profile_images/1067848966010744833/7miLxOGo_normal.jpg")</f>
        <v>http://pbs.twimg.com/profile_images/1067848966010744833/7miLxOGo_normal.jpg</v>
      </c>
      <c r="G141" s="67"/>
      <c r="H141" s="71" t="s">
        <v>536</v>
      </c>
      <c r="I141" s="72"/>
      <c r="J141" s="72"/>
      <c r="K141" s="71" t="s">
        <v>2140</v>
      </c>
      <c r="L141" s="75">
        <v>1</v>
      </c>
      <c r="M141" s="76">
        <v>1253.48388671875</v>
      </c>
      <c r="N141" s="76">
        <v>9087.591796875</v>
      </c>
      <c r="O141" s="77"/>
      <c r="P141" s="78"/>
      <c r="Q141" s="78"/>
      <c r="R141" s="90"/>
      <c r="S141" s="48">
        <v>1</v>
      </c>
      <c r="T141" s="48">
        <v>0</v>
      </c>
      <c r="U141" s="49">
        <v>0</v>
      </c>
      <c r="V141" s="49">
        <v>0.010638</v>
      </c>
      <c r="W141" s="49">
        <v>0</v>
      </c>
      <c r="X141" s="49">
        <v>0.520466</v>
      </c>
      <c r="Y141" s="49">
        <v>0</v>
      </c>
      <c r="Z141" s="49">
        <v>0</v>
      </c>
      <c r="AA141" s="73">
        <v>141</v>
      </c>
      <c r="AB141" s="73"/>
      <c r="AC141" s="74"/>
      <c r="AD141" s="80" t="s">
        <v>1337</v>
      </c>
      <c r="AE141" s="88" t="s">
        <v>1559</v>
      </c>
      <c r="AF141" s="80">
        <v>178549</v>
      </c>
      <c r="AG141" s="80">
        <v>7506788</v>
      </c>
      <c r="AH141" s="80">
        <v>450859</v>
      </c>
      <c r="AI141" s="80">
        <v>23</v>
      </c>
      <c r="AJ141" s="80"/>
      <c r="AK141" s="80" t="s">
        <v>1777</v>
      </c>
      <c r="AL141" s="80" t="s">
        <v>1948</v>
      </c>
      <c r="AM141" s="85" t="str">
        <f>HYPERLINK("https://t.co/vQHPF6jExV")</f>
        <v>https://t.co/vQHPF6jExV</v>
      </c>
      <c r="AN141" s="80"/>
      <c r="AO141" s="82">
        <v>39568.10670138889</v>
      </c>
      <c r="AP141" s="85" t="str">
        <f>HYPERLINK("https://pbs.twimg.com/profile_banners/14594813/1588244227")</f>
        <v>https://pbs.twimg.com/profile_banners/14594813/1588244227</v>
      </c>
      <c r="AQ141" s="80" t="b">
        <v>0</v>
      </c>
      <c r="AR141" s="80" t="b">
        <v>0</v>
      </c>
      <c r="AS141" s="80" t="b">
        <v>1</v>
      </c>
      <c r="AT141" s="80"/>
      <c r="AU141" s="80">
        <v>11750</v>
      </c>
      <c r="AV141" s="85" t="str">
        <f>HYPERLINK("http://abs.twimg.com/images/themes/theme1/bg.png")</f>
        <v>http://abs.twimg.com/images/themes/theme1/bg.png</v>
      </c>
      <c r="AW141" s="80" t="b">
        <v>1</v>
      </c>
      <c r="AX141" s="80" t="s">
        <v>2002</v>
      </c>
      <c r="AY141" s="85" t="str">
        <f>HYPERLINK("https://twitter.com/folha")</f>
        <v>https://twitter.com/folha</v>
      </c>
      <c r="AZ141" s="80" t="s">
        <v>65</v>
      </c>
      <c r="BA141" s="80" t="str">
        <f>REPLACE(INDEX(GroupVertices[Group],MATCH(Vertices[[#This Row],[Vertex]],GroupVertices[Vertex],0)),1,1,"")</f>
        <v>1</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6" t="s">
        <v>537</v>
      </c>
      <c r="B142" s="67"/>
      <c r="C142" s="67"/>
      <c r="D142" s="68">
        <v>100</v>
      </c>
      <c r="E142" s="70"/>
      <c r="F142" s="104" t="str">
        <f>HYPERLINK("http://pbs.twimg.com/profile_images/1134973032932532224/cMCRaqlI_normal.jpg")</f>
        <v>http://pbs.twimg.com/profile_images/1134973032932532224/cMCRaqlI_normal.jpg</v>
      </c>
      <c r="G142" s="67"/>
      <c r="H142" s="71" t="s">
        <v>537</v>
      </c>
      <c r="I142" s="72"/>
      <c r="J142" s="72"/>
      <c r="K142" s="71" t="s">
        <v>2141</v>
      </c>
      <c r="L142" s="75">
        <v>1</v>
      </c>
      <c r="M142" s="76">
        <v>1561.2147216796875</v>
      </c>
      <c r="N142" s="76">
        <v>5976.783203125</v>
      </c>
      <c r="O142" s="77"/>
      <c r="P142" s="78"/>
      <c r="Q142" s="78"/>
      <c r="R142" s="90"/>
      <c r="S142" s="48">
        <v>1</v>
      </c>
      <c r="T142" s="48">
        <v>0</v>
      </c>
      <c r="U142" s="49">
        <v>0</v>
      </c>
      <c r="V142" s="49">
        <v>0.010638</v>
      </c>
      <c r="W142" s="49">
        <v>0</v>
      </c>
      <c r="X142" s="49">
        <v>0.520466</v>
      </c>
      <c r="Y142" s="49">
        <v>0</v>
      </c>
      <c r="Z142" s="49">
        <v>0</v>
      </c>
      <c r="AA142" s="73">
        <v>142</v>
      </c>
      <c r="AB142" s="73"/>
      <c r="AC142" s="74"/>
      <c r="AD142" s="80" t="s">
        <v>1338</v>
      </c>
      <c r="AE142" s="88" t="s">
        <v>1560</v>
      </c>
      <c r="AF142" s="80">
        <v>946</v>
      </c>
      <c r="AG142" s="80">
        <v>126</v>
      </c>
      <c r="AH142" s="80">
        <v>5523</v>
      </c>
      <c r="AI142" s="80">
        <v>9169</v>
      </c>
      <c r="AJ142" s="80"/>
      <c r="AK142" s="80" t="s">
        <v>1778</v>
      </c>
      <c r="AL142" s="80" t="s">
        <v>1911</v>
      </c>
      <c r="AM142" s="80"/>
      <c r="AN142" s="80"/>
      <c r="AO142" s="82">
        <v>40001.61927083333</v>
      </c>
      <c r="AP142" s="85" t="str">
        <f>HYPERLINK("https://pbs.twimg.com/profile_banners/54568326/1591329634")</f>
        <v>https://pbs.twimg.com/profile_banners/54568326/1591329634</v>
      </c>
      <c r="AQ142" s="80" t="b">
        <v>0</v>
      </c>
      <c r="AR142" s="80" t="b">
        <v>0</v>
      </c>
      <c r="AS142" s="80" t="b">
        <v>0</v>
      </c>
      <c r="AT142" s="80"/>
      <c r="AU142" s="80">
        <v>4</v>
      </c>
      <c r="AV142" s="85" t="str">
        <f>HYPERLINK("http://abs.twimg.com/images/themes/theme1/bg.png")</f>
        <v>http://abs.twimg.com/images/themes/theme1/bg.png</v>
      </c>
      <c r="AW142" s="80" t="b">
        <v>0</v>
      </c>
      <c r="AX142" s="80" t="s">
        <v>2002</v>
      </c>
      <c r="AY142" s="85" t="str">
        <f>HYPERLINK("https://twitter.com/eupilo")</f>
        <v>https://twitter.com/eupilo</v>
      </c>
      <c r="AZ142" s="80" t="s">
        <v>65</v>
      </c>
      <c r="BA142" s="80" t="str">
        <f>REPLACE(INDEX(GroupVertices[Group],MATCH(Vertices[[#This Row],[Vertex]],GroupVertices[Vertex],0)),1,1,"")</f>
        <v>1</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6" t="s">
        <v>538</v>
      </c>
      <c r="B143" s="67"/>
      <c r="C143" s="67"/>
      <c r="D143" s="68">
        <v>100</v>
      </c>
      <c r="E143" s="70"/>
      <c r="F143" s="104" t="str">
        <f>HYPERLINK("http://pbs.twimg.com/profile_images/1247582743661350914/nVJDZG1i_normal.jpg")</f>
        <v>http://pbs.twimg.com/profile_images/1247582743661350914/nVJDZG1i_normal.jpg</v>
      </c>
      <c r="G143" s="67"/>
      <c r="H143" s="71" t="s">
        <v>538</v>
      </c>
      <c r="I143" s="72"/>
      <c r="J143" s="72"/>
      <c r="K143" s="71" t="s">
        <v>2142</v>
      </c>
      <c r="L143" s="75">
        <v>1</v>
      </c>
      <c r="M143" s="76">
        <v>882.578369140625</v>
      </c>
      <c r="N143" s="76">
        <v>9432.4521484375</v>
      </c>
      <c r="O143" s="77"/>
      <c r="P143" s="78"/>
      <c r="Q143" s="78"/>
      <c r="R143" s="90"/>
      <c r="S143" s="48">
        <v>1</v>
      </c>
      <c r="T143" s="48">
        <v>0</v>
      </c>
      <c r="U143" s="49">
        <v>0</v>
      </c>
      <c r="V143" s="49">
        <v>0.010638</v>
      </c>
      <c r="W143" s="49">
        <v>0</v>
      </c>
      <c r="X143" s="49">
        <v>0.520466</v>
      </c>
      <c r="Y143" s="49">
        <v>0</v>
      </c>
      <c r="Z143" s="49">
        <v>0</v>
      </c>
      <c r="AA143" s="73">
        <v>143</v>
      </c>
      <c r="AB143" s="73"/>
      <c r="AC143" s="74"/>
      <c r="AD143" s="80" t="s">
        <v>1339</v>
      </c>
      <c r="AE143" s="88" t="s">
        <v>1561</v>
      </c>
      <c r="AF143" s="80">
        <v>139</v>
      </c>
      <c r="AG143" s="80">
        <v>33</v>
      </c>
      <c r="AH143" s="80">
        <v>2448</v>
      </c>
      <c r="AI143" s="80">
        <v>1094</v>
      </c>
      <c r="AJ143" s="80"/>
      <c r="AK143" s="80" t="s">
        <v>1779</v>
      </c>
      <c r="AL143" s="80"/>
      <c r="AM143" s="80"/>
      <c r="AN143" s="80"/>
      <c r="AO143" s="82">
        <v>40612.85233796296</v>
      </c>
      <c r="AP143" s="85" t="str">
        <f>HYPERLINK("https://pbs.twimg.com/profile_banners/263825287/1579652493")</f>
        <v>https://pbs.twimg.com/profile_banners/263825287/1579652493</v>
      </c>
      <c r="AQ143" s="80" t="b">
        <v>1</v>
      </c>
      <c r="AR143" s="80" t="b">
        <v>0</v>
      </c>
      <c r="AS143" s="80" t="b">
        <v>0</v>
      </c>
      <c r="AT143" s="80"/>
      <c r="AU143" s="80">
        <v>0</v>
      </c>
      <c r="AV143" s="85" t="str">
        <f>HYPERLINK("http://abs.twimg.com/images/themes/theme1/bg.png")</f>
        <v>http://abs.twimg.com/images/themes/theme1/bg.png</v>
      </c>
      <c r="AW143" s="80" t="b">
        <v>0</v>
      </c>
      <c r="AX143" s="80" t="s">
        <v>2002</v>
      </c>
      <c r="AY143" s="85" t="str">
        <f>HYPERLINK("https://twitter.com/chowraivoso")</f>
        <v>https://twitter.com/chowraivoso</v>
      </c>
      <c r="AZ143" s="80" t="s">
        <v>65</v>
      </c>
      <c r="BA143" s="80" t="str">
        <f>REPLACE(INDEX(GroupVertices[Group],MATCH(Vertices[[#This Row],[Vertex]],GroupVertices[Vertex],0)),1,1,"")</f>
        <v>1</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6" t="s">
        <v>539</v>
      </c>
      <c r="B144" s="67"/>
      <c r="C144" s="67"/>
      <c r="D144" s="68">
        <v>100</v>
      </c>
      <c r="E144" s="70"/>
      <c r="F144" s="104" t="str">
        <f>HYPERLINK("http://pbs.twimg.com/profile_images/776581086491140097/xmIm-Q-C_normal.jpg")</f>
        <v>http://pbs.twimg.com/profile_images/776581086491140097/xmIm-Q-C_normal.jpg</v>
      </c>
      <c r="G144" s="67"/>
      <c r="H144" s="71" t="s">
        <v>539</v>
      </c>
      <c r="I144" s="72"/>
      <c r="J144" s="72"/>
      <c r="K144" s="71" t="s">
        <v>2143</v>
      </c>
      <c r="L144" s="75">
        <v>1</v>
      </c>
      <c r="M144" s="76">
        <v>3462.462890625</v>
      </c>
      <c r="N144" s="76">
        <v>6465.2607421875</v>
      </c>
      <c r="O144" s="77"/>
      <c r="P144" s="78"/>
      <c r="Q144" s="78"/>
      <c r="R144" s="90"/>
      <c r="S144" s="48">
        <v>1</v>
      </c>
      <c r="T144" s="48">
        <v>0</v>
      </c>
      <c r="U144" s="49">
        <v>0</v>
      </c>
      <c r="V144" s="49">
        <v>0.010638</v>
      </c>
      <c r="W144" s="49">
        <v>0</v>
      </c>
      <c r="X144" s="49">
        <v>0.520466</v>
      </c>
      <c r="Y144" s="49">
        <v>0</v>
      </c>
      <c r="Z144" s="49">
        <v>0</v>
      </c>
      <c r="AA144" s="73">
        <v>144</v>
      </c>
      <c r="AB144" s="73"/>
      <c r="AC144" s="74"/>
      <c r="AD144" s="80" t="s">
        <v>1340</v>
      </c>
      <c r="AE144" s="88" t="s">
        <v>1562</v>
      </c>
      <c r="AF144" s="80">
        <v>268</v>
      </c>
      <c r="AG144" s="80">
        <v>146</v>
      </c>
      <c r="AH144" s="80">
        <v>1432</v>
      </c>
      <c r="AI144" s="80">
        <v>1449</v>
      </c>
      <c r="AJ144" s="80"/>
      <c r="AK144" s="80" t="s">
        <v>1780</v>
      </c>
      <c r="AL144" s="80"/>
      <c r="AM144" s="80"/>
      <c r="AN144" s="80"/>
      <c r="AO144" s="82">
        <v>40960.673159722224</v>
      </c>
      <c r="AP144" s="85" t="str">
        <f>HYPERLINK("https://pbs.twimg.com/profile_banners/498949418/1367365526")</f>
        <v>https://pbs.twimg.com/profile_banners/498949418/1367365526</v>
      </c>
      <c r="AQ144" s="80" t="b">
        <v>0</v>
      </c>
      <c r="AR144" s="80" t="b">
        <v>0</v>
      </c>
      <c r="AS144" s="80" t="b">
        <v>0</v>
      </c>
      <c r="AT144" s="80"/>
      <c r="AU144" s="80">
        <v>1</v>
      </c>
      <c r="AV144" s="85" t="str">
        <f>HYPERLINK("http://abs.twimg.com/images/themes/theme1/bg.png")</f>
        <v>http://abs.twimg.com/images/themes/theme1/bg.png</v>
      </c>
      <c r="AW144" s="80" t="b">
        <v>0</v>
      </c>
      <c r="AX144" s="80" t="s">
        <v>2002</v>
      </c>
      <c r="AY144" s="85" t="str">
        <f>HYPERLINK("https://twitter.com/nunonunes_")</f>
        <v>https://twitter.com/nunonunes_</v>
      </c>
      <c r="AZ144" s="80" t="s">
        <v>65</v>
      </c>
      <c r="BA144" s="80" t="str">
        <f>REPLACE(INDEX(GroupVertices[Group],MATCH(Vertices[[#This Row],[Vertex]],GroupVertices[Vertex],0)),1,1,"")</f>
        <v>1</v>
      </c>
      <c r="BB144" s="48"/>
      <c r="BC144" s="49"/>
      <c r="BD144" s="48"/>
      <c r="BE144" s="49"/>
      <c r="BF144" s="48"/>
      <c r="BG144" s="49"/>
      <c r="BH144" s="48"/>
      <c r="BI144" s="49"/>
      <c r="BJ144" s="48"/>
      <c r="BK144" s="48"/>
      <c r="BL144" s="48"/>
      <c r="BM144" s="48"/>
      <c r="BN144" s="48"/>
      <c r="BO144" s="48"/>
      <c r="BP144" s="48"/>
      <c r="BQ144" s="48"/>
      <c r="BR144" s="48"/>
      <c r="BS144" s="48"/>
      <c r="BT144" s="48"/>
      <c r="BU144" s="2"/>
      <c r="BV144" s="3"/>
      <c r="BW144" s="3"/>
      <c r="BX144" s="3"/>
      <c r="BY144" s="3"/>
    </row>
    <row r="145" spans="1:77" ht="15">
      <c r="A145" s="66" t="s">
        <v>540</v>
      </c>
      <c r="B145" s="67"/>
      <c r="C145" s="67"/>
      <c r="D145" s="68">
        <v>100</v>
      </c>
      <c r="E145" s="70"/>
      <c r="F145" s="104" t="str">
        <f>HYPERLINK("http://pbs.twimg.com/profile_images/1248198168149233664/gXT59nxy_normal.jpg")</f>
        <v>http://pbs.twimg.com/profile_images/1248198168149233664/gXT59nxy_normal.jpg</v>
      </c>
      <c r="G145" s="67"/>
      <c r="H145" s="71" t="s">
        <v>540</v>
      </c>
      <c r="I145" s="72"/>
      <c r="J145" s="72"/>
      <c r="K145" s="71" t="s">
        <v>2144</v>
      </c>
      <c r="L145" s="75">
        <v>1</v>
      </c>
      <c r="M145" s="76">
        <v>133.54151916503906</v>
      </c>
      <c r="N145" s="76">
        <v>8230.640625</v>
      </c>
      <c r="O145" s="77"/>
      <c r="P145" s="78"/>
      <c r="Q145" s="78"/>
      <c r="R145" s="90"/>
      <c r="S145" s="48">
        <v>1</v>
      </c>
      <c r="T145" s="48">
        <v>0</v>
      </c>
      <c r="U145" s="49">
        <v>0</v>
      </c>
      <c r="V145" s="49">
        <v>0.010638</v>
      </c>
      <c r="W145" s="49">
        <v>0</v>
      </c>
      <c r="X145" s="49">
        <v>0.520466</v>
      </c>
      <c r="Y145" s="49">
        <v>0</v>
      </c>
      <c r="Z145" s="49">
        <v>0</v>
      </c>
      <c r="AA145" s="73">
        <v>145</v>
      </c>
      <c r="AB145" s="73"/>
      <c r="AC145" s="74"/>
      <c r="AD145" s="80" t="s">
        <v>1341</v>
      </c>
      <c r="AE145" s="88" t="s">
        <v>1563</v>
      </c>
      <c r="AF145" s="80">
        <v>680</v>
      </c>
      <c r="AG145" s="80">
        <v>3135</v>
      </c>
      <c r="AH145" s="80">
        <v>23190</v>
      </c>
      <c r="AI145" s="80">
        <v>40332</v>
      </c>
      <c r="AJ145" s="80"/>
      <c r="AK145" s="80" t="s">
        <v>1781</v>
      </c>
      <c r="AL145" s="80" t="s">
        <v>1949</v>
      </c>
      <c r="AM145" s="85" t="str">
        <f>HYPERLINK("https://t.co/4PJDq6yLUk")</f>
        <v>https://t.co/4PJDq6yLUk</v>
      </c>
      <c r="AN145" s="80"/>
      <c r="AO145" s="82">
        <v>41289.94762731482</v>
      </c>
      <c r="AP145" s="85" t="str">
        <f>HYPERLINK("https://pbs.twimg.com/profile_banners/1093449728/1563274128")</f>
        <v>https://pbs.twimg.com/profile_banners/1093449728/1563274128</v>
      </c>
      <c r="AQ145" s="80" t="b">
        <v>0</v>
      </c>
      <c r="AR145" s="80" t="b">
        <v>0</v>
      </c>
      <c r="AS145" s="80" t="b">
        <v>0</v>
      </c>
      <c r="AT145" s="80"/>
      <c r="AU145" s="80">
        <v>41</v>
      </c>
      <c r="AV145" s="85" t="str">
        <f>HYPERLINK("http://abs.twimg.com/images/themes/theme1/bg.png")</f>
        <v>http://abs.twimg.com/images/themes/theme1/bg.png</v>
      </c>
      <c r="AW145" s="80" t="b">
        <v>0</v>
      </c>
      <c r="AX145" s="80" t="s">
        <v>2002</v>
      </c>
      <c r="AY145" s="85" t="str">
        <f>HYPERLINK("https://twitter.com/rubenlmartins")</f>
        <v>https://twitter.com/rubenlmartins</v>
      </c>
      <c r="AZ145" s="80" t="s">
        <v>65</v>
      </c>
      <c r="BA145" s="80" t="str">
        <f>REPLACE(INDEX(GroupVertices[Group],MATCH(Vertices[[#This Row],[Vertex]],GroupVertices[Vertex],0)),1,1,"")</f>
        <v>1</v>
      </c>
      <c r="BB145" s="48"/>
      <c r="BC145" s="49"/>
      <c r="BD145" s="48"/>
      <c r="BE145" s="49"/>
      <c r="BF145" s="48"/>
      <c r="BG145" s="49"/>
      <c r="BH145" s="48"/>
      <c r="BI145" s="49"/>
      <c r="BJ145" s="48"/>
      <c r="BK145" s="48"/>
      <c r="BL145" s="48"/>
      <c r="BM145" s="48"/>
      <c r="BN145" s="48"/>
      <c r="BO145" s="48"/>
      <c r="BP145" s="48"/>
      <c r="BQ145" s="48"/>
      <c r="BR145" s="48"/>
      <c r="BS145" s="48"/>
      <c r="BT145" s="48"/>
      <c r="BU145" s="2"/>
      <c r="BV145" s="3"/>
      <c r="BW145" s="3"/>
      <c r="BX145" s="3"/>
      <c r="BY145" s="3"/>
    </row>
    <row r="146" spans="1:77" ht="15">
      <c r="A146" s="66" t="s">
        <v>541</v>
      </c>
      <c r="B146" s="67"/>
      <c r="C146" s="67"/>
      <c r="D146" s="68">
        <v>100</v>
      </c>
      <c r="E146" s="70"/>
      <c r="F146" s="104" t="str">
        <f>HYPERLINK("http://pbs.twimg.com/profile_images/1187660523787214848/pC1kNc5__normal.jpg")</f>
        <v>http://pbs.twimg.com/profile_images/1187660523787214848/pC1kNc5__normal.jpg</v>
      </c>
      <c r="G146" s="67"/>
      <c r="H146" s="71" t="s">
        <v>541</v>
      </c>
      <c r="I146" s="72"/>
      <c r="J146" s="72"/>
      <c r="K146" s="71" t="s">
        <v>2145</v>
      </c>
      <c r="L146" s="75">
        <v>1</v>
      </c>
      <c r="M146" s="76">
        <v>2338.0771484375</v>
      </c>
      <c r="N146" s="76">
        <v>9814.140625</v>
      </c>
      <c r="O146" s="77"/>
      <c r="P146" s="78"/>
      <c r="Q146" s="78"/>
      <c r="R146" s="90"/>
      <c r="S146" s="48">
        <v>1</v>
      </c>
      <c r="T146" s="48">
        <v>0</v>
      </c>
      <c r="U146" s="49">
        <v>0</v>
      </c>
      <c r="V146" s="49">
        <v>0.010638</v>
      </c>
      <c r="W146" s="49">
        <v>0</v>
      </c>
      <c r="X146" s="49">
        <v>0.520466</v>
      </c>
      <c r="Y146" s="49">
        <v>0</v>
      </c>
      <c r="Z146" s="49">
        <v>0</v>
      </c>
      <c r="AA146" s="73">
        <v>146</v>
      </c>
      <c r="AB146" s="73"/>
      <c r="AC146" s="74"/>
      <c r="AD146" s="80" t="s">
        <v>1342</v>
      </c>
      <c r="AE146" s="88" t="s">
        <v>1564</v>
      </c>
      <c r="AF146" s="80">
        <v>383</v>
      </c>
      <c r="AG146" s="80">
        <v>344</v>
      </c>
      <c r="AH146" s="80">
        <v>3177</v>
      </c>
      <c r="AI146" s="80">
        <v>3237</v>
      </c>
      <c r="AJ146" s="80"/>
      <c r="AK146" s="80" t="s">
        <v>1782</v>
      </c>
      <c r="AL146" s="80"/>
      <c r="AM146" s="80"/>
      <c r="AN146" s="80"/>
      <c r="AO146" s="82">
        <v>40915.0030787037</v>
      </c>
      <c r="AP146" s="85" t="str">
        <f>HYPERLINK("https://pbs.twimg.com/profile_banners/457057121/1522433170")</f>
        <v>https://pbs.twimg.com/profile_banners/457057121/1522433170</v>
      </c>
      <c r="AQ146" s="80" t="b">
        <v>1</v>
      </c>
      <c r="AR146" s="80" t="b">
        <v>0</v>
      </c>
      <c r="AS146" s="80" t="b">
        <v>0</v>
      </c>
      <c r="AT146" s="80"/>
      <c r="AU146" s="80">
        <v>4</v>
      </c>
      <c r="AV146" s="85" t="str">
        <f>HYPERLINK("http://abs.twimg.com/images/themes/theme1/bg.png")</f>
        <v>http://abs.twimg.com/images/themes/theme1/bg.png</v>
      </c>
      <c r="AW146" s="80" t="b">
        <v>0</v>
      </c>
      <c r="AX146" s="80" t="s">
        <v>2002</v>
      </c>
      <c r="AY146" s="85" t="str">
        <f>HYPERLINK("https://twitter.com/franciscopires9")</f>
        <v>https://twitter.com/franciscopires9</v>
      </c>
      <c r="AZ146" s="80" t="s">
        <v>65</v>
      </c>
      <c r="BA146" s="80" t="str">
        <f>REPLACE(INDEX(GroupVertices[Group],MATCH(Vertices[[#This Row],[Vertex]],GroupVertices[Vertex],0)),1,1,"")</f>
        <v>1</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6" t="s">
        <v>542</v>
      </c>
      <c r="B147" s="67"/>
      <c r="C147" s="67"/>
      <c r="D147" s="68">
        <v>100</v>
      </c>
      <c r="E147" s="70"/>
      <c r="F147" s="104" t="str">
        <f>HYPERLINK("http://pbs.twimg.com/profile_images/550988430025310208/g_lHlcn7_normal.jpeg")</f>
        <v>http://pbs.twimg.com/profile_images/550988430025310208/g_lHlcn7_normal.jpeg</v>
      </c>
      <c r="G147" s="67"/>
      <c r="H147" s="71" t="s">
        <v>542</v>
      </c>
      <c r="I147" s="72"/>
      <c r="J147" s="72"/>
      <c r="K147" s="71" t="s">
        <v>2146</v>
      </c>
      <c r="L147" s="75">
        <v>1</v>
      </c>
      <c r="M147" s="76">
        <v>3301.912353515625</v>
      </c>
      <c r="N147" s="76">
        <v>7537.3056640625</v>
      </c>
      <c r="O147" s="77"/>
      <c r="P147" s="78"/>
      <c r="Q147" s="78"/>
      <c r="R147" s="90"/>
      <c r="S147" s="48">
        <v>1</v>
      </c>
      <c r="T147" s="48">
        <v>0</v>
      </c>
      <c r="U147" s="49">
        <v>0</v>
      </c>
      <c r="V147" s="49">
        <v>0.010638</v>
      </c>
      <c r="W147" s="49">
        <v>0</v>
      </c>
      <c r="X147" s="49">
        <v>0.520466</v>
      </c>
      <c r="Y147" s="49">
        <v>0</v>
      </c>
      <c r="Z147" s="49">
        <v>0</v>
      </c>
      <c r="AA147" s="73">
        <v>147</v>
      </c>
      <c r="AB147" s="73"/>
      <c r="AC147" s="74"/>
      <c r="AD147" s="80" t="s">
        <v>1343</v>
      </c>
      <c r="AE147" s="88" t="s">
        <v>1565</v>
      </c>
      <c r="AF147" s="80">
        <v>2927</v>
      </c>
      <c r="AG147" s="80">
        <v>896</v>
      </c>
      <c r="AH147" s="80">
        <v>22548</v>
      </c>
      <c r="AI147" s="80">
        <v>17529</v>
      </c>
      <c r="AJ147" s="80"/>
      <c r="AK147" s="80" t="s">
        <v>1783</v>
      </c>
      <c r="AL147" s="80"/>
      <c r="AM147" s="85" t="str">
        <f>HYPERLINK("https://t.co/2tH2a0K4pj")</f>
        <v>https://t.co/2tH2a0K4pj</v>
      </c>
      <c r="AN147" s="80"/>
      <c r="AO147" s="82">
        <v>42005.78826388889</v>
      </c>
      <c r="AP147" s="85" t="str">
        <f>HYPERLINK("https://pbs.twimg.com/profile_banners/2955262611/1429455676")</f>
        <v>https://pbs.twimg.com/profile_banners/2955262611/1429455676</v>
      </c>
      <c r="AQ147" s="80" t="b">
        <v>0</v>
      </c>
      <c r="AR147" s="80" t="b">
        <v>0</v>
      </c>
      <c r="AS147" s="80" t="b">
        <v>0</v>
      </c>
      <c r="AT147" s="80"/>
      <c r="AU147" s="80">
        <v>34</v>
      </c>
      <c r="AV147" s="85" t="str">
        <f>HYPERLINK("http://abs.twimg.com/images/themes/theme1/bg.png")</f>
        <v>http://abs.twimg.com/images/themes/theme1/bg.png</v>
      </c>
      <c r="AW147" s="80" t="b">
        <v>0</v>
      </c>
      <c r="AX147" s="80" t="s">
        <v>2002</v>
      </c>
      <c r="AY147" s="85" t="str">
        <f>HYPERLINK("https://twitter.com/dmconstantino")</f>
        <v>https://twitter.com/dmconstantino</v>
      </c>
      <c r="AZ147" s="80" t="s">
        <v>65</v>
      </c>
      <c r="BA147" s="80" t="str">
        <f>REPLACE(INDEX(GroupVertices[Group],MATCH(Vertices[[#This Row],[Vertex]],GroupVertices[Vertex],0)),1,1,"")</f>
        <v>1</v>
      </c>
      <c r="BB147" s="48"/>
      <c r="BC147" s="49"/>
      <c r="BD147" s="48"/>
      <c r="BE147" s="49"/>
      <c r="BF147" s="48"/>
      <c r="BG147" s="49"/>
      <c r="BH147" s="48"/>
      <c r="BI147" s="49"/>
      <c r="BJ147" s="48"/>
      <c r="BK147" s="48"/>
      <c r="BL147" s="48"/>
      <c r="BM147" s="48"/>
      <c r="BN147" s="48"/>
      <c r="BO147" s="48"/>
      <c r="BP147" s="48"/>
      <c r="BQ147" s="48"/>
      <c r="BR147" s="48"/>
      <c r="BS147" s="48"/>
      <c r="BT147" s="48"/>
      <c r="BU147" s="2"/>
      <c r="BV147" s="3"/>
      <c r="BW147" s="3"/>
      <c r="BX147" s="3"/>
      <c r="BY147" s="3"/>
    </row>
    <row r="148" spans="1:77" ht="15">
      <c r="A148" s="66" t="s">
        <v>543</v>
      </c>
      <c r="B148" s="67"/>
      <c r="C148" s="67"/>
      <c r="D148" s="68">
        <v>100</v>
      </c>
      <c r="E148" s="70"/>
      <c r="F148" s="104" t="str">
        <f>HYPERLINK("http://pbs.twimg.com/profile_images/2758267558/d7ecd64b7c2d89bc0d07625bed119128_normal.png")</f>
        <v>http://pbs.twimg.com/profile_images/2758267558/d7ecd64b7c2d89bc0d07625bed119128_normal.png</v>
      </c>
      <c r="G148" s="67"/>
      <c r="H148" s="71" t="s">
        <v>543</v>
      </c>
      <c r="I148" s="72"/>
      <c r="J148" s="72"/>
      <c r="K148" s="71" t="s">
        <v>2147</v>
      </c>
      <c r="L148" s="75">
        <v>1</v>
      </c>
      <c r="M148" s="76">
        <v>3200.14404296875</v>
      </c>
      <c r="N148" s="76">
        <v>8233.8818359375</v>
      </c>
      <c r="O148" s="77"/>
      <c r="P148" s="78"/>
      <c r="Q148" s="78"/>
      <c r="R148" s="90"/>
      <c r="S148" s="48">
        <v>1</v>
      </c>
      <c r="T148" s="48">
        <v>0</v>
      </c>
      <c r="U148" s="49">
        <v>0</v>
      </c>
      <c r="V148" s="49">
        <v>0.010638</v>
      </c>
      <c r="W148" s="49">
        <v>0</v>
      </c>
      <c r="X148" s="49">
        <v>0.520466</v>
      </c>
      <c r="Y148" s="49">
        <v>0</v>
      </c>
      <c r="Z148" s="49">
        <v>0</v>
      </c>
      <c r="AA148" s="73">
        <v>148</v>
      </c>
      <c r="AB148" s="73"/>
      <c r="AC148" s="74"/>
      <c r="AD148" s="80" t="s">
        <v>1344</v>
      </c>
      <c r="AE148" s="88" t="s">
        <v>1566</v>
      </c>
      <c r="AF148" s="80">
        <v>100</v>
      </c>
      <c r="AG148" s="80">
        <v>116881</v>
      </c>
      <c r="AH148" s="80">
        <v>4898</v>
      </c>
      <c r="AI148" s="80">
        <v>228</v>
      </c>
      <c r="AJ148" s="80"/>
      <c r="AK148" s="80" t="s">
        <v>1784</v>
      </c>
      <c r="AL148" s="80" t="s">
        <v>1884</v>
      </c>
      <c r="AM148" s="85" t="str">
        <f>HYPERLINK("http://t.co/uHh3yWNsUE")</f>
        <v>http://t.co/uHh3yWNsUE</v>
      </c>
      <c r="AN148" s="80"/>
      <c r="AO148" s="82">
        <v>40107.684166666666</v>
      </c>
      <c r="AP148" s="85" t="str">
        <f>HYPERLINK("https://pbs.twimg.com/profile_banners/84110051/1560454094")</f>
        <v>https://pbs.twimg.com/profile_banners/84110051/1560454094</v>
      </c>
      <c r="AQ148" s="80" t="b">
        <v>0</v>
      </c>
      <c r="AR148" s="80" t="b">
        <v>0</v>
      </c>
      <c r="AS148" s="80" t="b">
        <v>1</v>
      </c>
      <c r="AT148" s="80"/>
      <c r="AU148" s="80">
        <v>433</v>
      </c>
      <c r="AV148" s="85" t="str">
        <f>HYPERLINK("http://abs.twimg.com/images/themes/theme1/bg.png")</f>
        <v>http://abs.twimg.com/images/themes/theme1/bg.png</v>
      </c>
      <c r="AW148" s="80" t="b">
        <v>1</v>
      </c>
      <c r="AX148" s="80" t="s">
        <v>2002</v>
      </c>
      <c r="AY148" s="85" t="str">
        <f>HYPERLINK("https://twitter.com/tcuoficial")</f>
        <v>https://twitter.com/tcuoficial</v>
      </c>
      <c r="AZ148" s="80" t="s">
        <v>65</v>
      </c>
      <c r="BA148" s="80" t="str">
        <f>REPLACE(INDEX(GroupVertices[Group],MATCH(Vertices[[#This Row],[Vertex]],GroupVertices[Vertex],0)),1,1,"")</f>
        <v>1</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6" t="s">
        <v>544</v>
      </c>
      <c r="B149" s="67"/>
      <c r="C149" s="67"/>
      <c r="D149" s="68">
        <v>100</v>
      </c>
      <c r="E149" s="70"/>
      <c r="F149" s="104" t="str">
        <f>HYPERLINK("http://pbs.twimg.com/profile_images/1275219961053614080/muOjn1Et_normal.jpg")</f>
        <v>http://pbs.twimg.com/profile_images/1275219961053614080/muOjn1Et_normal.jpg</v>
      </c>
      <c r="G149" s="67"/>
      <c r="H149" s="71" t="s">
        <v>544</v>
      </c>
      <c r="I149" s="72"/>
      <c r="J149" s="72"/>
      <c r="K149" s="71" t="s">
        <v>2148</v>
      </c>
      <c r="L149" s="75">
        <v>1</v>
      </c>
      <c r="M149" s="76">
        <v>1850.7454833984375</v>
      </c>
      <c r="N149" s="76">
        <v>9843.6689453125</v>
      </c>
      <c r="O149" s="77"/>
      <c r="P149" s="78"/>
      <c r="Q149" s="78"/>
      <c r="R149" s="90"/>
      <c r="S149" s="48">
        <v>1</v>
      </c>
      <c r="T149" s="48">
        <v>0</v>
      </c>
      <c r="U149" s="49">
        <v>0</v>
      </c>
      <c r="V149" s="49">
        <v>0.010638</v>
      </c>
      <c r="W149" s="49">
        <v>0</v>
      </c>
      <c r="X149" s="49">
        <v>0.520466</v>
      </c>
      <c r="Y149" s="49">
        <v>0</v>
      </c>
      <c r="Z149" s="49">
        <v>0</v>
      </c>
      <c r="AA149" s="73">
        <v>149</v>
      </c>
      <c r="AB149" s="73"/>
      <c r="AC149" s="74"/>
      <c r="AD149" s="80" t="s">
        <v>1345</v>
      </c>
      <c r="AE149" s="88" t="s">
        <v>1567</v>
      </c>
      <c r="AF149" s="80">
        <v>2343</v>
      </c>
      <c r="AG149" s="80">
        <v>586419</v>
      </c>
      <c r="AH149" s="80">
        <v>51854</v>
      </c>
      <c r="AI149" s="80">
        <v>26369</v>
      </c>
      <c r="AJ149" s="80"/>
      <c r="AK149" s="80" t="s">
        <v>1785</v>
      </c>
      <c r="AL149" s="80" t="s">
        <v>1950</v>
      </c>
      <c r="AM149" s="85" t="str">
        <f>HYPERLINK("https://t.co/N25L1rkbtD")</f>
        <v>https://t.co/N25L1rkbtD</v>
      </c>
      <c r="AN149" s="80"/>
      <c r="AO149" s="82">
        <v>39841.773460648146</v>
      </c>
      <c r="AP149" s="85" t="str">
        <f>HYPERLINK("https://pbs.twimg.com/profile_banners/19667016/1587514770")</f>
        <v>https://pbs.twimg.com/profile_banners/19667016/1587514770</v>
      </c>
      <c r="AQ149" s="80" t="b">
        <v>0</v>
      </c>
      <c r="AR149" s="80" t="b">
        <v>0</v>
      </c>
      <c r="AS149" s="80" t="b">
        <v>0</v>
      </c>
      <c r="AT149" s="80"/>
      <c r="AU149" s="80">
        <v>1674</v>
      </c>
      <c r="AV149" s="85" t="str">
        <f>HYPERLINK("http://abs.twimg.com/images/themes/theme6/bg.gif")</f>
        <v>http://abs.twimg.com/images/themes/theme6/bg.gif</v>
      </c>
      <c r="AW149" s="80" t="b">
        <v>1</v>
      </c>
      <c r="AX149" s="80" t="s">
        <v>2002</v>
      </c>
      <c r="AY149" s="85" t="str">
        <f>HYPERLINK("https://twitter.com/veramagalhaes")</f>
        <v>https://twitter.com/veramagalhaes</v>
      </c>
      <c r="AZ149" s="80" t="s">
        <v>65</v>
      </c>
      <c r="BA149" s="80" t="str">
        <f>REPLACE(INDEX(GroupVertices[Group],MATCH(Vertices[[#This Row],[Vertex]],GroupVertices[Vertex],0)),1,1,"")</f>
        <v>1</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6" t="s">
        <v>545</v>
      </c>
      <c r="B150" s="67"/>
      <c r="C150" s="67"/>
      <c r="D150" s="68">
        <v>100</v>
      </c>
      <c r="E150" s="70"/>
      <c r="F150" s="104" t="str">
        <f>HYPERLINK("http://pbs.twimg.com/profile_images/1264328886910889985/3T42Zq6-_normal.jpg")</f>
        <v>http://pbs.twimg.com/profile_images/1264328886910889985/3T42Zq6-_normal.jpg</v>
      </c>
      <c r="G150" s="67"/>
      <c r="H150" s="71" t="s">
        <v>545</v>
      </c>
      <c r="I150" s="72"/>
      <c r="J150" s="72"/>
      <c r="K150" s="71" t="s">
        <v>2149</v>
      </c>
      <c r="L150" s="75">
        <v>1</v>
      </c>
      <c r="M150" s="76">
        <v>1755.6602783203125</v>
      </c>
      <c r="N150" s="76">
        <v>9425.0703125</v>
      </c>
      <c r="O150" s="77"/>
      <c r="P150" s="78"/>
      <c r="Q150" s="78"/>
      <c r="R150" s="90"/>
      <c r="S150" s="48">
        <v>1</v>
      </c>
      <c r="T150" s="48">
        <v>0</v>
      </c>
      <c r="U150" s="49">
        <v>0</v>
      </c>
      <c r="V150" s="49">
        <v>0.010638</v>
      </c>
      <c r="W150" s="49">
        <v>0</v>
      </c>
      <c r="X150" s="49">
        <v>0.520466</v>
      </c>
      <c r="Y150" s="49">
        <v>0</v>
      </c>
      <c r="Z150" s="49">
        <v>0</v>
      </c>
      <c r="AA150" s="73">
        <v>150</v>
      </c>
      <c r="AB150" s="73"/>
      <c r="AC150" s="74"/>
      <c r="AD150" s="80" t="s">
        <v>1346</v>
      </c>
      <c r="AE150" s="88" t="s">
        <v>1568</v>
      </c>
      <c r="AF150" s="80">
        <v>34</v>
      </c>
      <c r="AG150" s="80">
        <v>4</v>
      </c>
      <c r="AH150" s="80">
        <v>306</v>
      </c>
      <c r="AI150" s="80">
        <v>670</v>
      </c>
      <c r="AJ150" s="80"/>
      <c r="AK150" s="80" t="s">
        <v>1786</v>
      </c>
      <c r="AL150" s="80" t="s">
        <v>1951</v>
      </c>
      <c r="AM150" s="80"/>
      <c r="AN150" s="80"/>
      <c r="AO150" s="82">
        <v>43974.95340277778</v>
      </c>
      <c r="AP150" s="80"/>
      <c r="AQ150" s="80" t="b">
        <v>1</v>
      </c>
      <c r="AR150" s="80" t="b">
        <v>0</v>
      </c>
      <c r="AS150" s="80" t="b">
        <v>0</v>
      </c>
      <c r="AT150" s="80"/>
      <c r="AU150" s="80">
        <v>0</v>
      </c>
      <c r="AV150" s="80"/>
      <c r="AW150" s="80" t="b">
        <v>0</v>
      </c>
      <c r="AX150" s="80" t="s">
        <v>2002</v>
      </c>
      <c r="AY150" s="85" t="str">
        <f>HYPERLINK("https://twitter.com/brright3")</f>
        <v>https://twitter.com/brright3</v>
      </c>
      <c r="AZ150" s="80" t="s">
        <v>65</v>
      </c>
      <c r="BA150" s="80" t="str">
        <f>REPLACE(INDEX(GroupVertices[Group],MATCH(Vertices[[#This Row],[Vertex]],GroupVertices[Vertex],0)),1,1,"")</f>
        <v>1</v>
      </c>
      <c r="BB150" s="48"/>
      <c r="BC150" s="49"/>
      <c r="BD150" s="48"/>
      <c r="BE150" s="49"/>
      <c r="BF150" s="48"/>
      <c r="BG150" s="49"/>
      <c r="BH150" s="48"/>
      <c r="BI150" s="49"/>
      <c r="BJ150" s="48"/>
      <c r="BK150" s="48"/>
      <c r="BL150" s="48"/>
      <c r="BM150" s="48"/>
      <c r="BN150" s="48"/>
      <c r="BO150" s="48"/>
      <c r="BP150" s="48"/>
      <c r="BQ150" s="48"/>
      <c r="BR150" s="48"/>
      <c r="BS150" s="48"/>
      <c r="BT150" s="48"/>
      <c r="BU150" s="2"/>
      <c r="BV150" s="3"/>
      <c r="BW150" s="3"/>
      <c r="BX150" s="3"/>
      <c r="BY150" s="3"/>
    </row>
    <row r="151" spans="1:77" ht="15">
      <c r="A151" s="66" t="s">
        <v>546</v>
      </c>
      <c r="B151" s="67"/>
      <c r="C151" s="67"/>
      <c r="D151" s="68">
        <v>100</v>
      </c>
      <c r="E151" s="70"/>
      <c r="F151" s="104" t="str">
        <f>HYPERLINK("http://pbs.twimg.com/profile_images/653683972640239618/cnBksWNS_normal.jpg")</f>
        <v>http://pbs.twimg.com/profile_images/653683972640239618/cnBksWNS_normal.jpg</v>
      </c>
      <c r="G151" s="67"/>
      <c r="H151" s="71" t="s">
        <v>546</v>
      </c>
      <c r="I151" s="72"/>
      <c r="J151" s="72"/>
      <c r="K151" s="71" t="s">
        <v>2150</v>
      </c>
      <c r="L151" s="75">
        <v>1</v>
      </c>
      <c r="M151" s="76">
        <v>3478.511962890625</v>
      </c>
      <c r="N151" s="76">
        <v>9121.1787109375</v>
      </c>
      <c r="O151" s="77"/>
      <c r="P151" s="78"/>
      <c r="Q151" s="78"/>
      <c r="R151" s="90"/>
      <c r="S151" s="48">
        <v>1</v>
      </c>
      <c r="T151" s="48">
        <v>0</v>
      </c>
      <c r="U151" s="49">
        <v>0</v>
      </c>
      <c r="V151" s="49">
        <v>0.010638</v>
      </c>
      <c r="W151" s="49">
        <v>0</v>
      </c>
      <c r="X151" s="49">
        <v>0.520466</v>
      </c>
      <c r="Y151" s="49">
        <v>0</v>
      </c>
      <c r="Z151" s="49">
        <v>0</v>
      </c>
      <c r="AA151" s="73">
        <v>151</v>
      </c>
      <c r="AB151" s="73"/>
      <c r="AC151" s="74"/>
      <c r="AD151" s="80" t="s">
        <v>1347</v>
      </c>
      <c r="AE151" s="88" t="s">
        <v>1569</v>
      </c>
      <c r="AF151" s="80">
        <v>189</v>
      </c>
      <c r="AG151" s="80">
        <v>34975</v>
      </c>
      <c r="AH151" s="80">
        <v>4115</v>
      </c>
      <c r="AI151" s="80">
        <v>942</v>
      </c>
      <c r="AJ151" s="80"/>
      <c r="AK151" s="80" t="s">
        <v>1787</v>
      </c>
      <c r="AL151" s="80" t="s">
        <v>1952</v>
      </c>
      <c r="AM151" s="85" t="str">
        <f>HYPERLINK("http://t.co/DvNN9QOaBx")</f>
        <v>http://t.co/DvNN9QOaBx</v>
      </c>
      <c r="AN151" s="80"/>
      <c r="AO151" s="82">
        <v>40281.54545138889</v>
      </c>
      <c r="AP151" s="85" t="str">
        <f>HYPERLINK("https://pbs.twimg.com/profile_banners/132513707/1543839980")</f>
        <v>https://pbs.twimg.com/profile_banners/132513707/1543839980</v>
      </c>
      <c r="AQ151" s="80" t="b">
        <v>1</v>
      </c>
      <c r="AR151" s="80" t="b">
        <v>0</v>
      </c>
      <c r="AS151" s="80" t="b">
        <v>0</v>
      </c>
      <c r="AT151" s="80"/>
      <c r="AU151" s="80">
        <v>257</v>
      </c>
      <c r="AV151" s="85" t="str">
        <f>HYPERLINK("http://abs.twimg.com/images/themes/theme1/bg.png")</f>
        <v>http://abs.twimg.com/images/themes/theme1/bg.png</v>
      </c>
      <c r="AW151" s="80" t="b">
        <v>1</v>
      </c>
      <c r="AX151" s="80" t="s">
        <v>2002</v>
      </c>
      <c r="AY151" s="85" t="str">
        <f>HYPERLINK("https://twitter.com/tassojereissati")</f>
        <v>https://twitter.com/tassojereissati</v>
      </c>
      <c r="AZ151" s="80" t="s">
        <v>65</v>
      </c>
      <c r="BA151" s="80" t="str">
        <f>REPLACE(INDEX(GroupVertices[Group],MATCH(Vertices[[#This Row],[Vertex]],GroupVertices[Vertex],0)),1,1,"")</f>
        <v>1</v>
      </c>
      <c r="BB151" s="48"/>
      <c r="BC151" s="49"/>
      <c r="BD151" s="48"/>
      <c r="BE151" s="49"/>
      <c r="BF151" s="48"/>
      <c r="BG151" s="49"/>
      <c r="BH151" s="48"/>
      <c r="BI151" s="49"/>
      <c r="BJ151" s="48"/>
      <c r="BK151" s="48"/>
      <c r="BL151" s="48"/>
      <c r="BM151" s="48"/>
      <c r="BN151" s="48"/>
      <c r="BO151" s="48"/>
      <c r="BP151" s="48"/>
      <c r="BQ151" s="48"/>
      <c r="BR151" s="48"/>
      <c r="BS151" s="48"/>
      <c r="BT151" s="48"/>
      <c r="BU151" s="2"/>
      <c r="BV151" s="3"/>
      <c r="BW151" s="3"/>
      <c r="BX151" s="3"/>
      <c r="BY151" s="3"/>
    </row>
    <row r="152" spans="1:77" ht="15">
      <c r="A152" s="66" t="s">
        <v>547</v>
      </c>
      <c r="B152" s="67"/>
      <c r="C152" s="67"/>
      <c r="D152" s="68">
        <v>100</v>
      </c>
      <c r="E152" s="70"/>
      <c r="F152" s="104" t="str">
        <f>HYPERLINK("http://pbs.twimg.com/profile_images/1139011464830836737/oBJwxIUK_normal.png")</f>
        <v>http://pbs.twimg.com/profile_images/1139011464830836737/oBJwxIUK_normal.png</v>
      </c>
      <c r="G152" s="67"/>
      <c r="H152" s="71" t="s">
        <v>547</v>
      </c>
      <c r="I152" s="72"/>
      <c r="J152" s="72"/>
      <c r="K152" s="71" t="s">
        <v>2151</v>
      </c>
      <c r="L152" s="75">
        <v>1</v>
      </c>
      <c r="M152" s="76">
        <v>797.5225830078125</v>
      </c>
      <c r="N152" s="76">
        <v>6467.28662109375</v>
      </c>
      <c r="O152" s="77"/>
      <c r="P152" s="78"/>
      <c r="Q152" s="78"/>
      <c r="R152" s="90"/>
      <c r="S152" s="48">
        <v>1</v>
      </c>
      <c r="T152" s="48">
        <v>0</v>
      </c>
      <c r="U152" s="49">
        <v>0</v>
      </c>
      <c r="V152" s="49">
        <v>0.010638</v>
      </c>
      <c r="W152" s="49">
        <v>0</v>
      </c>
      <c r="X152" s="49">
        <v>0.520466</v>
      </c>
      <c r="Y152" s="49">
        <v>0</v>
      </c>
      <c r="Z152" s="49">
        <v>0</v>
      </c>
      <c r="AA152" s="73">
        <v>152</v>
      </c>
      <c r="AB152" s="73"/>
      <c r="AC152" s="74"/>
      <c r="AD152" s="80" t="s">
        <v>1348</v>
      </c>
      <c r="AE152" s="88" t="s">
        <v>1570</v>
      </c>
      <c r="AF152" s="80">
        <v>399</v>
      </c>
      <c r="AG152" s="80">
        <v>165</v>
      </c>
      <c r="AH152" s="80">
        <v>746</v>
      </c>
      <c r="AI152" s="80">
        <v>50725</v>
      </c>
      <c r="AJ152" s="80"/>
      <c r="AK152" s="80" t="s">
        <v>1788</v>
      </c>
      <c r="AL152" s="80" t="s">
        <v>1953</v>
      </c>
      <c r="AM152" s="85" t="str">
        <f>HYPERLINK("https://t.co/ipXiRGJGXh")</f>
        <v>https://t.co/ipXiRGJGXh</v>
      </c>
      <c r="AN152" s="80"/>
      <c r="AO152" s="82">
        <v>40198.46333333333</v>
      </c>
      <c r="AP152" s="85" t="str">
        <f>HYPERLINK("https://pbs.twimg.com/profile_banners/106696661/1560396565")</f>
        <v>https://pbs.twimg.com/profile_banners/106696661/1560396565</v>
      </c>
      <c r="AQ152" s="80" t="b">
        <v>0</v>
      </c>
      <c r="AR152" s="80" t="b">
        <v>0</v>
      </c>
      <c r="AS152" s="80" t="b">
        <v>0</v>
      </c>
      <c r="AT152" s="80"/>
      <c r="AU152" s="80">
        <v>1</v>
      </c>
      <c r="AV152" s="85" t="str">
        <f>HYPERLINK("http://abs.twimg.com/images/themes/theme1/bg.png")</f>
        <v>http://abs.twimg.com/images/themes/theme1/bg.png</v>
      </c>
      <c r="AW152" s="80" t="b">
        <v>0</v>
      </c>
      <c r="AX152" s="80" t="s">
        <v>2002</v>
      </c>
      <c r="AY152" s="85" t="str">
        <f>HYPERLINK("https://twitter.com/guikudo")</f>
        <v>https://twitter.com/guikudo</v>
      </c>
      <c r="AZ152" s="80" t="s">
        <v>65</v>
      </c>
      <c r="BA152" s="80" t="str">
        <f>REPLACE(INDEX(GroupVertices[Group],MATCH(Vertices[[#This Row],[Vertex]],GroupVertices[Vertex],0)),1,1,"")</f>
        <v>1</v>
      </c>
      <c r="BB152" s="48"/>
      <c r="BC152" s="49"/>
      <c r="BD152" s="48"/>
      <c r="BE152" s="49"/>
      <c r="BF152" s="48"/>
      <c r="BG152" s="49"/>
      <c r="BH152" s="48"/>
      <c r="BI152" s="49"/>
      <c r="BJ152" s="48"/>
      <c r="BK152" s="48"/>
      <c r="BL152" s="48"/>
      <c r="BM152" s="48"/>
      <c r="BN152" s="48"/>
      <c r="BO152" s="48"/>
      <c r="BP152" s="48"/>
      <c r="BQ152" s="48"/>
      <c r="BR152" s="48"/>
      <c r="BS152" s="48"/>
      <c r="BT152" s="48"/>
      <c r="BU152" s="2"/>
      <c r="BV152" s="3"/>
      <c r="BW152" s="3"/>
      <c r="BX152" s="3"/>
      <c r="BY152" s="3"/>
    </row>
    <row r="153" spans="1:77" ht="15">
      <c r="A153" s="66" t="s">
        <v>548</v>
      </c>
      <c r="B153" s="67"/>
      <c r="C153" s="67"/>
      <c r="D153" s="68">
        <v>100</v>
      </c>
      <c r="E153" s="70"/>
      <c r="F153" s="104" t="str">
        <f>HYPERLINK("http://pbs.twimg.com/profile_images/1227041395858382848/Aie7osl4_normal.jpg")</f>
        <v>http://pbs.twimg.com/profile_images/1227041395858382848/Aie7osl4_normal.jpg</v>
      </c>
      <c r="G153" s="67"/>
      <c r="H153" s="71" t="s">
        <v>548</v>
      </c>
      <c r="I153" s="72"/>
      <c r="J153" s="72"/>
      <c r="K153" s="71" t="s">
        <v>2152</v>
      </c>
      <c r="L153" s="75">
        <v>1</v>
      </c>
      <c r="M153" s="76">
        <v>1932.2987060546875</v>
      </c>
      <c r="N153" s="76">
        <v>5841.81689453125</v>
      </c>
      <c r="O153" s="77"/>
      <c r="P153" s="78"/>
      <c r="Q153" s="78"/>
      <c r="R153" s="90"/>
      <c r="S153" s="48">
        <v>1</v>
      </c>
      <c r="T153" s="48">
        <v>0</v>
      </c>
      <c r="U153" s="49">
        <v>0</v>
      </c>
      <c r="V153" s="49">
        <v>0.010638</v>
      </c>
      <c r="W153" s="49">
        <v>0</v>
      </c>
      <c r="X153" s="49">
        <v>0.520466</v>
      </c>
      <c r="Y153" s="49">
        <v>0</v>
      </c>
      <c r="Z153" s="49">
        <v>0</v>
      </c>
      <c r="AA153" s="73">
        <v>153</v>
      </c>
      <c r="AB153" s="73"/>
      <c r="AC153" s="74"/>
      <c r="AD153" s="80" t="s">
        <v>1349</v>
      </c>
      <c r="AE153" s="88" t="s">
        <v>1571</v>
      </c>
      <c r="AF153" s="80">
        <v>1851</v>
      </c>
      <c r="AG153" s="80">
        <v>10453</v>
      </c>
      <c r="AH153" s="80">
        <v>7580</v>
      </c>
      <c r="AI153" s="80">
        <v>287</v>
      </c>
      <c r="AJ153" s="80"/>
      <c r="AK153" s="80" t="s">
        <v>1789</v>
      </c>
      <c r="AL153" s="80" t="s">
        <v>1911</v>
      </c>
      <c r="AM153" s="85" t="str">
        <f>HYPERLINK("https://t.co/GN62IzRZYg")</f>
        <v>https://t.co/GN62IzRZYg</v>
      </c>
      <c r="AN153" s="80"/>
      <c r="AO153" s="82">
        <v>40005.23138888889</v>
      </c>
      <c r="AP153" s="85" t="str">
        <f>HYPERLINK("https://pbs.twimg.com/profile_banners/55767644/1591068037")</f>
        <v>https://pbs.twimg.com/profile_banners/55767644/1591068037</v>
      </c>
      <c r="AQ153" s="80" t="b">
        <v>0</v>
      </c>
      <c r="AR153" s="80" t="b">
        <v>0</v>
      </c>
      <c r="AS153" s="80" t="b">
        <v>1</v>
      </c>
      <c r="AT153" s="80"/>
      <c r="AU153" s="80">
        <v>108</v>
      </c>
      <c r="AV153" s="85" t="str">
        <f>HYPERLINK("http://abs.twimg.com/images/themes/theme9/bg.gif")</f>
        <v>http://abs.twimg.com/images/themes/theme9/bg.gif</v>
      </c>
      <c r="AW153" s="80" t="b">
        <v>1</v>
      </c>
      <c r="AX153" s="80" t="s">
        <v>2002</v>
      </c>
      <c r="AY153" s="85" t="str">
        <f>HYPERLINK("https://twitter.com/rodrigomenegat")</f>
        <v>https://twitter.com/rodrigomenegat</v>
      </c>
      <c r="AZ153" s="80" t="s">
        <v>65</v>
      </c>
      <c r="BA153" s="80" t="str">
        <f>REPLACE(INDEX(GroupVertices[Group],MATCH(Vertices[[#This Row],[Vertex]],GroupVertices[Vertex],0)),1,1,"")</f>
        <v>1</v>
      </c>
      <c r="BB153" s="48"/>
      <c r="BC153" s="49"/>
      <c r="BD153" s="48"/>
      <c r="BE153" s="49"/>
      <c r="BF153" s="48"/>
      <c r="BG153" s="49"/>
      <c r="BH153" s="48"/>
      <c r="BI153" s="49"/>
      <c r="BJ153" s="48"/>
      <c r="BK153" s="48"/>
      <c r="BL153" s="48"/>
      <c r="BM153" s="48"/>
      <c r="BN153" s="48"/>
      <c r="BO153" s="48"/>
      <c r="BP153" s="48"/>
      <c r="BQ153" s="48"/>
      <c r="BR153" s="48"/>
      <c r="BS153" s="48"/>
      <c r="BT153" s="48"/>
      <c r="BU153" s="2"/>
      <c r="BV153" s="3"/>
      <c r="BW153" s="3"/>
      <c r="BX153" s="3"/>
      <c r="BY153" s="3"/>
    </row>
    <row r="154" spans="1:77" ht="15">
      <c r="A154" s="66" t="s">
        <v>549</v>
      </c>
      <c r="B154" s="67"/>
      <c r="C154" s="67"/>
      <c r="D154" s="68">
        <v>100</v>
      </c>
      <c r="E154" s="70"/>
      <c r="F154" s="104" t="str">
        <f>HYPERLINK("http://pbs.twimg.com/profile_images/1225463745360678917/OdRqhnU5_normal.jpg")</f>
        <v>http://pbs.twimg.com/profile_images/1225463745360678917/OdRqhnU5_normal.jpg</v>
      </c>
      <c r="G154" s="67"/>
      <c r="H154" s="71" t="s">
        <v>549</v>
      </c>
      <c r="I154" s="72"/>
      <c r="J154" s="72"/>
      <c r="K154" s="71" t="s">
        <v>2153</v>
      </c>
      <c r="L154" s="75">
        <v>1</v>
      </c>
      <c r="M154" s="76">
        <v>3906.191162109375</v>
      </c>
      <c r="N154" s="76">
        <v>7613.99365234375</v>
      </c>
      <c r="O154" s="77"/>
      <c r="P154" s="78"/>
      <c r="Q154" s="78"/>
      <c r="R154" s="90"/>
      <c r="S154" s="48">
        <v>1</v>
      </c>
      <c r="T154" s="48">
        <v>0</v>
      </c>
      <c r="U154" s="49">
        <v>0</v>
      </c>
      <c r="V154" s="49">
        <v>0.010638</v>
      </c>
      <c r="W154" s="49">
        <v>0</v>
      </c>
      <c r="X154" s="49">
        <v>0.520466</v>
      </c>
      <c r="Y154" s="49">
        <v>0</v>
      </c>
      <c r="Z154" s="49">
        <v>0</v>
      </c>
      <c r="AA154" s="73">
        <v>154</v>
      </c>
      <c r="AB154" s="73"/>
      <c r="AC154" s="74"/>
      <c r="AD154" s="80" t="s">
        <v>1350</v>
      </c>
      <c r="AE154" s="88" t="s">
        <v>1572</v>
      </c>
      <c r="AF154" s="80">
        <v>647</v>
      </c>
      <c r="AG154" s="80">
        <v>657</v>
      </c>
      <c r="AH154" s="80">
        <v>29362</v>
      </c>
      <c r="AI154" s="80">
        <v>13303</v>
      </c>
      <c r="AJ154" s="80"/>
      <c r="AK154" s="80" t="s">
        <v>1790</v>
      </c>
      <c r="AL154" s="80" t="s">
        <v>1954</v>
      </c>
      <c r="AM154" s="80"/>
      <c r="AN154" s="80"/>
      <c r="AO154" s="82">
        <v>39986.909097222226</v>
      </c>
      <c r="AP154" s="85" t="str">
        <f>HYPERLINK("https://pbs.twimg.com/profile_banners/49778404/1535597470")</f>
        <v>https://pbs.twimg.com/profile_banners/49778404/1535597470</v>
      </c>
      <c r="AQ154" s="80" t="b">
        <v>0</v>
      </c>
      <c r="AR154" s="80" t="b">
        <v>0</v>
      </c>
      <c r="AS154" s="80" t="b">
        <v>1</v>
      </c>
      <c r="AT154" s="80"/>
      <c r="AU154" s="80">
        <v>3</v>
      </c>
      <c r="AV154" s="85" t="str">
        <f>HYPERLINK("http://abs.twimg.com/images/themes/theme3/bg.gif")</f>
        <v>http://abs.twimg.com/images/themes/theme3/bg.gif</v>
      </c>
      <c r="AW154" s="80" t="b">
        <v>0</v>
      </c>
      <c r="AX154" s="80" t="s">
        <v>2002</v>
      </c>
      <c r="AY154" s="85" t="str">
        <f>HYPERLINK("https://twitter.com/camillatavares")</f>
        <v>https://twitter.com/camillatavares</v>
      </c>
      <c r="AZ154" s="80" t="s">
        <v>65</v>
      </c>
      <c r="BA154" s="80" t="str">
        <f>REPLACE(INDEX(GroupVertices[Group],MATCH(Vertices[[#This Row],[Vertex]],GroupVertices[Vertex],0)),1,1,"")</f>
        <v>1</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6" t="s">
        <v>550</v>
      </c>
      <c r="B155" s="67"/>
      <c r="C155" s="67"/>
      <c r="D155" s="68">
        <v>100</v>
      </c>
      <c r="E155" s="70"/>
      <c r="F155" s="104" t="str">
        <f>HYPERLINK("http://pbs.twimg.com/profile_images/1235521987096821760/JWGQ-HxZ_normal.jpg")</f>
        <v>http://pbs.twimg.com/profile_images/1235521987096821760/JWGQ-HxZ_normal.jpg</v>
      </c>
      <c r="G155" s="67"/>
      <c r="H155" s="71" t="s">
        <v>550</v>
      </c>
      <c r="I155" s="72"/>
      <c r="J155" s="72"/>
      <c r="K155" s="71" t="s">
        <v>2154</v>
      </c>
      <c r="L155" s="75">
        <v>1</v>
      </c>
      <c r="M155" s="76">
        <v>558.6383056640625</v>
      </c>
      <c r="N155" s="76">
        <v>8387.048828125</v>
      </c>
      <c r="O155" s="77"/>
      <c r="P155" s="78"/>
      <c r="Q155" s="78"/>
      <c r="R155" s="90"/>
      <c r="S155" s="48">
        <v>1</v>
      </c>
      <c r="T155" s="48">
        <v>0</v>
      </c>
      <c r="U155" s="49">
        <v>0</v>
      </c>
      <c r="V155" s="49">
        <v>0.010638</v>
      </c>
      <c r="W155" s="49">
        <v>0</v>
      </c>
      <c r="X155" s="49">
        <v>0.520466</v>
      </c>
      <c r="Y155" s="49">
        <v>0</v>
      </c>
      <c r="Z155" s="49">
        <v>0</v>
      </c>
      <c r="AA155" s="73">
        <v>155</v>
      </c>
      <c r="AB155" s="73"/>
      <c r="AC155" s="74"/>
      <c r="AD155" s="80" t="s">
        <v>1351</v>
      </c>
      <c r="AE155" s="88" t="s">
        <v>1573</v>
      </c>
      <c r="AF155" s="80">
        <v>906</v>
      </c>
      <c r="AG155" s="80">
        <v>1461</v>
      </c>
      <c r="AH155" s="80">
        <v>12434</v>
      </c>
      <c r="AI155" s="80">
        <v>2725</v>
      </c>
      <c r="AJ155" s="80"/>
      <c r="AK155" s="80" t="s">
        <v>1791</v>
      </c>
      <c r="AL155" s="80" t="s">
        <v>1955</v>
      </c>
      <c r="AM155" s="80"/>
      <c r="AN155" s="80"/>
      <c r="AO155" s="82">
        <v>39526.802615740744</v>
      </c>
      <c r="AP155" s="85" t="str">
        <f>HYPERLINK("https://pbs.twimg.com/profile_banners/14179053/1398355191")</f>
        <v>https://pbs.twimg.com/profile_banners/14179053/1398355191</v>
      </c>
      <c r="AQ155" s="80" t="b">
        <v>0</v>
      </c>
      <c r="AR155" s="80" t="b">
        <v>0</v>
      </c>
      <c r="AS155" s="80" t="b">
        <v>1</v>
      </c>
      <c r="AT155" s="80"/>
      <c r="AU155" s="80">
        <v>39</v>
      </c>
      <c r="AV155" s="85" t="str">
        <f>HYPERLINK("http://abs.twimg.com/images/themes/theme15/bg.png")</f>
        <v>http://abs.twimg.com/images/themes/theme15/bg.png</v>
      </c>
      <c r="AW155" s="80" t="b">
        <v>0</v>
      </c>
      <c r="AX155" s="80" t="s">
        <v>2002</v>
      </c>
      <c r="AY155" s="85" t="str">
        <f>HYPERLINK("https://twitter.com/lucasreino")</f>
        <v>https://twitter.com/lucasreino</v>
      </c>
      <c r="AZ155" s="80" t="s">
        <v>65</v>
      </c>
      <c r="BA155" s="80" t="str">
        <f>REPLACE(INDEX(GroupVertices[Group],MATCH(Vertices[[#This Row],[Vertex]],GroupVertices[Vertex],0)),1,1,"")</f>
        <v>1</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6" t="s">
        <v>551</v>
      </c>
      <c r="B156" s="67"/>
      <c r="C156" s="67"/>
      <c r="D156" s="68">
        <v>100</v>
      </c>
      <c r="E156" s="70"/>
      <c r="F156" s="104" t="str">
        <f>HYPERLINK("http://pbs.twimg.com/profile_images/1246846012641234944/clTlBn7o_normal.jpg")</f>
        <v>http://pbs.twimg.com/profile_images/1246846012641234944/clTlBn7o_normal.jpg</v>
      </c>
      <c r="G156" s="67"/>
      <c r="H156" s="71" t="s">
        <v>551</v>
      </c>
      <c r="I156" s="72"/>
      <c r="J156" s="72"/>
      <c r="K156" s="71" t="s">
        <v>2155</v>
      </c>
      <c r="L156" s="75">
        <v>1</v>
      </c>
      <c r="M156" s="76">
        <v>578.9928588867188</v>
      </c>
      <c r="N156" s="76">
        <v>7647.77099609375</v>
      </c>
      <c r="O156" s="77"/>
      <c r="P156" s="78"/>
      <c r="Q156" s="78"/>
      <c r="R156" s="90"/>
      <c r="S156" s="48">
        <v>1</v>
      </c>
      <c r="T156" s="48">
        <v>0</v>
      </c>
      <c r="U156" s="49">
        <v>0</v>
      </c>
      <c r="V156" s="49">
        <v>0.010638</v>
      </c>
      <c r="W156" s="49">
        <v>0</v>
      </c>
      <c r="X156" s="49">
        <v>0.520466</v>
      </c>
      <c r="Y156" s="49">
        <v>0</v>
      </c>
      <c r="Z156" s="49">
        <v>0</v>
      </c>
      <c r="AA156" s="73">
        <v>156</v>
      </c>
      <c r="AB156" s="73"/>
      <c r="AC156" s="74"/>
      <c r="AD156" s="80" t="s">
        <v>1352</v>
      </c>
      <c r="AE156" s="88" t="s">
        <v>1574</v>
      </c>
      <c r="AF156" s="80">
        <v>570</v>
      </c>
      <c r="AG156" s="80">
        <v>807</v>
      </c>
      <c r="AH156" s="80">
        <v>43860</v>
      </c>
      <c r="AI156" s="80">
        <v>37219</v>
      </c>
      <c r="AJ156" s="80"/>
      <c r="AK156" s="80" t="s">
        <v>1792</v>
      </c>
      <c r="AL156" s="80"/>
      <c r="AM156" s="80"/>
      <c r="AN156" s="80"/>
      <c r="AO156" s="82">
        <v>40027.876435185186</v>
      </c>
      <c r="AP156" s="85" t="str">
        <f>HYPERLINK("https://pbs.twimg.com/profile_banners/62349407/1559088009")</f>
        <v>https://pbs.twimg.com/profile_banners/62349407/1559088009</v>
      </c>
      <c r="AQ156" s="80" t="b">
        <v>0</v>
      </c>
      <c r="AR156" s="80" t="b">
        <v>0</v>
      </c>
      <c r="AS156" s="80" t="b">
        <v>1</v>
      </c>
      <c r="AT156" s="80"/>
      <c r="AU156" s="80">
        <v>7</v>
      </c>
      <c r="AV156" s="85" t="str">
        <f>HYPERLINK("http://abs.twimg.com/images/themes/theme3/bg.gif")</f>
        <v>http://abs.twimg.com/images/themes/theme3/bg.gif</v>
      </c>
      <c r="AW156" s="80" t="b">
        <v>0</v>
      </c>
      <c r="AX156" s="80" t="s">
        <v>2002</v>
      </c>
      <c r="AY156" s="85" t="str">
        <f>HYPERLINK("https://twitter.com/anieleam")</f>
        <v>https://twitter.com/anieleam</v>
      </c>
      <c r="AZ156" s="80" t="s">
        <v>65</v>
      </c>
      <c r="BA156" s="80" t="str">
        <f>REPLACE(INDEX(GroupVertices[Group],MATCH(Vertices[[#This Row],[Vertex]],GroupVertices[Vertex],0)),1,1,"")</f>
        <v>1</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6" t="s">
        <v>552</v>
      </c>
      <c r="B157" s="67"/>
      <c r="C157" s="67"/>
      <c r="D157" s="68">
        <v>100</v>
      </c>
      <c r="E157" s="70"/>
      <c r="F157" s="104" t="str">
        <f>HYPERLINK("http://pbs.twimg.com/profile_images/1275219092451012609/BUsbs-Mt_normal.jpg")</f>
        <v>http://pbs.twimg.com/profile_images/1275219092451012609/BUsbs-Mt_normal.jpg</v>
      </c>
      <c r="G157" s="67"/>
      <c r="H157" s="71" t="s">
        <v>552</v>
      </c>
      <c r="I157" s="72"/>
      <c r="J157" s="72"/>
      <c r="K157" s="71" t="s">
        <v>2156</v>
      </c>
      <c r="L157" s="75">
        <v>1</v>
      </c>
      <c r="M157" s="76">
        <v>2358.248046875</v>
      </c>
      <c r="N157" s="76">
        <v>5855.2646484375</v>
      </c>
      <c r="O157" s="77"/>
      <c r="P157" s="78"/>
      <c r="Q157" s="78"/>
      <c r="R157" s="90"/>
      <c r="S157" s="48">
        <v>1</v>
      </c>
      <c r="T157" s="48">
        <v>0</v>
      </c>
      <c r="U157" s="49">
        <v>0</v>
      </c>
      <c r="V157" s="49">
        <v>0.010638</v>
      </c>
      <c r="W157" s="49">
        <v>0</v>
      </c>
      <c r="X157" s="49">
        <v>0.520466</v>
      </c>
      <c r="Y157" s="49">
        <v>0</v>
      </c>
      <c r="Z157" s="49">
        <v>0</v>
      </c>
      <c r="AA157" s="73">
        <v>157</v>
      </c>
      <c r="AB157" s="73"/>
      <c r="AC157" s="74"/>
      <c r="AD157" s="80" t="s">
        <v>1353</v>
      </c>
      <c r="AE157" s="88" t="s">
        <v>1575</v>
      </c>
      <c r="AF157" s="80">
        <v>311</v>
      </c>
      <c r="AG157" s="80">
        <v>314</v>
      </c>
      <c r="AH157" s="80">
        <v>10280</v>
      </c>
      <c r="AI157" s="80">
        <v>26731</v>
      </c>
      <c r="AJ157" s="80"/>
      <c r="AK157" s="80" t="s">
        <v>1793</v>
      </c>
      <c r="AL157" s="80"/>
      <c r="AM157" s="80"/>
      <c r="AN157" s="80"/>
      <c r="AO157" s="82">
        <v>41753.96476851852</v>
      </c>
      <c r="AP157" s="85" t="str">
        <f>HYPERLINK("https://pbs.twimg.com/profile_banners/2507163280/1584885145")</f>
        <v>https://pbs.twimg.com/profile_banners/2507163280/1584885145</v>
      </c>
      <c r="AQ157" s="80" t="b">
        <v>0</v>
      </c>
      <c r="AR157" s="80" t="b">
        <v>0</v>
      </c>
      <c r="AS157" s="80" t="b">
        <v>0</v>
      </c>
      <c r="AT157" s="80"/>
      <c r="AU157" s="80">
        <v>0</v>
      </c>
      <c r="AV157" s="85" t="str">
        <f>HYPERLINK("http://abs.twimg.com/images/themes/theme1/bg.png")</f>
        <v>http://abs.twimg.com/images/themes/theme1/bg.png</v>
      </c>
      <c r="AW157" s="80" t="b">
        <v>0</v>
      </c>
      <c r="AX157" s="80" t="s">
        <v>2002</v>
      </c>
      <c r="AY157" s="85" t="str">
        <f>HYPERLINK("https://twitter.com/biarcosstaa")</f>
        <v>https://twitter.com/biarcosstaa</v>
      </c>
      <c r="AZ157" s="80" t="s">
        <v>65</v>
      </c>
      <c r="BA157" s="80" t="str">
        <f>REPLACE(INDEX(GroupVertices[Group],MATCH(Vertices[[#This Row],[Vertex]],GroupVertices[Vertex],0)),1,1,"")</f>
        <v>1</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6" t="s">
        <v>553</v>
      </c>
      <c r="B158" s="67"/>
      <c r="C158" s="67"/>
      <c r="D158" s="68">
        <v>100</v>
      </c>
      <c r="E158" s="70"/>
      <c r="F158" s="104" t="str">
        <f>HYPERLINK("http://pbs.twimg.com/profile_images/1273255620247015426/pnGRSOZt_normal.jpg")</f>
        <v>http://pbs.twimg.com/profile_images/1273255620247015426/pnGRSOZt_normal.jpg</v>
      </c>
      <c r="G158" s="67"/>
      <c r="H158" s="71" t="s">
        <v>553</v>
      </c>
      <c r="I158" s="72"/>
      <c r="J158" s="72"/>
      <c r="K158" s="71" t="s">
        <v>2157</v>
      </c>
      <c r="L158" s="75">
        <v>1</v>
      </c>
      <c r="M158" s="76">
        <v>3646.264404296875</v>
      </c>
      <c r="N158" s="76">
        <v>8749.830078125</v>
      </c>
      <c r="O158" s="77"/>
      <c r="P158" s="78"/>
      <c r="Q158" s="78"/>
      <c r="R158" s="90"/>
      <c r="S158" s="48">
        <v>1</v>
      </c>
      <c r="T158" s="48">
        <v>0</v>
      </c>
      <c r="U158" s="49">
        <v>0</v>
      </c>
      <c r="V158" s="49">
        <v>0.010638</v>
      </c>
      <c r="W158" s="49">
        <v>0</v>
      </c>
      <c r="X158" s="49">
        <v>0.520466</v>
      </c>
      <c r="Y158" s="49">
        <v>0</v>
      </c>
      <c r="Z158" s="49">
        <v>0</v>
      </c>
      <c r="AA158" s="73">
        <v>158</v>
      </c>
      <c r="AB158" s="73"/>
      <c r="AC158" s="74"/>
      <c r="AD158" s="80" t="s">
        <v>1354</v>
      </c>
      <c r="AE158" s="88" t="s">
        <v>1576</v>
      </c>
      <c r="AF158" s="80">
        <v>187</v>
      </c>
      <c r="AG158" s="80">
        <v>163</v>
      </c>
      <c r="AH158" s="80">
        <v>2608</v>
      </c>
      <c r="AI158" s="80">
        <v>6859</v>
      </c>
      <c r="AJ158" s="80"/>
      <c r="AK158" s="80" t="s">
        <v>1794</v>
      </c>
      <c r="AL158" s="80" t="s">
        <v>1956</v>
      </c>
      <c r="AM158" s="80"/>
      <c r="AN158" s="80"/>
      <c r="AO158" s="82">
        <v>43293.78071759259</v>
      </c>
      <c r="AP158" s="85" t="str">
        <f>HYPERLINK("https://pbs.twimg.com/profile_banners/1017479765127819264/1588466353")</f>
        <v>https://pbs.twimg.com/profile_banners/1017479765127819264/1588466353</v>
      </c>
      <c r="AQ158" s="80" t="b">
        <v>1</v>
      </c>
      <c r="AR158" s="80" t="b">
        <v>0</v>
      </c>
      <c r="AS158" s="80" t="b">
        <v>0</v>
      </c>
      <c r="AT158" s="80"/>
      <c r="AU158" s="80">
        <v>0</v>
      </c>
      <c r="AV158" s="80"/>
      <c r="AW158" s="80" t="b">
        <v>0</v>
      </c>
      <c r="AX158" s="80" t="s">
        <v>2002</v>
      </c>
      <c r="AY158" s="85" t="str">
        <f>HYPERLINK("https://twitter.com/pzaj_")</f>
        <v>https://twitter.com/pzaj_</v>
      </c>
      <c r="AZ158" s="80" t="s">
        <v>65</v>
      </c>
      <c r="BA158" s="80" t="str">
        <f>REPLACE(INDEX(GroupVertices[Group],MATCH(Vertices[[#This Row],[Vertex]],GroupVertices[Vertex],0)),1,1,"")</f>
        <v>1</v>
      </c>
      <c r="BB158" s="48"/>
      <c r="BC158" s="49"/>
      <c r="BD158" s="48"/>
      <c r="BE158" s="49"/>
      <c r="BF158" s="48"/>
      <c r="BG158" s="49"/>
      <c r="BH158" s="48"/>
      <c r="BI158" s="49"/>
      <c r="BJ158" s="48"/>
      <c r="BK158" s="48"/>
      <c r="BL158" s="48"/>
      <c r="BM158" s="48"/>
      <c r="BN158" s="48"/>
      <c r="BO158" s="48"/>
      <c r="BP158" s="48"/>
      <c r="BQ158" s="48"/>
      <c r="BR158" s="48"/>
      <c r="BS158" s="48"/>
      <c r="BT158" s="48"/>
      <c r="BU158" s="2"/>
      <c r="BV158" s="3"/>
      <c r="BW158" s="3"/>
      <c r="BX158" s="3"/>
      <c r="BY158" s="3"/>
    </row>
    <row r="159" spans="1:77" ht="15">
      <c r="A159" s="66" t="s">
        <v>554</v>
      </c>
      <c r="B159" s="67"/>
      <c r="C159" s="67"/>
      <c r="D159" s="68">
        <v>100</v>
      </c>
      <c r="E159" s="70"/>
      <c r="F159" s="104" t="str">
        <f>HYPERLINK("http://pbs.twimg.com/profile_images/1253160583286964225/_r0r20ub_normal.jpg")</f>
        <v>http://pbs.twimg.com/profile_images/1253160583286964225/_r0r20ub_normal.jpg</v>
      </c>
      <c r="G159" s="67"/>
      <c r="H159" s="71" t="s">
        <v>554</v>
      </c>
      <c r="I159" s="72"/>
      <c r="J159" s="72"/>
      <c r="K159" s="71" t="s">
        <v>2158</v>
      </c>
      <c r="L159" s="75">
        <v>1</v>
      </c>
      <c r="M159" s="76">
        <v>1333.0625</v>
      </c>
      <c r="N159" s="76">
        <v>6627.8203125</v>
      </c>
      <c r="O159" s="77"/>
      <c r="P159" s="78"/>
      <c r="Q159" s="78"/>
      <c r="R159" s="90"/>
      <c r="S159" s="48">
        <v>1</v>
      </c>
      <c r="T159" s="48">
        <v>0</v>
      </c>
      <c r="U159" s="49">
        <v>0</v>
      </c>
      <c r="V159" s="49">
        <v>0.010638</v>
      </c>
      <c r="W159" s="49">
        <v>0</v>
      </c>
      <c r="X159" s="49">
        <v>0.520466</v>
      </c>
      <c r="Y159" s="49">
        <v>0</v>
      </c>
      <c r="Z159" s="49">
        <v>0</v>
      </c>
      <c r="AA159" s="73">
        <v>159</v>
      </c>
      <c r="AB159" s="73"/>
      <c r="AC159" s="74"/>
      <c r="AD159" s="80" t="s">
        <v>1355</v>
      </c>
      <c r="AE159" s="88" t="s">
        <v>1577</v>
      </c>
      <c r="AF159" s="80">
        <v>431</v>
      </c>
      <c r="AG159" s="80">
        <v>776</v>
      </c>
      <c r="AH159" s="80">
        <v>29140</v>
      </c>
      <c r="AI159" s="80">
        <v>13006</v>
      </c>
      <c r="AJ159" s="80"/>
      <c r="AK159" s="80" t="s">
        <v>1795</v>
      </c>
      <c r="AL159" s="80"/>
      <c r="AM159" s="80"/>
      <c r="AN159" s="80"/>
      <c r="AO159" s="82">
        <v>40629.728055555555</v>
      </c>
      <c r="AP159" s="85" t="str">
        <f>HYPERLINK("https://pbs.twimg.com/profile_banners/273023844/1562454213")</f>
        <v>https://pbs.twimg.com/profile_banners/273023844/1562454213</v>
      </c>
      <c r="AQ159" s="80" t="b">
        <v>0</v>
      </c>
      <c r="AR159" s="80" t="b">
        <v>0</v>
      </c>
      <c r="AS159" s="80" t="b">
        <v>1</v>
      </c>
      <c r="AT159" s="80"/>
      <c r="AU159" s="80">
        <v>3</v>
      </c>
      <c r="AV159" s="85" t="str">
        <f>HYPERLINK("http://abs.twimg.com/images/themes/theme1/bg.png")</f>
        <v>http://abs.twimg.com/images/themes/theme1/bg.png</v>
      </c>
      <c r="AW159" s="80" t="b">
        <v>0</v>
      </c>
      <c r="AX159" s="80" t="s">
        <v>2002</v>
      </c>
      <c r="AY159" s="85" t="str">
        <f>HYPERLINK("https://twitter.com/_sofialeao")</f>
        <v>https://twitter.com/_sofialeao</v>
      </c>
      <c r="AZ159" s="80" t="s">
        <v>65</v>
      </c>
      <c r="BA159" s="80" t="str">
        <f>REPLACE(INDEX(GroupVertices[Group],MATCH(Vertices[[#This Row],[Vertex]],GroupVertices[Vertex],0)),1,1,"")</f>
        <v>1</v>
      </c>
      <c r="BB159" s="48"/>
      <c r="BC159" s="49"/>
      <c r="BD159" s="48"/>
      <c r="BE159" s="49"/>
      <c r="BF159" s="48"/>
      <c r="BG159" s="49"/>
      <c r="BH159" s="48"/>
      <c r="BI159" s="49"/>
      <c r="BJ159" s="48"/>
      <c r="BK159" s="48"/>
      <c r="BL159" s="48"/>
      <c r="BM159" s="48"/>
      <c r="BN159" s="48"/>
      <c r="BO159" s="48"/>
      <c r="BP159" s="48"/>
      <c r="BQ159" s="48"/>
      <c r="BR159" s="48"/>
      <c r="BS159" s="48"/>
      <c r="BT159" s="48"/>
      <c r="BU159" s="2"/>
      <c r="BV159" s="3"/>
      <c r="BW159" s="3"/>
      <c r="BX159" s="3"/>
      <c r="BY159" s="3"/>
    </row>
    <row r="160" spans="1:77" ht="15">
      <c r="A160" s="66" t="s">
        <v>555</v>
      </c>
      <c r="B160" s="67"/>
      <c r="C160" s="67"/>
      <c r="D160" s="68">
        <v>100</v>
      </c>
      <c r="E160" s="70"/>
      <c r="F160" s="104" t="str">
        <f>HYPERLINK("http://pbs.twimg.com/profile_images/984995950665125888/yrqxB9Ca_normal.jpg")</f>
        <v>http://pbs.twimg.com/profile_images/984995950665125888/yrqxB9Ca_normal.jpg</v>
      </c>
      <c r="G160" s="67"/>
      <c r="H160" s="71" t="s">
        <v>555</v>
      </c>
      <c r="I160" s="72"/>
      <c r="J160" s="72"/>
      <c r="K160" s="71" t="s">
        <v>2159</v>
      </c>
      <c r="L160" s="75">
        <v>1</v>
      </c>
      <c r="M160" s="76">
        <v>3866.4287109375</v>
      </c>
      <c r="N160" s="76">
        <v>8000.224609375</v>
      </c>
      <c r="O160" s="77"/>
      <c r="P160" s="78"/>
      <c r="Q160" s="78"/>
      <c r="R160" s="90"/>
      <c r="S160" s="48">
        <v>1</v>
      </c>
      <c r="T160" s="48">
        <v>0</v>
      </c>
      <c r="U160" s="49">
        <v>0</v>
      </c>
      <c r="V160" s="49">
        <v>0.010638</v>
      </c>
      <c r="W160" s="49">
        <v>0</v>
      </c>
      <c r="X160" s="49">
        <v>0.520466</v>
      </c>
      <c r="Y160" s="49">
        <v>0</v>
      </c>
      <c r="Z160" s="49">
        <v>0</v>
      </c>
      <c r="AA160" s="73">
        <v>160</v>
      </c>
      <c r="AB160" s="73"/>
      <c r="AC160" s="74"/>
      <c r="AD160" s="80" t="s">
        <v>1356</v>
      </c>
      <c r="AE160" s="88" t="s">
        <v>1578</v>
      </c>
      <c r="AF160" s="80">
        <v>156</v>
      </c>
      <c r="AG160" s="80">
        <v>64</v>
      </c>
      <c r="AH160" s="80">
        <v>256</v>
      </c>
      <c r="AI160" s="80">
        <v>542</v>
      </c>
      <c r="AJ160" s="80"/>
      <c r="AK160" s="80"/>
      <c r="AL160" s="80" t="s">
        <v>1957</v>
      </c>
      <c r="AM160" s="80"/>
      <c r="AN160" s="80"/>
      <c r="AO160" s="82">
        <v>43101.93377314815</v>
      </c>
      <c r="AP160" s="80"/>
      <c r="AQ160" s="80" t="b">
        <v>1</v>
      </c>
      <c r="AR160" s="80" t="b">
        <v>0</v>
      </c>
      <c r="AS160" s="80" t="b">
        <v>0</v>
      </c>
      <c r="AT160" s="80"/>
      <c r="AU160" s="80">
        <v>0</v>
      </c>
      <c r="AV160" s="80"/>
      <c r="AW160" s="80" t="b">
        <v>0</v>
      </c>
      <c r="AX160" s="80" t="s">
        <v>2002</v>
      </c>
      <c r="AY160" s="85" t="str">
        <f>HYPERLINK("https://twitter.com/venturimdaniel")</f>
        <v>https://twitter.com/venturimdaniel</v>
      </c>
      <c r="AZ160" s="80" t="s">
        <v>65</v>
      </c>
      <c r="BA160" s="80" t="str">
        <f>REPLACE(INDEX(GroupVertices[Group],MATCH(Vertices[[#This Row],[Vertex]],GroupVertices[Vertex],0)),1,1,"")</f>
        <v>1</v>
      </c>
      <c r="BB160" s="48"/>
      <c r="BC160" s="49"/>
      <c r="BD160" s="48"/>
      <c r="BE160" s="49"/>
      <c r="BF160" s="48"/>
      <c r="BG160" s="49"/>
      <c r="BH160" s="48"/>
      <c r="BI160" s="49"/>
      <c r="BJ160" s="48"/>
      <c r="BK160" s="48"/>
      <c r="BL160" s="48"/>
      <c r="BM160" s="48"/>
      <c r="BN160" s="48"/>
      <c r="BO160" s="48"/>
      <c r="BP160" s="48"/>
      <c r="BQ160" s="48"/>
      <c r="BR160" s="48"/>
      <c r="BS160" s="48"/>
      <c r="BT160" s="48"/>
      <c r="BU160" s="2"/>
      <c r="BV160" s="3"/>
      <c r="BW160" s="3"/>
      <c r="BX160" s="3"/>
      <c r="BY160" s="3"/>
    </row>
    <row r="161" spans="1:77" ht="15">
      <c r="A161" s="66" t="s">
        <v>556</v>
      </c>
      <c r="B161" s="67"/>
      <c r="C161" s="67"/>
      <c r="D161" s="68">
        <v>100</v>
      </c>
      <c r="E161" s="70"/>
      <c r="F161" s="104" t="str">
        <f>HYPERLINK("http://pbs.twimg.com/profile_images/1236357905437294592/ILUgqmy9_normal.jpg")</f>
        <v>http://pbs.twimg.com/profile_images/1236357905437294592/ILUgqmy9_normal.jpg</v>
      </c>
      <c r="G161" s="67"/>
      <c r="H161" s="71" t="s">
        <v>556</v>
      </c>
      <c r="I161" s="72"/>
      <c r="J161" s="72"/>
      <c r="K161" s="71" t="s">
        <v>2160</v>
      </c>
      <c r="L161" s="75">
        <v>1</v>
      </c>
      <c r="M161" s="76">
        <v>3062.416015625</v>
      </c>
      <c r="N161" s="76">
        <v>6780.19091796875</v>
      </c>
      <c r="O161" s="77"/>
      <c r="P161" s="78"/>
      <c r="Q161" s="78"/>
      <c r="R161" s="90"/>
      <c r="S161" s="48">
        <v>1</v>
      </c>
      <c r="T161" s="48">
        <v>0</v>
      </c>
      <c r="U161" s="49">
        <v>0</v>
      </c>
      <c r="V161" s="49">
        <v>0.010638</v>
      </c>
      <c r="W161" s="49">
        <v>0</v>
      </c>
      <c r="X161" s="49">
        <v>0.520466</v>
      </c>
      <c r="Y161" s="49">
        <v>0</v>
      </c>
      <c r="Z161" s="49">
        <v>0</v>
      </c>
      <c r="AA161" s="73">
        <v>161</v>
      </c>
      <c r="AB161" s="73"/>
      <c r="AC161" s="74"/>
      <c r="AD161" s="80" t="s">
        <v>1357</v>
      </c>
      <c r="AE161" s="88" t="s">
        <v>1579</v>
      </c>
      <c r="AF161" s="80">
        <v>384</v>
      </c>
      <c r="AG161" s="80">
        <v>283</v>
      </c>
      <c r="AH161" s="80">
        <v>7023</v>
      </c>
      <c r="AI161" s="80">
        <v>25147</v>
      </c>
      <c r="AJ161" s="80"/>
      <c r="AK161" s="80" t="s">
        <v>1796</v>
      </c>
      <c r="AL161" s="80" t="s">
        <v>1958</v>
      </c>
      <c r="AM161" s="85" t="str">
        <f>HYPERLINK("https://t.co/gvtMwFyPXD")</f>
        <v>https://t.co/gvtMwFyPXD</v>
      </c>
      <c r="AN161" s="80"/>
      <c r="AO161" s="82">
        <v>43292.96828703704</v>
      </c>
      <c r="AP161" s="85" t="str">
        <f>HYPERLINK("https://pbs.twimg.com/profile_banners/1017185351046172672/1580073877")</f>
        <v>https://pbs.twimg.com/profile_banners/1017185351046172672/1580073877</v>
      </c>
      <c r="AQ161" s="80" t="b">
        <v>1</v>
      </c>
      <c r="AR161" s="80" t="b">
        <v>0</v>
      </c>
      <c r="AS161" s="80" t="b">
        <v>1</v>
      </c>
      <c r="AT161" s="80"/>
      <c r="AU161" s="80">
        <v>2</v>
      </c>
      <c r="AV161" s="80"/>
      <c r="AW161" s="80" t="b">
        <v>0</v>
      </c>
      <c r="AX161" s="80" t="s">
        <v>2002</v>
      </c>
      <c r="AY161" s="85" t="str">
        <f>HYPERLINK("https://twitter.com/yvesvieiraa")</f>
        <v>https://twitter.com/yvesvieiraa</v>
      </c>
      <c r="AZ161" s="80" t="s">
        <v>65</v>
      </c>
      <c r="BA161" s="80" t="str">
        <f>REPLACE(INDEX(GroupVertices[Group],MATCH(Vertices[[#This Row],[Vertex]],GroupVertices[Vertex],0)),1,1,"")</f>
        <v>1</v>
      </c>
      <c r="BB161" s="48"/>
      <c r="BC161" s="49"/>
      <c r="BD161" s="48"/>
      <c r="BE161" s="49"/>
      <c r="BF161" s="48"/>
      <c r="BG161" s="49"/>
      <c r="BH161" s="48"/>
      <c r="BI161" s="49"/>
      <c r="BJ161" s="48"/>
      <c r="BK161" s="48"/>
      <c r="BL161" s="48"/>
      <c r="BM161" s="48"/>
      <c r="BN161" s="48"/>
      <c r="BO161" s="48"/>
      <c r="BP161" s="48"/>
      <c r="BQ161" s="48"/>
      <c r="BR161" s="48"/>
      <c r="BS161" s="48"/>
      <c r="BT161" s="48"/>
      <c r="BU161" s="2"/>
      <c r="BV161" s="3"/>
      <c r="BW161" s="3"/>
      <c r="BX161" s="3"/>
      <c r="BY161" s="3"/>
    </row>
    <row r="162" spans="1:77" ht="15">
      <c r="A162" s="66" t="s">
        <v>557</v>
      </c>
      <c r="B162" s="67"/>
      <c r="C162" s="67"/>
      <c r="D162" s="68">
        <v>100</v>
      </c>
      <c r="E162" s="70"/>
      <c r="F162" s="104" t="str">
        <f>HYPERLINK("http://pbs.twimg.com/profile_images/1267565530879348737/Q-2rNazB_normal.jpg")</f>
        <v>http://pbs.twimg.com/profile_images/1267565530879348737/Q-2rNazB_normal.jpg</v>
      </c>
      <c r="G162" s="67"/>
      <c r="H162" s="71" t="s">
        <v>557</v>
      </c>
      <c r="I162" s="72"/>
      <c r="J162" s="72"/>
      <c r="K162" s="71" t="s">
        <v>2161</v>
      </c>
      <c r="L162" s="75">
        <v>1</v>
      </c>
      <c r="M162" s="76">
        <v>609.5653686523438</v>
      </c>
      <c r="N162" s="76">
        <v>9104.3623046875</v>
      </c>
      <c r="O162" s="77"/>
      <c r="P162" s="78"/>
      <c r="Q162" s="78"/>
      <c r="R162" s="90"/>
      <c r="S162" s="48">
        <v>1</v>
      </c>
      <c r="T162" s="48">
        <v>0</v>
      </c>
      <c r="U162" s="49">
        <v>0</v>
      </c>
      <c r="V162" s="49">
        <v>0.010638</v>
      </c>
      <c r="W162" s="49">
        <v>0</v>
      </c>
      <c r="X162" s="49">
        <v>0.520466</v>
      </c>
      <c r="Y162" s="49">
        <v>0</v>
      </c>
      <c r="Z162" s="49">
        <v>0</v>
      </c>
      <c r="AA162" s="73">
        <v>162</v>
      </c>
      <c r="AB162" s="73"/>
      <c r="AC162" s="74"/>
      <c r="AD162" s="80" t="s">
        <v>1358</v>
      </c>
      <c r="AE162" s="88" t="s">
        <v>1580</v>
      </c>
      <c r="AF162" s="80">
        <v>877</v>
      </c>
      <c r="AG162" s="80">
        <v>1351</v>
      </c>
      <c r="AH162" s="80">
        <v>71924</v>
      </c>
      <c r="AI162" s="80">
        <v>64731</v>
      </c>
      <c r="AJ162" s="80"/>
      <c r="AK162" s="80" t="s">
        <v>1797</v>
      </c>
      <c r="AL162" s="80" t="s">
        <v>1959</v>
      </c>
      <c r="AM162" s="85" t="str">
        <f>HYPERLINK("https://t.co/55YQ3EoIfM")</f>
        <v>https://t.co/55YQ3EoIfM</v>
      </c>
      <c r="AN162" s="80"/>
      <c r="AO162" s="82">
        <v>41899.03224537037</v>
      </c>
      <c r="AP162" s="85" t="str">
        <f>HYPERLINK("https://pbs.twimg.com/profile_banners/2772926531/1588937600")</f>
        <v>https://pbs.twimg.com/profile_banners/2772926531/1588937600</v>
      </c>
      <c r="AQ162" s="80" t="b">
        <v>1</v>
      </c>
      <c r="AR162" s="80" t="b">
        <v>0</v>
      </c>
      <c r="AS162" s="80" t="b">
        <v>1</v>
      </c>
      <c r="AT162" s="80"/>
      <c r="AU162" s="80">
        <v>6</v>
      </c>
      <c r="AV162" s="85" t="str">
        <f>HYPERLINK("http://abs.twimg.com/images/themes/theme1/bg.png")</f>
        <v>http://abs.twimg.com/images/themes/theme1/bg.png</v>
      </c>
      <c r="AW162" s="80" t="b">
        <v>0</v>
      </c>
      <c r="AX162" s="80" t="s">
        <v>2002</v>
      </c>
      <c r="AY162" s="85" t="str">
        <f>HYPERLINK("https://twitter.com/piedromarinho")</f>
        <v>https://twitter.com/piedromarinho</v>
      </c>
      <c r="AZ162" s="80" t="s">
        <v>65</v>
      </c>
      <c r="BA162" s="80" t="str">
        <f>REPLACE(INDEX(GroupVertices[Group],MATCH(Vertices[[#This Row],[Vertex]],GroupVertices[Vertex],0)),1,1,"")</f>
        <v>1</v>
      </c>
      <c r="BB162" s="48"/>
      <c r="BC162" s="49"/>
      <c r="BD162" s="48"/>
      <c r="BE162" s="49"/>
      <c r="BF162" s="48"/>
      <c r="BG162" s="49"/>
      <c r="BH162" s="48"/>
      <c r="BI162" s="49"/>
      <c r="BJ162" s="48"/>
      <c r="BK162" s="48"/>
      <c r="BL162" s="48"/>
      <c r="BM162" s="48"/>
      <c r="BN162" s="48"/>
      <c r="BO162" s="48"/>
      <c r="BP162" s="48"/>
      <c r="BQ162" s="48"/>
      <c r="BR162" s="48"/>
      <c r="BS162" s="48"/>
      <c r="BT162" s="48"/>
      <c r="BU162" s="2"/>
      <c r="BV162" s="3"/>
      <c r="BW162" s="3"/>
      <c r="BX162" s="3"/>
      <c r="BY162" s="3"/>
    </row>
    <row r="163" spans="1:77" ht="15">
      <c r="A163" s="66" t="s">
        <v>558</v>
      </c>
      <c r="B163" s="67"/>
      <c r="C163" s="67"/>
      <c r="D163" s="68">
        <v>100</v>
      </c>
      <c r="E163" s="70"/>
      <c r="F163" s="104" t="str">
        <f>HYPERLINK("http://pbs.twimg.com/profile_images/1183290077931286529/lOGVw9h2_normal.jpg")</f>
        <v>http://pbs.twimg.com/profile_images/1183290077931286529/lOGVw9h2_normal.jpg</v>
      </c>
      <c r="G163" s="67"/>
      <c r="H163" s="71" t="s">
        <v>558</v>
      </c>
      <c r="I163" s="72"/>
      <c r="J163" s="72"/>
      <c r="K163" s="71" t="s">
        <v>2162</v>
      </c>
      <c r="L163" s="75">
        <v>1</v>
      </c>
      <c r="M163" s="76">
        <v>428.695556640625</v>
      </c>
      <c r="N163" s="76">
        <v>6739.9912109375</v>
      </c>
      <c r="O163" s="77"/>
      <c r="P163" s="78"/>
      <c r="Q163" s="78"/>
      <c r="R163" s="90"/>
      <c r="S163" s="48">
        <v>1</v>
      </c>
      <c r="T163" s="48">
        <v>0</v>
      </c>
      <c r="U163" s="49">
        <v>0</v>
      </c>
      <c r="V163" s="49">
        <v>0.010638</v>
      </c>
      <c r="W163" s="49">
        <v>0</v>
      </c>
      <c r="X163" s="49">
        <v>0.520466</v>
      </c>
      <c r="Y163" s="49">
        <v>0</v>
      </c>
      <c r="Z163" s="49">
        <v>0</v>
      </c>
      <c r="AA163" s="73">
        <v>163</v>
      </c>
      <c r="AB163" s="73"/>
      <c r="AC163" s="74"/>
      <c r="AD163" s="80" t="s">
        <v>1359</v>
      </c>
      <c r="AE163" s="88" t="s">
        <v>1581</v>
      </c>
      <c r="AF163" s="80">
        <v>181</v>
      </c>
      <c r="AG163" s="80">
        <v>65</v>
      </c>
      <c r="AH163" s="80">
        <v>1559</v>
      </c>
      <c r="AI163" s="80">
        <v>6658</v>
      </c>
      <c r="AJ163" s="80"/>
      <c r="AK163" s="80"/>
      <c r="AL163" s="80"/>
      <c r="AM163" s="80"/>
      <c r="AN163" s="80"/>
      <c r="AO163" s="82">
        <v>41869.05799768519</v>
      </c>
      <c r="AP163" s="85" t="str">
        <f>HYPERLINK("https://pbs.twimg.com/profile_banners/2740914546/1501699068")</f>
        <v>https://pbs.twimg.com/profile_banners/2740914546/1501699068</v>
      </c>
      <c r="AQ163" s="80" t="b">
        <v>0</v>
      </c>
      <c r="AR163" s="80" t="b">
        <v>0</v>
      </c>
      <c r="AS163" s="80" t="b">
        <v>0</v>
      </c>
      <c r="AT163" s="80"/>
      <c r="AU163" s="80">
        <v>3</v>
      </c>
      <c r="AV163" s="85" t="str">
        <f>HYPERLINK("http://abs.twimg.com/images/themes/theme1/bg.png")</f>
        <v>http://abs.twimg.com/images/themes/theme1/bg.png</v>
      </c>
      <c r="AW163" s="80" t="b">
        <v>0</v>
      </c>
      <c r="AX163" s="80" t="s">
        <v>2002</v>
      </c>
      <c r="AY163" s="85" t="str">
        <f>HYPERLINK("https://twitter.com/eumesmacaroline")</f>
        <v>https://twitter.com/eumesmacaroline</v>
      </c>
      <c r="AZ163" s="80" t="s">
        <v>65</v>
      </c>
      <c r="BA163" s="80" t="str">
        <f>REPLACE(INDEX(GroupVertices[Group],MATCH(Vertices[[#This Row],[Vertex]],GroupVertices[Vertex],0)),1,1,"")</f>
        <v>1</v>
      </c>
      <c r="BB163" s="48"/>
      <c r="BC163" s="49"/>
      <c r="BD163" s="48"/>
      <c r="BE163" s="49"/>
      <c r="BF163" s="48"/>
      <c r="BG163" s="49"/>
      <c r="BH163" s="48"/>
      <c r="BI163" s="49"/>
      <c r="BJ163" s="48"/>
      <c r="BK163" s="48"/>
      <c r="BL163" s="48"/>
      <c r="BM163" s="48"/>
      <c r="BN163" s="48"/>
      <c r="BO163" s="48"/>
      <c r="BP163" s="48"/>
      <c r="BQ163" s="48"/>
      <c r="BR163" s="48"/>
      <c r="BS163" s="48"/>
      <c r="BT163" s="48"/>
      <c r="BU163" s="2"/>
      <c r="BV163" s="3"/>
      <c r="BW163" s="3"/>
      <c r="BX163" s="3"/>
      <c r="BY163" s="3"/>
    </row>
    <row r="164" spans="1:77" ht="15">
      <c r="A164" s="66" t="s">
        <v>559</v>
      </c>
      <c r="B164" s="67"/>
      <c r="C164" s="67"/>
      <c r="D164" s="68">
        <v>100</v>
      </c>
      <c r="E164" s="70"/>
      <c r="F164" s="104" t="str">
        <f>HYPERLINK("http://pbs.twimg.com/profile_images/978122018871824384/Bt32v8tr_normal.jpg")</f>
        <v>http://pbs.twimg.com/profile_images/978122018871824384/Bt32v8tr_normal.jpg</v>
      </c>
      <c r="G164" s="67"/>
      <c r="H164" s="71" t="s">
        <v>559</v>
      </c>
      <c r="I164" s="72"/>
      <c r="J164" s="72"/>
      <c r="K164" s="71" t="s">
        <v>2163</v>
      </c>
      <c r="L164" s="75">
        <v>1</v>
      </c>
      <c r="M164" s="76">
        <v>3664.187255859375</v>
      </c>
      <c r="N164" s="76">
        <v>6818.06298828125</v>
      </c>
      <c r="O164" s="77"/>
      <c r="P164" s="78"/>
      <c r="Q164" s="78"/>
      <c r="R164" s="90"/>
      <c r="S164" s="48">
        <v>1</v>
      </c>
      <c r="T164" s="48">
        <v>0</v>
      </c>
      <c r="U164" s="49">
        <v>0</v>
      </c>
      <c r="V164" s="49">
        <v>0.010638</v>
      </c>
      <c r="W164" s="49">
        <v>0</v>
      </c>
      <c r="X164" s="49">
        <v>0.520466</v>
      </c>
      <c r="Y164" s="49">
        <v>0</v>
      </c>
      <c r="Z164" s="49">
        <v>0</v>
      </c>
      <c r="AA164" s="73">
        <v>164</v>
      </c>
      <c r="AB164" s="73"/>
      <c r="AC164" s="74"/>
      <c r="AD164" s="80" t="s">
        <v>1360</v>
      </c>
      <c r="AE164" s="88" t="s">
        <v>1582</v>
      </c>
      <c r="AF164" s="80">
        <v>319</v>
      </c>
      <c r="AG164" s="80">
        <v>897</v>
      </c>
      <c r="AH164" s="80">
        <v>2720</v>
      </c>
      <c r="AI164" s="80">
        <v>8447</v>
      </c>
      <c r="AJ164" s="80"/>
      <c r="AK164" s="80" t="s">
        <v>1798</v>
      </c>
      <c r="AL164" s="80" t="s">
        <v>1960</v>
      </c>
      <c r="AM164" s="85" t="str">
        <f>HYPERLINK("https://t.co/b5ONAWzzs3")</f>
        <v>https://t.co/b5ONAWzzs3</v>
      </c>
      <c r="AN164" s="80"/>
      <c r="AO164" s="82">
        <v>40447.1696875</v>
      </c>
      <c r="AP164" s="85" t="str">
        <f>HYPERLINK("https://pbs.twimg.com/profile_banners/195226824/1406433551")</f>
        <v>https://pbs.twimg.com/profile_banners/195226824/1406433551</v>
      </c>
      <c r="AQ164" s="80" t="b">
        <v>0</v>
      </c>
      <c r="AR164" s="80" t="b">
        <v>0</v>
      </c>
      <c r="AS164" s="80" t="b">
        <v>1</v>
      </c>
      <c r="AT164" s="80"/>
      <c r="AU164" s="80">
        <v>106</v>
      </c>
      <c r="AV164" s="85" t="str">
        <f>HYPERLINK("http://abs.twimg.com/images/themes/theme12/bg.gif")</f>
        <v>http://abs.twimg.com/images/themes/theme12/bg.gif</v>
      </c>
      <c r="AW164" s="80" t="b">
        <v>0</v>
      </c>
      <c r="AX164" s="80" t="s">
        <v>2002</v>
      </c>
      <c r="AY164" s="85" t="str">
        <f>HYPERLINK("https://twitter.com/darazimermann")</f>
        <v>https://twitter.com/darazimermann</v>
      </c>
      <c r="AZ164" s="80" t="s">
        <v>65</v>
      </c>
      <c r="BA164" s="80" t="str">
        <f>REPLACE(INDEX(GroupVertices[Group],MATCH(Vertices[[#This Row],[Vertex]],GroupVertices[Vertex],0)),1,1,"")</f>
        <v>1</v>
      </c>
      <c r="BB164" s="48"/>
      <c r="BC164" s="49"/>
      <c r="BD164" s="48"/>
      <c r="BE164" s="49"/>
      <c r="BF164" s="48"/>
      <c r="BG164" s="49"/>
      <c r="BH164" s="48"/>
      <c r="BI164" s="49"/>
      <c r="BJ164" s="48"/>
      <c r="BK164" s="48"/>
      <c r="BL164" s="48"/>
      <c r="BM164" s="48"/>
      <c r="BN164" s="48"/>
      <c r="BO164" s="48"/>
      <c r="BP164" s="48"/>
      <c r="BQ164" s="48"/>
      <c r="BR164" s="48"/>
      <c r="BS164" s="48"/>
      <c r="BT164" s="48"/>
      <c r="BU164" s="2"/>
      <c r="BV164" s="3"/>
      <c r="BW164" s="3"/>
      <c r="BX164" s="3"/>
      <c r="BY164" s="3"/>
    </row>
    <row r="165" spans="1:77" ht="15">
      <c r="A165" s="66" t="s">
        <v>560</v>
      </c>
      <c r="B165" s="67"/>
      <c r="C165" s="67"/>
      <c r="D165" s="68">
        <v>100</v>
      </c>
      <c r="E165" s="70"/>
      <c r="F165" s="104" t="str">
        <f>HYPERLINK("http://pbs.twimg.com/profile_images/1055156424463003648/5ahNbk9R_normal.jpg")</f>
        <v>http://pbs.twimg.com/profile_images/1055156424463003648/5ahNbk9R_normal.jpg</v>
      </c>
      <c r="G165" s="67"/>
      <c r="H165" s="71" t="s">
        <v>560</v>
      </c>
      <c r="I165" s="72"/>
      <c r="J165" s="72"/>
      <c r="K165" s="71" t="s">
        <v>2164</v>
      </c>
      <c r="L165" s="75">
        <v>1</v>
      </c>
      <c r="M165" s="76">
        <v>114.10748291015625</v>
      </c>
      <c r="N165" s="76">
        <v>7739.669921875</v>
      </c>
      <c r="O165" s="77"/>
      <c r="P165" s="78"/>
      <c r="Q165" s="78"/>
      <c r="R165" s="90"/>
      <c r="S165" s="48">
        <v>1</v>
      </c>
      <c r="T165" s="48">
        <v>0</v>
      </c>
      <c r="U165" s="49">
        <v>0</v>
      </c>
      <c r="V165" s="49">
        <v>0.010638</v>
      </c>
      <c r="W165" s="49">
        <v>0</v>
      </c>
      <c r="X165" s="49">
        <v>0.520466</v>
      </c>
      <c r="Y165" s="49">
        <v>0</v>
      </c>
      <c r="Z165" s="49">
        <v>0</v>
      </c>
      <c r="AA165" s="73">
        <v>165</v>
      </c>
      <c r="AB165" s="73"/>
      <c r="AC165" s="74"/>
      <c r="AD165" s="80" t="s">
        <v>1361</v>
      </c>
      <c r="AE165" s="88" t="s">
        <v>1583</v>
      </c>
      <c r="AF165" s="80">
        <v>77</v>
      </c>
      <c r="AG165" s="80">
        <v>584</v>
      </c>
      <c r="AH165" s="80">
        <v>8850</v>
      </c>
      <c r="AI165" s="80">
        <v>274</v>
      </c>
      <c r="AJ165" s="80"/>
      <c r="AK165" s="80" t="s">
        <v>1799</v>
      </c>
      <c r="AL165" s="80" t="s">
        <v>1909</v>
      </c>
      <c r="AM165" s="85" t="str">
        <f>HYPERLINK("https://t.co/b4Kz8Xcwuk")</f>
        <v>https://t.co/b4Kz8Xcwuk</v>
      </c>
      <c r="AN165" s="80"/>
      <c r="AO165" s="82">
        <v>42366.62028935185</v>
      </c>
      <c r="AP165" s="85" t="str">
        <f>HYPERLINK("https://pbs.twimg.com/profile_banners/4633295777/1592218110")</f>
        <v>https://pbs.twimg.com/profile_banners/4633295777/1592218110</v>
      </c>
      <c r="AQ165" s="80" t="b">
        <v>1</v>
      </c>
      <c r="AR165" s="80" t="b">
        <v>0</v>
      </c>
      <c r="AS165" s="80" t="b">
        <v>0</v>
      </c>
      <c r="AT165" s="80"/>
      <c r="AU165" s="80">
        <v>6</v>
      </c>
      <c r="AV165" s="80"/>
      <c r="AW165" s="80" t="b">
        <v>0</v>
      </c>
      <c r="AX165" s="80" t="s">
        <v>2002</v>
      </c>
      <c r="AY165" s="85" t="str">
        <f>HYPERLINK("https://twitter.com/antena1rio")</f>
        <v>https://twitter.com/antena1rio</v>
      </c>
      <c r="AZ165" s="80" t="s">
        <v>65</v>
      </c>
      <c r="BA165" s="80" t="str">
        <f>REPLACE(INDEX(GroupVertices[Group],MATCH(Vertices[[#This Row],[Vertex]],GroupVertices[Vertex],0)),1,1,"")</f>
        <v>1</v>
      </c>
      <c r="BB165" s="48"/>
      <c r="BC165" s="49"/>
      <c r="BD165" s="48"/>
      <c r="BE165" s="49"/>
      <c r="BF165" s="48"/>
      <c r="BG165" s="49"/>
      <c r="BH165" s="48"/>
      <c r="BI165" s="49"/>
      <c r="BJ165" s="48"/>
      <c r="BK165" s="48"/>
      <c r="BL165" s="48"/>
      <c r="BM165" s="48"/>
      <c r="BN165" s="48"/>
      <c r="BO165" s="48"/>
      <c r="BP165" s="48"/>
      <c r="BQ165" s="48"/>
      <c r="BR165" s="48"/>
      <c r="BS165" s="48"/>
      <c r="BT165" s="48"/>
      <c r="BU165" s="2"/>
      <c r="BV165" s="3"/>
      <c r="BW165" s="3"/>
      <c r="BX165" s="3"/>
      <c r="BY165" s="3"/>
    </row>
    <row r="166" spans="1:77" ht="15">
      <c r="A166" s="66" t="s">
        <v>561</v>
      </c>
      <c r="B166" s="67"/>
      <c r="C166" s="67"/>
      <c r="D166" s="68">
        <v>100</v>
      </c>
      <c r="E166" s="70"/>
      <c r="F166" s="104" t="str">
        <f>HYPERLINK("http://pbs.twimg.com/profile_images/1267279916913111040/xAtjYfZ1_normal.jpg")</f>
        <v>http://pbs.twimg.com/profile_images/1267279916913111040/xAtjYfZ1_normal.jpg</v>
      </c>
      <c r="G166" s="67"/>
      <c r="H166" s="71" t="s">
        <v>561</v>
      </c>
      <c r="I166" s="72"/>
      <c r="J166" s="72"/>
      <c r="K166" s="71" t="s">
        <v>2165</v>
      </c>
      <c r="L166" s="75">
        <v>1</v>
      </c>
      <c r="M166" s="76">
        <v>3869.35986328125</v>
      </c>
      <c r="N166" s="76">
        <v>8420.19140625</v>
      </c>
      <c r="O166" s="77"/>
      <c r="P166" s="78"/>
      <c r="Q166" s="78"/>
      <c r="R166" s="90"/>
      <c r="S166" s="48">
        <v>1</v>
      </c>
      <c r="T166" s="48">
        <v>0</v>
      </c>
      <c r="U166" s="49">
        <v>0</v>
      </c>
      <c r="V166" s="49">
        <v>0.010638</v>
      </c>
      <c r="W166" s="49">
        <v>0</v>
      </c>
      <c r="X166" s="49">
        <v>0.520466</v>
      </c>
      <c r="Y166" s="49">
        <v>0</v>
      </c>
      <c r="Z166" s="49">
        <v>0</v>
      </c>
      <c r="AA166" s="73">
        <v>166</v>
      </c>
      <c r="AB166" s="73"/>
      <c r="AC166" s="74"/>
      <c r="AD166" s="80" t="s">
        <v>1362</v>
      </c>
      <c r="AE166" s="88" t="s">
        <v>1584</v>
      </c>
      <c r="AF166" s="80">
        <v>2960</v>
      </c>
      <c r="AG166" s="80">
        <v>917</v>
      </c>
      <c r="AH166" s="80">
        <v>9684</v>
      </c>
      <c r="AI166" s="80">
        <v>8428</v>
      </c>
      <c r="AJ166" s="80"/>
      <c r="AK166" s="80" t="s">
        <v>1800</v>
      </c>
      <c r="AL166" s="85" t="str">
        <f>HYPERLINK("http://www.ufba.br/")</f>
        <v>http://www.ufba.br/</v>
      </c>
      <c r="AM166" s="85" t="str">
        <f>HYPERLINK("https://t.co/gvmY5w8tOb")</f>
        <v>https://t.co/gvmY5w8tOb</v>
      </c>
      <c r="AN166" s="80"/>
      <c r="AO166" s="82">
        <v>41330.122719907406</v>
      </c>
      <c r="AP166" s="85" t="str">
        <f>HYPERLINK("https://pbs.twimg.com/profile_banners/1217118984/1361895699")</f>
        <v>https://pbs.twimg.com/profile_banners/1217118984/1361895699</v>
      </c>
      <c r="AQ166" s="80" t="b">
        <v>0</v>
      </c>
      <c r="AR166" s="80" t="b">
        <v>0</v>
      </c>
      <c r="AS166" s="80" t="b">
        <v>0</v>
      </c>
      <c r="AT166" s="80"/>
      <c r="AU166" s="80">
        <v>63</v>
      </c>
      <c r="AV166" s="85" t="str">
        <f>HYPERLINK("http://abs.twimg.com/images/themes/theme5/bg.gif")</f>
        <v>http://abs.twimg.com/images/themes/theme5/bg.gif</v>
      </c>
      <c r="AW166" s="80" t="b">
        <v>0</v>
      </c>
      <c r="AX166" s="80" t="s">
        <v>2002</v>
      </c>
      <c r="AY166" s="85" t="str">
        <f>HYPERLINK("https://twitter.com/leofn3")</f>
        <v>https://twitter.com/leofn3</v>
      </c>
      <c r="AZ166" s="80" t="s">
        <v>65</v>
      </c>
      <c r="BA166" s="80" t="str">
        <f>REPLACE(INDEX(GroupVertices[Group],MATCH(Vertices[[#This Row],[Vertex]],GroupVertices[Vertex],0)),1,1,"")</f>
        <v>1</v>
      </c>
      <c r="BB166" s="48"/>
      <c r="BC166" s="49"/>
      <c r="BD166" s="48"/>
      <c r="BE166" s="49"/>
      <c r="BF166" s="48"/>
      <c r="BG166" s="49"/>
      <c r="BH166" s="48"/>
      <c r="BI166" s="49"/>
      <c r="BJ166" s="48"/>
      <c r="BK166" s="48"/>
      <c r="BL166" s="48"/>
      <c r="BM166" s="48"/>
      <c r="BN166" s="48"/>
      <c r="BO166" s="48"/>
      <c r="BP166" s="48"/>
      <c r="BQ166" s="48"/>
      <c r="BR166" s="48"/>
      <c r="BS166" s="48"/>
      <c r="BT166" s="48"/>
      <c r="BU166" s="2"/>
      <c r="BV166" s="3"/>
      <c r="BW166" s="3"/>
      <c r="BX166" s="3"/>
      <c r="BY166" s="3"/>
    </row>
    <row r="167" spans="1:77" ht="15">
      <c r="A167" s="66" t="s">
        <v>562</v>
      </c>
      <c r="B167" s="67"/>
      <c r="C167" s="67"/>
      <c r="D167" s="68">
        <v>100</v>
      </c>
      <c r="E167" s="70"/>
      <c r="F167" s="104" t="str">
        <f>HYPERLINK("http://pbs.twimg.com/profile_images/809009310927880192/wXIOZXGy_normal.jpg")</f>
        <v>http://pbs.twimg.com/profile_images/809009310927880192/wXIOZXGy_normal.jpg</v>
      </c>
      <c r="G167" s="67"/>
      <c r="H167" s="71" t="s">
        <v>562</v>
      </c>
      <c r="I167" s="72"/>
      <c r="J167" s="72"/>
      <c r="K167" s="71" t="s">
        <v>2166</v>
      </c>
      <c r="L167" s="75">
        <v>1</v>
      </c>
      <c r="M167" s="76">
        <v>812.686279296875</v>
      </c>
      <c r="N167" s="76">
        <v>7106.52587890625</v>
      </c>
      <c r="O167" s="77"/>
      <c r="P167" s="78"/>
      <c r="Q167" s="78"/>
      <c r="R167" s="90"/>
      <c r="S167" s="48">
        <v>1</v>
      </c>
      <c r="T167" s="48">
        <v>0</v>
      </c>
      <c r="U167" s="49">
        <v>0</v>
      </c>
      <c r="V167" s="49">
        <v>0.010638</v>
      </c>
      <c r="W167" s="49">
        <v>0</v>
      </c>
      <c r="X167" s="49">
        <v>0.520466</v>
      </c>
      <c r="Y167" s="49">
        <v>0</v>
      </c>
      <c r="Z167" s="49">
        <v>0</v>
      </c>
      <c r="AA167" s="73">
        <v>167</v>
      </c>
      <c r="AB167" s="73"/>
      <c r="AC167" s="74"/>
      <c r="AD167" s="80" t="s">
        <v>1363</v>
      </c>
      <c r="AE167" s="88" t="s">
        <v>1585</v>
      </c>
      <c r="AF167" s="80">
        <v>596</v>
      </c>
      <c r="AG167" s="80">
        <v>240</v>
      </c>
      <c r="AH167" s="80">
        <v>85588</v>
      </c>
      <c r="AI167" s="80">
        <v>73722</v>
      </c>
      <c r="AJ167" s="80"/>
      <c r="AK167" s="80" t="s">
        <v>1801</v>
      </c>
      <c r="AL167" s="80" t="s">
        <v>1884</v>
      </c>
      <c r="AM167" s="80"/>
      <c r="AN167" s="80"/>
      <c r="AO167" s="82">
        <v>40244.60884259259</v>
      </c>
      <c r="AP167" s="85" t="str">
        <f>HYPERLINK("https://pbs.twimg.com/profile_banners/120779648/1481718942")</f>
        <v>https://pbs.twimg.com/profile_banners/120779648/1481718942</v>
      </c>
      <c r="AQ167" s="80" t="b">
        <v>0</v>
      </c>
      <c r="AR167" s="80" t="b">
        <v>0</v>
      </c>
      <c r="AS167" s="80" t="b">
        <v>1</v>
      </c>
      <c r="AT167" s="80"/>
      <c r="AU167" s="80">
        <v>7</v>
      </c>
      <c r="AV167" s="85" t="str">
        <f>HYPERLINK("http://abs.twimg.com/images/themes/theme4/bg.gif")</f>
        <v>http://abs.twimg.com/images/themes/theme4/bg.gif</v>
      </c>
      <c r="AW167" s="80" t="b">
        <v>0</v>
      </c>
      <c r="AX167" s="80" t="s">
        <v>2002</v>
      </c>
      <c r="AY167" s="85" t="str">
        <f>HYPERLINK("https://twitter.com/grqm")</f>
        <v>https://twitter.com/grqm</v>
      </c>
      <c r="AZ167" s="80" t="s">
        <v>65</v>
      </c>
      <c r="BA167" s="80" t="str">
        <f>REPLACE(INDEX(GroupVertices[Group],MATCH(Vertices[[#This Row],[Vertex]],GroupVertices[Vertex],0)),1,1,"")</f>
        <v>1</v>
      </c>
      <c r="BB167" s="48"/>
      <c r="BC167" s="49"/>
      <c r="BD167" s="48"/>
      <c r="BE167" s="49"/>
      <c r="BF167" s="48"/>
      <c r="BG167" s="49"/>
      <c r="BH167" s="48"/>
      <c r="BI167" s="49"/>
      <c r="BJ167" s="48"/>
      <c r="BK167" s="48"/>
      <c r="BL167" s="48"/>
      <c r="BM167" s="48"/>
      <c r="BN167" s="48"/>
      <c r="BO167" s="48"/>
      <c r="BP167" s="48"/>
      <c r="BQ167" s="48"/>
      <c r="BR167" s="48"/>
      <c r="BS167" s="48"/>
      <c r="BT167" s="48"/>
      <c r="BU167" s="2"/>
      <c r="BV167" s="3"/>
      <c r="BW167" s="3"/>
      <c r="BX167" s="3"/>
      <c r="BY167" s="3"/>
    </row>
    <row r="168" spans="1:77" ht="15">
      <c r="A168" s="66" t="s">
        <v>563</v>
      </c>
      <c r="B168" s="67"/>
      <c r="C168" s="67"/>
      <c r="D168" s="68">
        <v>100</v>
      </c>
      <c r="E168" s="70"/>
      <c r="F168" s="104" t="str">
        <f>HYPERLINK("http://pbs.twimg.com/profile_images/1274867712875995137/1F4oE-Q7_normal.jpg")</f>
        <v>http://pbs.twimg.com/profile_images/1274867712875995137/1F4oE-Q7_normal.jpg</v>
      </c>
      <c r="G168" s="67"/>
      <c r="H168" s="71" t="s">
        <v>563</v>
      </c>
      <c r="I168" s="72"/>
      <c r="J168" s="72"/>
      <c r="K168" s="71" t="s">
        <v>2167</v>
      </c>
      <c r="L168" s="75">
        <v>1</v>
      </c>
      <c r="M168" s="76">
        <v>3125.306884765625</v>
      </c>
      <c r="N168" s="76">
        <v>6138.8828125</v>
      </c>
      <c r="O168" s="77"/>
      <c r="P168" s="78"/>
      <c r="Q168" s="78"/>
      <c r="R168" s="90"/>
      <c r="S168" s="48">
        <v>1</v>
      </c>
      <c r="T168" s="48">
        <v>0</v>
      </c>
      <c r="U168" s="49">
        <v>0</v>
      </c>
      <c r="V168" s="49">
        <v>0.010638</v>
      </c>
      <c r="W168" s="49">
        <v>0</v>
      </c>
      <c r="X168" s="49">
        <v>0.520466</v>
      </c>
      <c r="Y168" s="49">
        <v>0</v>
      </c>
      <c r="Z168" s="49">
        <v>0</v>
      </c>
      <c r="AA168" s="73">
        <v>168</v>
      </c>
      <c r="AB168" s="73"/>
      <c r="AC168" s="74"/>
      <c r="AD168" s="80" t="s">
        <v>1364</v>
      </c>
      <c r="AE168" s="88" t="s">
        <v>1586</v>
      </c>
      <c r="AF168" s="80">
        <v>467</v>
      </c>
      <c r="AG168" s="80">
        <v>538</v>
      </c>
      <c r="AH168" s="80">
        <v>16257</v>
      </c>
      <c r="AI168" s="80">
        <v>23179</v>
      </c>
      <c r="AJ168" s="80"/>
      <c r="AK168" s="80" t="s">
        <v>1802</v>
      </c>
      <c r="AL168" s="80" t="s">
        <v>1961</v>
      </c>
      <c r="AM168" s="85" t="str">
        <f>HYPERLINK("https://t.co/azRFdrndhK")</f>
        <v>https://t.co/azRFdrndhK</v>
      </c>
      <c r="AN168" s="80"/>
      <c r="AO168" s="82">
        <v>40412.7196412037</v>
      </c>
      <c r="AP168" s="85" t="str">
        <f>HYPERLINK("https://pbs.twimg.com/profile_banners/181619548/1591897118")</f>
        <v>https://pbs.twimg.com/profile_banners/181619548/1591897118</v>
      </c>
      <c r="AQ168" s="80" t="b">
        <v>0</v>
      </c>
      <c r="AR168" s="80" t="b">
        <v>0</v>
      </c>
      <c r="AS168" s="80" t="b">
        <v>1</v>
      </c>
      <c r="AT168" s="80"/>
      <c r="AU168" s="80">
        <v>1</v>
      </c>
      <c r="AV168" s="85" t="str">
        <f>HYPERLINK("http://abs.twimg.com/images/themes/theme1/bg.png")</f>
        <v>http://abs.twimg.com/images/themes/theme1/bg.png</v>
      </c>
      <c r="AW168" s="80" t="b">
        <v>0</v>
      </c>
      <c r="AX168" s="80" t="s">
        <v>2002</v>
      </c>
      <c r="AY168" s="85" t="str">
        <f>HYPERLINK("https://twitter.com/elisarabelo1")</f>
        <v>https://twitter.com/elisarabelo1</v>
      </c>
      <c r="AZ168" s="80" t="s">
        <v>65</v>
      </c>
      <c r="BA168" s="80" t="str">
        <f>REPLACE(INDEX(GroupVertices[Group],MATCH(Vertices[[#This Row],[Vertex]],GroupVertices[Vertex],0)),1,1,"")</f>
        <v>1</v>
      </c>
      <c r="BB168" s="48"/>
      <c r="BC168" s="49"/>
      <c r="BD168" s="48"/>
      <c r="BE168" s="49"/>
      <c r="BF168" s="48"/>
      <c r="BG168" s="49"/>
      <c r="BH168" s="48"/>
      <c r="BI168" s="49"/>
      <c r="BJ168" s="48"/>
      <c r="BK168" s="48"/>
      <c r="BL168" s="48"/>
      <c r="BM168" s="48"/>
      <c r="BN168" s="48"/>
      <c r="BO168" s="48"/>
      <c r="BP168" s="48"/>
      <c r="BQ168" s="48"/>
      <c r="BR168" s="48"/>
      <c r="BS168" s="48"/>
      <c r="BT168" s="48"/>
      <c r="BU168" s="2"/>
      <c r="BV168" s="3"/>
      <c r="BW168" s="3"/>
      <c r="BX168" s="3"/>
      <c r="BY168" s="3"/>
    </row>
    <row r="169" spans="1:77" ht="15">
      <c r="A169" s="66" t="s">
        <v>564</v>
      </c>
      <c r="B169" s="67"/>
      <c r="C169" s="67"/>
      <c r="D169" s="68">
        <v>100</v>
      </c>
      <c r="E169" s="70"/>
      <c r="F169" s="104" t="str">
        <f>HYPERLINK("http://pbs.twimg.com/profile_images/1251000798793908225/KYgMyfV-_normal.jpg")</f>
        <v>http://pbs.twimg.com/profile_images/1251000798793908225/KYgMyfV-_normal.jpg</v>
      </c>
      <c r="G169" s="67"/>
      <c r="H169" s="71" t="s">
        <v>564</v>
      </c>
      <c r="I169" s="72"/>
      <c r="J169" s="72"/>
      <c r="K169" s="71" t="s">
        <v>2168</v>
      </c>
      <c r="L169" s="75">
        <v>1</v>
      </c>
      <c r="M169" s="76">
        <v>1639.1353759765625</v>
      </c>
      <c r="N169" s="76">
        <v>8576.822265625</v>
      </c>
      <c r="O169" s="77"/>
      <c r="P169" s="78"/>
      <c r="Q169" s="78"/>
      <c r="R169" s="90"/>
      <c r="S169" s="48">
        <v>1</v>
      </c>
      <c r="T169" s="48">
        <v>0</v>
      </c>
      <c r="U169" s="49">
        <v>0</v>
      </c>
      <c r="V169" s="49">
        <v>0.010638</v>
      </c>
      <c r="W169" s="49">
        <v>0</v>
      </c>
      <c r="X169" s="49">
        <v>0.520466</v>
      </c>
      <c r="Y169" s="49">
        <v>0</v>
      </c>
      <c r="Z169" s="49">
        <v>0</v>
      </c>
      <c r="AA169" s="73">
        <v>169</v>
      </c>
      <c r="AB169" s="73"/>
      <c r="AC169" s="74"/>
      <c r="AD169" s="80" t="s">
        <v>1365</v>
      </c>
      <c r="AE169" s="88" t="s">
        <v>1587</v>
      </c>
      <c r="AF169" s="80">
        <v>249</v>
      </c>
      <c r="AG169" s="80">
        <v>192</v>
      </c>
      <c r="AH169" s="80">
        <v>5934</v>
      </c>
      <c r="AI169" s="80">
        <v>18383</v>
      </c>
      <c r="AJ169" s="80"/>
      <c r="AK169" s="80" t="s">
        <v>1803</v>
      </c>
      <c r="AL169" s="80" t="s">
        <v>1962</v>
      </c>
      <c r="AM169" s="85" t="str">
        <f>HYPERLINK("https://t.co/1Y2VA48U91")</f>
        <v>https://t.co/1Y2VA48U91</v>
      </c>
      <c r="AN169" s="80"/>
      <c r="AO169" s="82">
        <v>43431.07350694444</v>
      </c>
      <c r="AP169" s="85" t="str">
        <f>HYPERLINK("https://pbs.twimg.com/profile_banners/1067233005784174592/1543283968")</f>
        <v>https://pbs.twimg.com/profile_banners/1067233005784174592/1543283968</v>
      </c>
      <c r="AQ169" s="80" t="b">
        <v>0</v>
      </c>
      <c r="AR169" s="80" t="b">
        <v>0</v>
      </c>
      <c r="AS169" s="80" t="b">
        <v>0</v>
      </c>
      <c r="AT169" s="80"/>
      <c r="AU169" s="80">
        <v>0</v>
      </c>
      <c r="AV169" s="85" t="str">
        <f>HYPERLINK("http://abs.twimg.com/images/themes/theme1/bg.png")</f>
        <v>http://abs.twimg.com/images/themes/theme1/bg.png</v>
      </c>
      <c r="AW169" s="80" t="b">
        <v>0</v>
      </c>
      <c r="AX169" s="80" t="s">
        <v>2002</v>
      </c>
      <c r="AY169" s="85" t="str">
        <f>HYPERLINK("https://twitter.com/isabellaguasti_")</f>
        <v>https://twitter.com/isabellaguasti_</v>
      </c>
      <c r="AZ169" s="80" t="s">
        <v>65</v>
      </c>
      <c r="BA169" s="80" t="str">
        <f>REPLACE(INDEX(GroupVertices[Group],MATCH(Vertices[[#This Row],[Vertex]],GroupVertices[Vertex],0)),1,1,"")</f>
        <v>1</v>
      </c>
      <c r="BB169" s="48"/>
      <c r="BC169" s="49"/>
      <c r="BD169" s="48"/>
      <c r="BE169" s="49"/>
      <c r="BF169" s="48"/>
      <c r="BG169" s="49"/>
      <c r="BH169" s="48"/>
      <c r="BI169" s="49"/>
      <c r="BJ169" s="48"/>
      <c r="BK169" s="48"/>
      <c r="BL169" s="48"/>
      <c r="BM169" s="48"/>
      <c r="BN169" s="48"/>
      <c r="BO169" s="48"/>
      <c r="BP169" s="48"/>
      <c r="BQ169" s="48"/>
      <c r="BR169" s="48"/>
      <c r="BS169" s="48"/>
      <c r="BT169" s="48"/>
      <c r="BU169" s="2"/>
      <c r="BV169" s="3"/>
      <c r="BW169" s="3"/>
      <c r="BX169" s="3"/>
      <c r="BY169" s="3"/>
    </row>
    <row r="170" spans="1:77" ht="15">
      <c r="A170" s="66" t="s">
        <v>565</v>
      </c>
      <c r="B170" s="67"/>
      <c r="C170" s="67"/>
      <c r="D170" s="68">
        <v>100</v>
      </c>
      <c r="E170" s="70"/>
      <c r="F170" s="104" t="str">
        <f>HYPERLINK("http://pbs.twimg.com/profile_images/1253784104975446016/zlBIQA_3_normal.jpg")</f>
        <v>http://pbs.twimg.com/profile_images/1253784104975446016/zlBIQA_3_normal.jpg</v>
      </c>
      <c r="G170" s="67"/>
      <c r="H170" s="71" t="s">
        <v>565</v>
      </c>
      <c r="I170" s="72"/>
      <c r="J170" s="72"/>
      <c r="K170" s="71" t="s">
        <v>2169</v>
      </c>
      <c r="L170" s="75">
        <v>1</v>
      </c>
      <c r="M170" s="76">
        <v>352.8681945800781</v>
      </c>
      <c r="N170" s="76">
        <v>8786.923828125</v>
      </c>
      <c r="O170" s="77"/>
      <c r="P170" s="78"/>
      <c r="Q170" s="78"/>
      <c r="R170" s="90"/>
      <c r="S170" s="48">
        <v>1</v>
      </c>
      <c r="T170" s="48">
        <v>0</v>
      </c>
      <c r="U170" s="49">
        <v>0</v>
      </c>
      <c r="V170" s="49">
        <v>0.010638</v>
      </c>
      <c r="W170" s="49">
        <v>0</v>
      </c>
      <c r="X170" s="49">
        <v>0.520466</v>
      </c>
      <c r="Y170" s="49">
        <v>0</v>
      </c>
      <c r="Z170" s="49">
        <v>0</v>
      </c>
      <c r="AA170" s="73">
        <v>170</v>
      </c>
      <c r="AB170" s="73"/>
      <c r="AC170" s="74"/>
      <c r="AD170" s="80" t="s">
        <v>1366</v>
      </c>
      <c r="AE170" s="88" t="s">
        <v>1588</v>
      </c>
      <c r="AF170" s="80">
        <v>243</v>
      </c>
      <c r="AG170" s="80">
        <v>296</v>
      </c>
      <c r="AH170" s="80">
        <v>5426</v>
      </c>
      <c r="AI170" s="80">
        <v>5187</v>
      </c>
      <c r="AJ170" s="80"/>
      <c r="AK170" s="80" t="s">
        <v>1804</v>
      </c>
      <c r="AL170" s="80" t="s">
        <v>1963</v>
      </c>
      <c r="AM170" s="80"/>
      <c r="AN170" s="80"/>
      <c r="AO170" s="82">
        <v>42239.11760416667</v>
      </c>
      <c r="AP170" s="85" t="str">
        <f>HYPERLINK("https://pbs.twimg.com/profile_banners/3436311916/1587061677")</f>
        <v>https://pbs.twimg.com/profile_banners/3436311916/1587061677</v>
      </c>
      <c r="AQ170" s="80" t="b">
        <v>1</v>
      </c>
      <c r="AR170" s="80" t="b">
        <v>0</v>
      </c>
      <c r="AS170" s="80" t="b">
        <v>0</v>
      </c>
      <c r="AT170" s="80"/>
      <c r="AU170" s="80">
        <v>1</v>
      </c>
      <c r="AV170" s="85" t="str">
        <f>HYPERLINK("http://abs.twimg.com/images/themes/theme1/bg.png")</f>
        <v>http://abs.twimg.com/images/themes/theme1/bg.png</v>
      </c>
      <c r="AW170" s="80" t="b">
        <v>0</v>
      </c>
      <c r="AX170" s="80" t="s">
        <v>2002</v>
      </c>
      <c r="AY170" s="85" t="str">
        <f>HYPERLINK("https://twitter.com/meyreromanha")</f>
        <v>https://twitter.com/meyreromanha</v>
      </c>
      <c r="AZ170" s="80" t="s">
        <v>65</v>
      </c>
      <c r="BA170" s="80" t="str">
        <f>REPLACE(INDEX(GroupVertices[Group],MATCH(Vertices[[#This Row],[Vertex]],GroupVertices[Vertex],0)),1,1,"")</f>
        <v>1</v>
      </c>
      <c r="BB170" s="48"/>
      <c r="BC170" s="49"/>
      <c r="BD170" s="48"/>
      <c r="BE170" s="49"/>
      <c r="BF170" s="48"/>
      <c r="BG170" s="49"/>
      <c r="BH170" s="48"/>
      <c r="BI170" s="49"/>
      <c r="BJ170" s="48"/>
      <c r="BK170" s="48"/>
      <c r="BL170" s="48"/>
      <c r="BM170" s="48"/>
      <c r="BN170" s="48"/>
      <c r="BO170" s="48"/>
      <c r="BP170" s="48"/>
      <c r="BQ170" s="48"/>
      <c r="BR170" s="48"/>
      <c r="BS170" s="48"/>
      <c r="BT170" s="48"/>
      <c r="BU170" s="2"/>
      <c r="BV170" s="3"/>
      <c r="BW170" s="3"/>
      <c r="BX170" s="3"/>
      <c r="BY170" s="3"/>
    </row>
    <row r="171" spans="1:77" ht="15">
      <c r="A171" s="66" t="s">
        <v>566</v>
      </c>
      <c r="B171" s="67"/>
      <c r="C171" s="67"/>
      <c r="D171" s="68">
        <v>100</v>
      </c>
      <c r="E171" s="70"/>
      <c r="F171" s="104" t="str">
        <f>HYPERLINK("http://pbs.twimg.com/profile_images/1234680821144899584/zxGr4ZWo_normal.jpg")</f>
        <v>http://pbs.twimg.com/profile_images/1234680821144899584/zxGr4ZWo_normal.jpg</v>
      </c>
      <c r="G171" s="67"/>
      <c r="H171" s="71" t="s">
        <v>566</v>
      </c>
      <c r="I171" s="72"/>
      <c r="J171" s="72"/>
      <c r="K171" s="71" t="s">
        <v>2170</v>
      </c>
      <c r="L171" s="75">
        <v>1</v>
      </c>
      <c r="M171" s="76">
        <v>1367.8382568359375</v>
      </c>
      <c r="N171" s="76">
        <v>7501.03466796875</v>
      </c>
      <c r="O171" s="77"/>
      <c r="P171" s="78"/>
      <c r="Q171" s="78"/>
      <c r="R171" s="90"/>
      <c r="S171" s="48">
        <v>1</v>
      </c>
      <c r="T171" s="48">
        <v>0</v>
      </c>
      <c r="U171" s="49">
        <v>0</v>
      </c>
      <c r="V171" s="49">
        <v>0.010638</v>
      </c>
      <c r="W171" s="49">
        <v>0</v>
      </c>
      <c r="X171" s="49">
        <v>0.520466</v>
      </c>
      <c r="Y171" s="49">
        <v>0</v>
      </c>
      <c r="Z171" s="49">
        <v>0</v>
      </c>
      <c r="AA171" s="73">
        <v>171</v>
      </c>
      <c r="AB171" s="73"/>
      <c r="AC171" s="74"/>
      <c r="AD171" s="80" t="s">
        <v>1367</v>
      </c>
      <c r="AE171" s="88" t="s">
        <v>1589</v>
      </c>
      <c r="AF171" s="80">
        <v>349</v>
      </c>
      <c r="AG171" s="80">
        <v>341</v>
      </c>
      <c r="AH171" s="80">
        <v>2178</v>
      </c>
      <c r="AI171" s="80">
        <v>5517</v>
      </c>
      <c r="AJ171" s="80"/>
      <c r="AK171" s="80" t="s">
        <v>1805</v>
      </c>
      <c r="AL171" s="80"/>
      <c r="AM171" s="80"/>
      <c r="AN171" s="80"/>
      <c r="AO171" s="82">
        <v>40337.81070601852</v>
      </c>
      <c r="AP171" s="85" t="str">
        <f>HYPERLINK("https://pbs.twimg.com/profile_banners/153516403/1591758621")</f>
        <v>https://pbs.twimg.com/profile_banners/153516403/1591758621</v>
      </c>
      <c r="AQ171" s="80" t="b">
        <v>0</v>
      </c>
      <c r="AR171" s="80" t="b">
        <v>0</v>
      </c>
      <c r="AS171" s="80" t="b">
        <v>0</v>
      </c>
      <c r="AT171" s="80"/>
      <c r="AU171" s="80">
        <v>3</v>
      </c>
      <c r="AV171" s="85" t="str">
        <f>HYPERLINK("http://abs.twimg.com/images/themes/theme1/bg.png")</f>
        <v>http://abs.twimg.com/images/themes/theme1/bg.png</v>
      </c>
      <c r="AW171" s="80" t="b">
        <v>0</v>
      </c>
      <c r="AX171" s="80" t="s">
        <v>2002</v>
      </c>
      <c r="AY171" s="85" t="str">
        <f>HYPERLINK("https://twitter.com/camillemoura")</f>
        <v>https://twitter.com/camillemoura</v>
      </c>
      <c r="AZ171" s="80" t="s">
        <v>65</v>
      </c>
      <c r="BA171" s="80" t="str">
        <f>REPLACE(INDEX(GroupVertices[Group],MATCH(Vertices[[#This Row],[Vertex]],GroupVertices[Vertex],0)),1,1,"")</f>
        <v>1</v>
      </c>
      <c r="BB171" s="48"/>
      <c r="BC171" s="49"/>
      <c r="BD171" s="48"/>
      <c r="BE171" s="49"/>
      <c r="BF171" s="48"/>
      <c r="BG171" s="49"/>
      <c r="BH171" s="48"/>
      <c r="BI171" s="49"/>
      <c r="BJ171" s="48"/>
      <c r="BK171" s="48"/>
      <c r="BL171" s="48"/>
      <c r="BM171" s="48"/>
      <c r="BN171" s="48"/>
      <c r="BO171" s="48"/>
      <c r="BP171" s="48"/>
      <c r="BQ171" s="48"/>
      <c r="BR171" s="48"/>
      <c r="BS171" s="48"/>
      <c r="BT171" s="48"/>
      <c r="BU171" s="2"/>
      <c r="BV171" s="3"/>
      <c r="BW171" s="3"/>
      <c r="BX171" s="3"/>
      <c r="BY171" s="3"/>
    </row>
    <row r="172" spans="1:77" ht="15">
      <c r="A172" s="66" t="s">
        <v>474</v>
      </c>
      <c r="B172" s="67"/>
      <c r="C172" s="67"/>
      <c r="D172" s="68">
        <v>147.3684210526316</v>
      </c>
      <c r="E172" s="70"/>
      <c r="F172" s="104" t="str">
        <f>HYPERLINK("http://pbs.twimg.com/profile_images/1238901026108968963/cIsz5rxp_normal.jpg")</f>
        <v>http://pbs.twimg.com/profile_images/1238901026108968963/cIsz5rxp_normal.jpg</v>
      </c>
      <c r="G172" s="67"/>
      <c r="H172" s="71" t="s">
        <v>474</v>
      </c>
      <c r="I172" s="72"/>
      <c r="J172" s="72"/>
      <c r="K172" s="71" t="s">
        <v>2171</v>
      </c>
      <c r="L172" s="75">
        <v>43.02802428771602</v>
      </c>
      <c r="M172" s="76">
        <v>1887.1468505859375</v>
      </c>
      <c r="N172" s="76">
        <v>6762.78466796875</v>
      </c>
      <c r="O172" s="77"/>
      <c r="P172" s="78"/>
      <c r="Q172" s="78"/>
      <c r="R172" s="90"/>
      <c r="S172" s="48">
        <v>1</v>
      </c>
      <c r="T172" s="48">
        <v>5</v>
      </c>
      <c r="U172" s="49">
        <v>9</v>
      </c>
      <c r="V172" s="49">
        <v>0.011236</v>
      </c>
      <c r="W172" s="49">
        <v>0</v>
      </c>
      <c r="X172" s="49">
        <v>1.949567</v>
      </c>
      <c r="Y172" s="49">
        <v>0.2</v>
      </c>
      <c r="Z172" s="49">
        <v>0.2</v>
      </c>
      <c r="AA172" s="73">
        <v>172</v>
      </c>
      <c r="AB172" s="73"/>
      <c r="AC172" s="74"/>
      <c r="AD172" s="80" t="s">
        <v>1368</v>
      </c>
      <c r="AE172" s="88" t="s">
        <v>1590</v>
      </c>
      <c r="AF172" s="80">
        <v>3053</v>
      </c>
      <c r="AG172" s="80">
        <v>1931</v>
      </c>
      <c r="AH172" s="80">
        <v>63581</v>
      </c>
      <c r="AI172" s="80">
        <v>47875</v>
      </c>
      <c r="AJ172" s="80"/>
      <c r="AK172" s="80" t="s">
        <v>1806</v>
      </c>
      <c r="AL172" s="80" t="s">
        <v>1964</v>
      </c>
      <c r="AM172" s="85" t="str">
        <f>HYPERLINK("https://t.co/kYj861lyo9")</f>
        <v>https://t.co/kYj861lyo9</v>
      </c>
      <c r="AN172" s="80"/>
      <c r="AO172" s="82">
        <v>40029.90802083333</v>
      </c>
      <c r="AP172" s="85" t="str">
        <f>HYPERLINK("https://pbs.twimg.com/profile_banners/62938801/1584211998")</f>
        <v>https://pbs.twimg.com/profile_banners/62938801/1584211998</v>
      </c>
      <c r="AQ172" s="80" t="b">
        <v>0</v>
      </c>
      <c r="AR172" s="80" t="b">
        <v>0</v>
      </c>
      <c r="AS172" s="80" t="b">
        <v>0</v>
      </c>
      <c r="AT172" s="80"/>
      <c r="AU172" s="80">
        <v>39</v>
      </c>
      <c r="AV172" s="85" t="str">
        <f>HYPERLINK("http://abs.twimg.com/images/themes/theme2/bg.gif")</f>
        <v>http://abs.twimg.com/images/themes/theme2/bg.gif</v>
      </c>
      <c r="AW172" s="80" t="b">
        <v>0</v>
      </c>
      <c r="AX172" s="80" t="s">
        <v>2002</v>
      </c>
      <c r="AY172" s="85" t="str">
        <f>HYPERLINK("https://twitter.com/morenocris")</f>
        <v>https://twitter.com/morenocris</v>
      </c>
      <c r="AZ172" s="80" t="s">
        <v>66</v>
      </c>
      <c r="BA172" s="80" t="str">
        <f>REPLACE(INDEX(GroupVertices[Group],MATCH(Vertices[[#This Row],[Vertex]],GroupVertices[Vertex],0)),1,1,"")</f>
        <v>1</v>
      </c>
      <c r="BB172" s="48">
        <v>0</v>
      </c>
      <c r="BC172" s="49">
        <v>0</v>
      </c>
      <c r="BD172" s="48">
        <v>0</v>
      </c>
      <c r="BE172" s="49">
        <v>0</v>
      </c>
      <c r="BF172" s="48">
        <v>0</v>
      </c>
      <c r="BG172" s="49">
        <v>0</v>
      </c>
      <c r="BH172" s="48">
        <v>31</v>
      </c>
      <c r="BI172" s="49">
        <v>100</v>
      </c>
      <c r="BJ172" s="48">
        <v>31</v>
      </c>
      <c r="BK172" s="48"/>
      <c r="BL172" s="48"/>
      <c r="BM172" s="48"/>
      <c r="BN172" s="48"/>
      <c r="BO172" s="48" t="s">
        <v>712</v>
      </c>
      <c r="BP172" s="48" t="s">
        <v>3080</v>
      </c>
      <c r="BQ172" s="125" t="s">
        <v>3099</v>
      </c>
      <c r="BR172" s="125" t="s">
        <v>3111</v>
      </c>
      <c r="BS172" s="125" t="s">
        <v>3126</v>
      </c>
      <c r="BT172" s="125" t="s">
        <v>3126</v>
      </c>
      <c r="BU172" s="2"/>
      <c r="BV172" s="3"/>
      <c r="BW172" s="3"/>
      <c r="BX172" s="3"/>
      <c r="BY172" s="3"/>
    </row>
    <row r="173" spans="1:77" ht="15">
      <c r="A173" s="66" t="s">
        <v>567</v>
      </c>
      <c r="B173" s="67"/>
      <c r="C173" s="67"/>
      <c r="D173" s="68">
        <v>100</v>
      </c>
      <c r="E173" s="70"/>
      <c r="F173" s="104" t="str">
        <f>HYPERLINK("http://pbs.twimg.com/profile_images/468481789783056384/WBJ6u9IK_normal.jpeg")</f>
        <v>http://pbs.twimg.com/profile_images/468481789783056384/WBJ6u9IK_normal.jpeg</v>
      </c>
      <c r="G173" s="67"/>
      <c r="H173" s="71" t="s">
        <v>567</v>
      </c>
      <c r="I173" s="72"/>
      <c r="J173" s="72"/>
      <c r="K173" s="71" t="s">
        <v>2172</v>
      </c>
      <c r="L173" s="75">
        <v>1</v>
      </c>
      <c r="M173" s="76">
        <v>2468.30517578125</v>
      </c>
      <c r="N173" s="76">
        <v>7095.67578125</v>
      </c>
      <c r="O173" s="77"/>
      <c r="P173" s="78"/>
      <c r="Q173" s="78"/>
      <c r="R173" s="90"/>
      <c r="S173" s="48">
        <v>2</v>
      </c>
      <c r="T173" s="48">
        <v>0</v>
      </c>
      <c r="U173" s="49">
        <v>0</v>
      </c>
      <c r="V173" s="49">
        <v>0.010753</v>
      </c>
      <c r="W173" s="49">
        <v>0</v>
      </c>
      <c r="X173" s="49">
        <v>0.851892</v>
      </c>
      <c r="Y173" s="49">
        <v>1</v>
      </c>
      <c r="Z173" s="49">
        <v>0</v>
      </c>
      <c r="AA173" s="73">
        <v>173</v>
      </c>
      <c r="AB173" s="73"/>
      <c r="AC173" s="74"/>
      <c r="AD173" s="80" t="s">
        <v>1369</v>
      </c>
      <c r="AE173" s="88" t="s">
        <v>1591</v>
      </c>
      <c r="AF173" s="80">
        <v>1466</v>
      </c>
      <c r="AG173" s="80">
        <v>8076</v>
      </c>
      <c r="AH173" s="80">
        <v>4154</v>
      </c>
      <c r="AI173" s="80">
        <v>1344</v>
      </c>
      <c r="AJ173" s="80"/>
      <c r="AK173" s="80" t="s">
        <v>1807</v>
      </c>
      <c r="AL173" s="80" t="s">
        <v>1884</v>
      </c>
      <c r="AM173" s="85" t="str">
        <f>HYPERLINK("http://t.co/5bgboMATT8")</f>
        <v>http://t.co/5bgboMATT8</v>
      </c>
      <c r="AN173" s="80"/>
      <c r="AO173" s="82">
        <v>40872.75541666667</v>
      </c>
      <c r="AP173" s="85" t="str">
        <f>HYPERLINK("https://pbs.twimg.com/profile_banners/421250770/1521125758")</f>
        <v>https://pbs.twimg.com/profile_banners/421250770/1521125758</v>
      </c>
      <c r="AQ173" s="80" t="b">
        <v>0</v>
      </c>
      <c r="AR173" s="80" t="b">
        <v>0</v>
      </c>
      <c r="AS173" s="80" t="b">
        <v>1</v>
      </c>
      <c r="AT173" s="80"/>
      <c r="AU173" s="80">
        <v>181</v>
      </c>
      <c r="AV173" s="85" t="str">
        <f>HYPERLINK("http://abs.twimg.com/images/themes/theme14/bg.gif")</f>
        <v>http://abs.twimg.com/images/themes/theme14/bg.gif</v>
      </c>
      <c r="AW173" s="80" t="b">
        <v>0</v>
      </c>
      <c r="AX173" s="80" t="s">
        <v>2002</v>
      </c>
      <c r="AY173" s="85" t="str">
        <f>HYPERLINK("https://twitter.com/okfnbr")</f>
        <v>https://twitter.com/okfnbr</v>
      </c>
      <c r="AZ173" s="80" t="s">
        <v>65</v>
      </c>
      <c r="BA173" s="80" t="str">
        <f>REPLACE(INDEX(GroupVertices[Group],MATCH(Vertices[[#This Row],[Vertex]],GroupVertices[Vertex],0)),1,1,"")</f>
        <v>1</v>
      </c>
      <c r="BB173" s="48"/>
      <c r="BC173" s="49"/>
      <c r="BD173" s="48"/>
      <c r="BE173" s="49"/>
      <c r="BF173" s="48"/>
      <c r="BG173" s="49"/>
      <c r="BH173" s="48"/>
      <c r="BI173" s="49"/>
      <c r="BJ173" s="48"/>
      <c r="BK173" s="48"/>
      <c r="BL173" s="48"/>
      <c r="BM173" s="48"/>
      <c r="BN173" s="48"/>
      <c r="BO173" s="48"/>
      <c r="BP173" s="48"/>
      <c r="BQ173" s="48"/>
      <c r="BR173" s="48"/>
      <c r="BS173" s="48"/>
      <c r="BT173" s="48"/>
      <c r="BU173" s="2"/>
      <c r="BV173" s="3"/>
      <c r="BW173" s="3"/>
      <c r="BX173" s="3"/>
      <c r="BY173" s="3"/>
    </row>
    <row r="174" spans="1:77" ht="15">
      <c r="A174" s="66" t="s">
        <v>568</v>
      </c>
      <c r="B174" s="67"/>
      <c r="C174" s="67"/>
      <c r="D174" s="68">
        <v>100</v>
      </c>
      <c r="E174" s="70"/>
      <c r="F174" s="104" t="str">
        <f>HYPERLINK("http://pbs.twimg.com/profile_images/783321128139886592/igBnw3hD_normal.jpg")</f>
        <v>http://pbs.twimg.com/profile_images/783321128139886592/igBnw3hD_normal.jpg</v>
      </c>
      <c r="G174" s="67"/>
      <c r="H174" s="71" t="s">
        <v>568</v>
      </c>
      <c r="I174" s="72"/>
      <c r="J174" s="72"/>
      <c r="K174" s="71" t="s">
        <v>2173</v>
      </c>
      <c r="L174" s="75">
        <v>1</v>
      </c>
      <c r="M174" s="76">
        <v>2305.047607421875</v>
      </c>
      <c r="N174" s="76">
        <v>6461.123046875</v>
      </c>
      <c r="O174" s="77"/>
      <c r="P174" s="78"/>
      <c r="Q174" s="78"/>
      <c r="R174" s="90"/>
      <c r="S174" s="48">
        <v>2</v>
      </c>
      <c r="T174" s="48">
        <v>0</v>
      </c>
      <c r="U174" s="49">
        <v>0</v>
      </c>
      <c r="V174" s="49">
        <v>0.010753</v>
      </c>
      <c r="W174" s="49">
        <v>0</v>
      </c>
      <c r="X174" s="49">
        <v>0.851892</v>
      </c>
      <c r="Y174" s="49">
        <v>1</v>
      </c>
      <c r="Z174" s="49">
        <v>0</v>
      </c>
      <c r="AA174" s="73">
        <v>174</v>
      </c>
      <c r="AB174" s="73"/>
      <c r="AC174" s="74"/>
      <c r="AD174" s="80" t="s">
        <v>1370</v>
      </c>
      <c r="AE174" s="88" t="s">
        <v>1592</v>
      </c>
      <c r="AF174" s="80">
        <v>554</v>
      </c>
      <c r="AG174" s="80">
        <v>10959</v>
      </c>
      <c r="AH174" s="80">
        <v>3221</v>
      </c>
      <c r="AI174" s="80">
        <v>1599</v>
      </c>
      <c r="AJ174" s="80"/>
      <c r="AK174" s="80" t="s">
        <v>1808</v>
      </c>
      <c r="AL174" s="80" t="s">
        <v>1884</v>
      </c>
      <c r="AM174" s="85" t="str">
        <f>HYPERLINK("https://t.co/9AMdcSkocC")</f>
        <v>https://t.co/9AMdcSkocC</v>
      </c>
      <c r="AN174" s="80"/>
      <c r="AO174" s="82">
        <v>41446.48171296297</v>
      </c>
      <c r="AP174" s="85" t="str">
        <f>HYPERLINK("https://pbs.twimg.com/profile_banners/1536346855/1574862452")</f>
        <v>https://pbs.twimg.com/profile_banners/1536346855/1574862452</v>
      </c>
      <c r="AQ174" s="80" t="b">
        <v>1</v>
      </c>
      <c r="AR174" s="80" t="b">
        <v>0</v>
      </c>
      <c r="AS174" s="80" t="b">
        <v>1</v>
      </c>
      <c r="AT174" s="80"/>
      <c r="AU174" s="80">
        <v>207</v>
      </c>
      <c r="AV174" s="85" t="str">
        <f>HYPERLINK("http://abs.twimg.com/images/themes/theme1/bg.png")</f>
        <v>http://abs.twimg.com/images/themes/theme1/bg.png</v>
      </c>
      <c r="AW174" s="80" t="b">
        <v>0</v>
      </c>
      <c r="AX174" s="80" t="s">
        <v>2002</v>
      </c>
      <c r="AY174" s="85" t="str">
        <f>HYPERLINK("https://twitter.com/escoladedados")</f>
        <v>https://twitter.com/escoladedados</v>
      </c>
      <c r="AZ174" s="80" t="s">
        <v>65</v>
      </c>
      <c r="BA174" s="80" t="str">
        <f>REPLACE(INDEX(GroupVertices[Group],MATCH(Vertices[[#This Row],[Vertex]],GroupVertices[Vertex],0)),1,1,"")</f>
        <v>1</v>
      </c>
      <c r="BB174" s="48"/>
      <c r="BC174" s="49"/>
      <c r="BD174" s="48"/>
      <c r="BE174" s="49"/>
      <c r="BF174" s="48"/>
      <c r="BG174" s="49"/>
      <c r="BH174" s="48"/>
      <c r="BI174" s="49"/>
      <c r="BJ174" s="48"/>
      <c r="BK174" s="48"/>
      <c r="BL174" s="48"/>
      <c r="BM174" s="48"/>
      <c r="BN174" s="48"/>
      <c r="BO174" s="48"/>
      <c r="BP174" s="48"/>
      <c r="BQ174" s="48"/>
      <c r="BR174" s="48"/>
      <c r="BS174" s="48"/>
      <c r="BT174" s="48"/>
      <c r="BU174" s="2"/>
      <c r="BV174" s="3"/>
      <c r="BW174" s="3"/>
      <c r="BX174" s="3"/>
      <c r="BY174" s="3"/>
    </row>
    <row r="175" spans="1:77" ht="15">
      <c r="A175" s="66" t="s">
        <v>569</v>
      </c>
      <c r="B175" s="67"/>
      <c r="C175" s="67"/>
      <c r="D175" s="68">
        <v>100</v>
      </c>
      <c r="E175" s="70"/>
      <c r="F175" s="104" t="str">
        <f>HYPERLINK("http://pbs.twimg.com/profile_images/602943444810657792/p1iIhS0o_normal.jpg")</f>
        <v>http://pbs.twimg.com/profile_images/602943444810657792/p1iIhS0o_normal.jpg</v>
      </c>
      <c r="G175" s="67"/>
      <c r="H175" s="71" t="s">
        <v>569</v>
      </c>
      <c r="I175" s="72"/>
      <c r="J175" s="72"/>
      <c r="K175" s="71" t="s">
        <v>2174</v>
      </c>
      <c r="L175" s="75">
        <v>1</v>
      </c>
      <c r="M175" s="76">
        <v>2575.14990234375</v>
      </c>
      <c r="N175" s="76">
        <v>7704.6611328125</v>
      </c>
      <c r="O175" s="77"/>
      <c r="P175" s="78"/>
      <c r="Q175" s="78"/>
      <c r="R175" s="90"/>
      <c r="S175" s="48">
        <v>2</v>
      </c>
      <c r="T175" s="48">
        <v>0</v>
      </c>
      <c r="U175" s="49">
        <v>0</v>
      </c>
      <c r="V175" s="49">
        <v>0.010753</v>
      </c>
      <c r="W175" s="49">
        <v>0</v>
      </c>
      <c r="X175" s="49">
        <v>0.851892</v>
      </c>
      <c r="Y175" s="49">
        <v>1</v>
      </c>
      <c r="Z175" s="49">
        <v>0</v>
      </c>
      <c r="AA175" s="73">
        <v>175</v>
      </c>
      <c r="AB175" s="73"/>
      <c r="AC175" s="74"/>
      <c r="AD175" s="80" t="s">
        <v>1371</v>
      </c>
      <c r="AE175" s="88" t="s">
        <v>1593</v>
      </c>
      <c r="AF175" s="80">
        <v>2159</v>
      </c>
      <c r="AG175" s="80">
        <v>8485</v>
      </c>
      <c r="AH175" s="80">
        <v>1810</v>
      </c>
      <c r="AI175" s="80">
        <v>4027</v>
      </c>
      <c r="AJ175" s="80"/>
      <c r="AK175" s="80" t="s">
        <v>1809</v>
      </c>
      <c r="AL175" s="80" t="s">
        <v>1911</v>
      </c>
      <c r="AM175" s="85" t="str">
        <f>HYPERLINK("https://t.co/Nh5mLfHI7s")</f>
        <v>https://t.co/Nh5mLfHI7s</v>
      </c>
      <c r="AN175" s="80"/>
      <c r="AO175" s="82">
        <v>42149.87641203704</v>
      </c>
      <c r="AP175" s="85" t="str">
        <f>HYPERLINK("https://pbs.twimg.com/profile_banners/3298395255/1589219324")</f>
        <v>https://pbs.twimg.com/profile_banners/3298395255/1589219324</v>
      </c>
      <c r="AQ175" s="80" t="b">
        <v>0</v>
      </c>
      <c r="AR175" s="80" t="b">
        <v>0</v>
      </c>
      <c r="AS175" s="80" t="b">
        <v>0</v>
      </c>
      <c r="AT175" s="80"/>
      <c r="AU175" s="80">
        <v>81</v>
      </c>
      <c r="AV175" s="85" t="str">
        <f>HYPERLINK("http://abs.twimg.com/images/themes/theme1/bg.png")</f>
        <v>http://abs.twimg.com/images/themes/theme1/bg.png</v>
      </c>
      <c r="AW175" s="80" t="b">
        <v>0</v>
      </c>
      <c r="AX175" s="80" t="s">
        <v>2002</v>
      </c>
      <c r="AY175" s="85" t="str">
        <f>HYPERLINK("https://twitter.com/_fiquemsabendo")</f>
        <v>https://twitter.com/_fiquemsabendo</v>
      </c>
      <c r="AZ175" s="80" t="s">
        <v>65</v>
      </c>
      <c r="BA175" s="80" t="str">
        <f>REPLACE(INDEX(GroupVertices[Group],MATCH(Vertices[[#This Row],[Vertex]],GroupVertices[Vertex],0)),1,1,"")</f>
        <v>1</v>
      </c>
      <c r="BB175" s="48"/>
      <c r="BC175" s="49"/>
      <c r="BD175" s="48"/>
      <c r="BE175" s="49"/>
      <c r="BF175" s="48"/>
      <c r="BG175" s="49"/>
      <c r="BH175" s="48"/>
      <c r="BI175" s="49"/>
      <c r="BJ175" s="48"/>
      <c r="BK175" s="48"/>
      <c r="BL175" s="48"/>
      <c r="BM175" s="48"/>
      <c r="BN175" s="48"/>
      <c r="BO175" s="48"/>
      <c r="BP175" s="48"/>
      <c r="BQ175" s="48"/>
      <c r="BR175" s="48"/>
      <c r="BS175" s="48"/>
      <c r="BT175" s="48"/>
      <c r="BU175" s="2"/>
      <c r="BV175" s="3"/>
      <c r="BW175" s="3"/>
      <c r="BX175" s="3"/>
      <c r="BY175" s="3"/>
    </row>
    <row r="176" spans="1:77" ht="15">
      <c r="A176" s="66" t="s">
        <v>570</v>
      </c>
      <c r="B176" s="67"/>
      <c r="C176" s="67"/>
      <c r="D176" s="68">
        <v>100</v>
      </c>
      <c r="E176" s="70"/>
      <c r="F176" s="104" t="str">
        <f>HYPERLINK("http://pbs.twimg.com/profile_images/1192498270330863617/F5kYCean_normal.jpg")</f>
        <v>http://pbs.twimg.com/profile_images/1192498270330863617/F5kYCean_normal.jpg</v>
      </c>
      <c r="G176" s="67"/>
      <c r="H176" s="71" t="s">
        <v>570</v>
      </c>
      <c r="I176" s="72"/>
      <c r="J176" s="72"/>
      <c r="K176" s="71" t="s">
        <v>2175</v>
      </c>
      <c r="L176" s="75">
        <v>1</v>
      </c>
      <c r="M176" s="76">
        <v>3862.11474609375</v>
      </c>
      <c r="N176" s="76">
        <v>7184.8056640625</v>
      </c>
      <c r="O176" s="77"/>
      <c r="P176" s="78"/>
      <c r="Q176" s="78"/>
      <c r="R176" s="90"/>
      <c r="S176" s="48">
        <v>1</v>
      </c>
      <c r="T176" s="48">
        <v>0</v>
      </c>
      <c r="U176" s="49">
        <v>0</v>
      </c>
      <c r="V176" s="49">
        <v>0.010638</v>
      </c>
      <c r="W176" s="49">
        <v>0</v>
      </c>
      <c r="X176" s="49">
        <v>0.520466</v>
      </c>
      <c r="Y176" s="49">
        <v>0</v>
      </c>
      <c r="Z176" s="49">
        <v>0</v>
      </c>
      <c r="AA176" s="73">
        <v>176</v>
      </c>
      <c r="AB176" s="73"/>
      <c r="AC176" s="74"/>
      <c r="AD176" s="80" t="s">
        <v>1372</v>
      </c>
      <c r="AE176" s="88" t="s">
        <v>1594</v>
      </c>
      <c r="AF176" s="80">
        <v>542</v>
      </c>
      <c r="AG176" s="80">
        <v>303</v>
      </c>
      <c r="AH176" s="80">
        <v>13527</v>
      </c>
      <c r="AI176" s="80">
        <v>876</v>
      </c>
      <c r="AJ176" s="80"/>
      <c r="AK176" s="80" t="s">
        <v>1810</v>
      </c>
      <c r="AL176" s="80" t="s">
        <v>1965</v>
      </c>
      <c r="AM176" s="85" t="str">
        <f>HYPERLINK("https://t.co/38ZgclFTL4")</f>
        <v>https://t.co/38ZgclFTL4</v>
      </c>
      <c r="AN176" s="80"/>
      <c r="AO176" s="82">
        <v>40071.505740740744</v>
      </c>
      <c r="AP176" s="85" t="str">
        <f>HYPERLINK("https://pbs.twimg.com/profile_banners/74430458/1549762878")</f>
        <v>https://pbs.twimg.com/profile_banners/74430458/1549762878</v>
      </c>
      <c r="AQ176" s="80" t="b">
        <v>0</v>
      </c>
      <c r="AR176" s="80" t="b">
        <v>0</v>
      </c>
      <c r="AS176" s="80" t="b">
        <v>1</v>
      </c>
      <c r="AT176" s="80"/>
      <c r="AU176" s="80">
        <v>9</v>
      </c>
      <c r="AV176" s="85" t="str">
        <f>HYPERLINK("http://abs.twimg.com/images/themes/theme1/bg.png")</f>
        <v>http://abs.twimg.com/images/themes/theme1/bg.png</v>
      </c>
      <c r="AW176" s="80" t="b">
        <v>0</v>
      </c>
      <c r="AX176" s="80" t="s">
        <v>2002</v>
      </c>
      <c r="AY176" s="85" t="str">
        <f>HYPERLINK("https://twitter.com/pedaladas")</f>
        <v>https://twitter.com/pedaladas</v>
      </c>
      <c r="AZ176" s="80" t="s">
        <v>65</v>
      </c>
      <c r="BA176" s="80" t="str">
        <f>REPLACE(INDEX(GroupVertices[Group],MATCH(Vertices[[#This Row],[Vertex]],GroupVertices[Vertex],0)),1,1,"")</f>
        <v>1</v>
      </c>
      <c r="BB176" s="48"/>
      <c r="BC176" s="49"/>
      <c r="BD176" s="48"/>
      <c r="BE176" s="49"/>
      <c r="BF176" s="48"/>
      <c r="BG176" s="49"/>
      <c r="BH176" s="48"/>
      <c r="BI176" s="49"/>
      <c r="BJ176" s="48"/>
      <c r="BK176" s="48"/>
      <c r="BL176" s="48"/>
      <c r="BM176" s="48"/>
      <c r="BN176" s="48"/>
      <c r="BO176" s="48"/>
      <c r="BP176" s="48"/>
      <c r="BQ176" s="48"/>
      <c r="BR176" s="48"/>
      <c r="BS176" s="48"/>
      <c r="BT176" s="48"/>
      <c r="BU176" s="2"/>
      <c r="BV176" s="3"/>
      <c r="BW176" s="3"/>
      <c r="BX176" s="3"/>
      <c r="BY176" s="3"/>
    </row>
    <row r="177" spans="1:77" ht="15">
      <c r="A177" s="66" t="s">
        <v>571</v>
      </c>
      <c r="B177" s="67"/>
      <c r="C177" s="67"/>
      <c r="D177" s="68">
        <v>100</v>
      </c>
      <c r="E177" s="70"/>
      <c r="F177" s="104" t="str">
        <f>HYPERLINK("http://pbs.twimg.com/profile_images/1160225567410655233/2LJhCbBg_normal.jpg")</f>
        <v>http://pbs.twimg.com/profile_images/1160225567410655233/2LJhCbBg_normal.jpg</v>
      </c>
      <c r="G177" s="67"/>
      <c r="H177" s="71" t="s">
        <v>571</v>
      </c>
      <c r="I177" s="72"/>
      <c r="J177" s="72"/>
      <c r="K177" s="71" t="s">
        <v>2176</v>
      </c>
      <c r="L177" s="75">
        <v>1</v>
      </c>
      <c r="M177" s="76">
        <v>195.9837646484375</v>
      </c>
      <c r="N177" s="76">
        <v>7216.41845703125</v>
      </c>
      <c r="O177" s="77"/>
      <c r="P177" s="78"/>
      <c r="Q177" s="78"/>
      <c r="R177" s="90"/>
      <c r="S177" s="48">
        <v>1</v>
      </c>
      <c r="T177" s="48">
        <v>0</v>
      </c>
      <c r="U177" s="49">
        <v>0</v>
      </c>
      <c r="V177" s="49">
        <v>0.010638</v>
      </c>
      <c r="W177" s="49">
        <v>0</v>
      </c>
      <c r="X177" s="49">
        <v>0.520466</v>
      </c>
      <c r="Y177" s="49">
        <v>0</v>
      </c>
      <c r="Z177" s="49">
        <v>0</v>
      </c>
      <c r="AA177" s="73">
        <v>177</v>
      </c>
      <c r="AB177" s="73"/>
      <c r="AC177" s="74"/>
      <c r="AD177" s="80" t="s">
        <v>1373</v>
      </c>
      <c r="AE177" s="88" t="s">
        <v>1595</v>
      </c>
      <c r="AF177" s="80">
        <v>2130</v>
      </c>
      <c r="AG177" s="80">
        <v>2868</v>
      </c>
      <c r="AH177" s="80">
        <v>3118</v>
      </c>
      <c r="AI177" s="80">
        <v>6600</v>
      </c>
      <c r="AJ177" s="80"/>
      <c r="AK177" s="80" t="s">
        <v>1811</v>
      </c>
      <c r="AL177" s="80" t="s">
        <v>1966</v>
      </c>
      <c r="AM177" s="85" t="str">
        <f>HYPERLINK("https://t.co/yT0A8obtNf")</f>
        <v>https://t.co/yT0A8obtNf</v>
      </c>
      <c r="AN177" s="80"/>
      <c r="AO177" s="82">
        <v>43307.13520833333</v>
      </c>
      <c r="AP177" s="85" t="str">
        <f>HYPERLINK("https://pbs.twimg.com/profile_banners/1022319271656009728/1546802407")</f>
        <v>https://pbs.twimg.com/profile_banners/1022319271656009728/1546802407</v>
      </c>
      <c r="AQ177" s="80" t="b">
        <v>1</v>
      </c>
      <c r="AR177" s="80" t="b">
        <v>0</v>
      </c>
      <c r="AS177" s="80" t="b">
        <v>1</v>
      </c>
      <c r="AT177" s="80"/>
      <c r="AU177" s="80">
        <v>0</v>
      </c>
      <c r="AV177" s="80"/>
      <c r="AW177" s="80" t="b">
        <v>0</v>
      </c>
      <c r="AX177" s="80" t="s">
        <v>2002</v>
      </c>
      <c r="AY177" s="85" t="str">
        <f>HYPERLINK("https://twitter.com/vinimiguel3")</f>
        <v>https://twitter.com/vinimiguel3</v>
      </c>
      <c r="AZ177" s="80" t="s">
        <v>65</v>
      </c>
      <c r="BA177" s="80" t="str">
        <f>REPLACE(INDEX(GroupVertices[Group],MATCH(Vertices[[#This Row],[Vertex]],GroupVertices[Vertex],0)),1,1,"")</f>
        <v>1</v>
      </c>
      <c r="BB177" s="48"/>
      <c r="BC177" s="49"/>
      <c r="BD177" s="48"/>
      <c r="BE177" s="49"/>
      <c r="BF177" s="48"/>
      <c r="BG177" s="49"/>
      <c r="BH177" s="48"/>
      <c r="BI177" s="49"/>
      <c r="BJ177" s="48"/>
      <c r="BK177" s="48"/>
      <c r="BL177" s="48"/>
      <c r="BM177" s="48"/>
      <c r="BN177" s="48"/>
      <c r="BO177" s="48"/>
      <c r="BP177" s="48"/>
      <c r="BQ177" s="48"/>
      <c r="BR177" s="48"/>
      <c r="BS177" s="48"/>
      <c r="BT177" s="48"/>
      <c r="BU177" s="2"/>
      <c r="BV177" s="3"/>
      <c r="BW177" s="3"/>
      <c r="BX177" s="3"/>
      <c r="BY177" s="3"/>
    </row>
    <row r="178" spans="1:77" ht="15">
      <c r="A178" s="66" t="s">
        <v>572</v>
      </c>
      <c r="B178" s="67"/>
      <c r="C178" s="67"/>
      <c r="D178" s="68">
        <v>100</v>
      </c>
      <c r="E178" s="70"/>
      <c r="F178" s="104" t="str">
        <f>HYPERLINK("http://pbs.twimg.com/profile_images/955856678578216961/lQTME25x_normal.jpg")</f>
        <v>http://pbs.twimg.com/profile_images/955856678578216961/lQTME25x_normal.jpg</v>
      </c>
      <c r="G178" s="67"/>
      <c r="H178" s="71" t="s">
        <v>572</v>
      </c>
      <c r="I178" s="72"/>
      <c r="J178" s="72"/>
      <c r="K178" s="71" t="s">
        <v>2177</v>
      </c>
      <c r="L178" s="75">
        <v>1</v>
      </c>
      <c r="M178" s="76">
        <v>1112.0115966796875</v>
      </c>
      <c r="N178" s="76">
        <v>8210.087890625</v>
      </c>
      <c r="O178" s="77"/>
      <c r="P178" s="78"/>
      <c r="Q178" s="78"/>
      <c r="R178" s="90"/>
      <c r="S178" s="48">
        <v>1</v>
      </c>
      <c r="T178" s="48">
        <v>0</v>
      </c>
      <c r="U178" s="49">
        <v>0</v>
      </c>
      <c r="V178" s="49">
        <v>0.010638</v>
      </c>
      <c r="W178" s="49">
        <v>0</v>
      </c>
      <c r="X178" s="49">
        <v>0.520466</v>
      </c>
      <c r="Y178" s="49">
        <v>0</v>
      </c>
      <c r="Z178" s="49">
        <v>0</v>
      </c>
      <c r="AA178" s="73">
        <v>178</v>
      </c>
      <c r="AB178" s="73"/>
      <c r="AC178" s="74"/>
      <c r="AD178" s="80" t="s">
        <v>1374</v>
      </c>
      <c r="AE178" s="88" t="s">
        <v>1596</v>
      </c>
      <c r="AF178" s="80">
        <v>13818</v>
      </c>
      <c r="AG178" s="80">
        <v>64154</v>
      </c>
      <c r="AH178" s="80">
        <v>163319</v>
      </c>
      <c r="AI178" s="80">
        <v>356681</v>
      </c>
      <c r="AJ178" s="80"/>
      <c r="AK178" s="80" t="s">
        <v>1812</v>
      </c>
      <c r="AL178" s="80"/>
      <c r="AM178" s="80"/>
      <c r="AN178" s="80"/>
      <c r="AO178" s="82">
        <v>41496.75828703704</v>
      </c>
      <c r="AP178" s="85" t="str">
        <f>HYPERLINK("https://pbs.twimg.com/profile_banners/1660695121/1576534087")</f>
        <v>https://pbs.twimg.com/profile_banners/1660695121/1576534087</v>
      </c>
      <c r="AQ178" s="80" t="b">
        <v>0</v>
      </c>
      <c r="AR178" s="80" t="b">
        <v>0</v>
      </c>
      <c r="AS178" s="80" t="b">
        <v>0</v>
      </c>
      <c r="AT178" s="80"/>
      <c r="AU178" s="80">
        <v>141</v>
      </c>
      <c r="AV178" s="85" t="str">
        <f>HYPERLINK("http://abs.twimg.com/images/themes/theme14/bg.gif")</f>
        <v>http://abs.twimg.com/images/themes/theme14/bg.gif</v>
      </c>
      <c r="AW178" s="80" t="b">
        <v>0</v>
      </c>
      <c r="AX178" s="80" t="s">
        <v>2002</v>
      </c>
      <c r="AY178" s="85" t="str">
        <f>HYPERLINK("https://twitter.com/patocorporation")</f>
        <v>https://twitter.com/patocorporation</v>
      </c>
      <c r="AZ178" s="80" t="s">
        <v>65</v>
      </c>
      <c r="BA178" s="80" t="str">
        <f>REPLACE(INDEX(GroupVertices[Group],MATCH(Vertices[[#This Row],[Vertex]],GroupVertices[Vertex],0)),1,1,"")</f>
        <v>1</v>
      </c>
      <c r="BB178" s="48"/>
      <c r="BC178" s="49"/>
      <c r="BD178" s="48"/>
      <c r="BE178" s="49"/>
      <c r="BF178" s="48"/>
      <c r="BG178" s="49"/>
      <c r="BH178" s="48"/>
      <c r="BI178" s="49"/>
      <c r="BJ178" s="48"/>
      <c r="BK178" s="48"/>
      <c r="BL178" s="48"/>
      <c r="BM178" s="48"/>
      <c r="BN178" s="48"/>
      <c r="BO178" s="48"/>
      <c r="BP178" s="48"/>
      <c r="BQ178" s="48"/>
      <c r="BR178" s="48"/>
      <c r="BS178" s="48"/>
      <c r="BT178" s="48"/>
      <c r="BU178" s="2"/>
      <c r="BV178" s="3"/>
      <c r="BW178" s="3"/>
      <c r="BX178" s="3"/>
      <c r="BY178" s="3"/>
    </row>
    <row r="179" spans="1:77" ht="15">
      <c r="A179" s="66" t="s">
        <v>573</v>
      </c>
      <c r="B179" s="67"/>
      <c r="C179" s="67"/>
      <c r="D179" s="68">
        <v>100</v>
      </c>
      <c r="E179" s="70"/>
      <c r="F179" s="104" t="str">
        <f>HYPERLINK("http://pbs.twimg.com/profile_images/1201170378980245504/PEZxIANh_normal.jpg")</f>
        <v>http://pbs.twimg.com/profile_images/1201170378980245504/PEZxIANh_normal.jpg</v>
      </c>
      <c r="G179" s="67"/>
      <c r="H179" s="71" t="s">
        <v>573</v>
      </c>
      <c r="I179" s="72"/>
      <c r="J179" s="72"/>
      <c r="K179" s="71" t="s">
        <v>2178</v>
      </c>
      <c r="L179" s="75">
        <v>1</v>
      </c>
      <c r="M179" s="76">
        <v>3182.29296875</v>
      </c>
      <c r="N179" s="76">
        <v>9397.6943359375</v>
      </c>
      <c r="O179" s="77"/>
      <c r="P179" s="78"/>
      <c r="Q179" s="78"/>
      <c r="R179" s="90"/>
      <c r="S179" s="48">
        <v>1</v>
      </c>
      <c r="T179" s="48">
        <v>0</v>
      </c>
      <c r="U179" s="49">
        <v>0</v>
      </c>
      <c r="V179" s="49">
        <v>0.010638</v>
      </c>
      <c r="W179" s="49">
        <v>0</v>
      </c>
      <c r="X179" s="49">
        <v>0.520466</v>
      </c>
      <c r="Y179" s="49">
        <v>0</v>
      </c>
      <c r="Z179" s="49">
        <v>0</v>
      </c>
      <c r="AA179" s="73">
        <v>179</v>
      </c>
      <c r="AB179" s="73"/>
      <c r="AC179" s="74"/>
      <c r="AD179" s="80" t="s">
        <v>1375</v>
      </c>
      <c r="AE179" s="88" t="s">
        <v>1597</v>
      </c>
      <c r="AF179" s="80">
        <v>38</v>
      </c>
      <c r="AG179" s="80">
        <v>21</v>
      </c>
      <c r="AH179" s="80">
        <v>342</v>
      </c>
      <c r="AI179" s="80">
        <v>1812</v>
      </c>
      <c r="AJ179" s="80"/>
      <c r="AK179" s="80" t="s">
        <v>1813</v>
      </c>
      <c r="AL179" s="80" t="s">
        <v>1967</v>
      </c>
      <c r="AM179" s="80"/>
      <c r="AN179" s="80"/>
      <c r="AO179" s="82">
        <v>43800.66440972222</v>
      </c>
      <c r="AP179" s="80"/>
      <c r="AQ179" s="80" t="b">
        <v>1</v>
      </c>
      <c r="AR179" s="80" t="b">
        <v>0</v>
      </c>
      <c r="AS179" s="80" t="b">
        <v>0</v>
      </c>
      <c r="AT179" s="80"/>
      <c r="AU179" s="80">
        <v>0</v>
      </c>
      <c r="AV179" s="80"/>
      <c r="AW179" s="80" t="b">
        <v>0</v>
      </c>
      <c r="AX179" s="80" t="s">
        <v>2002</v>
      </c>
      <c r="AY179" s="85" t="str">
        <f>HYPERLINK("https://twitter.com/pandolpho2")</f>
        <v>https://twitter.com/pandolpho2</v>
      </c>
      <c r="AZ179" s="80" t="s">
        <v>65</v>
      </c>
      <c r="BA179" s="80" t="str">
        <f>REPLACE(INDEX(GroupVertices[Group],MATCH(Vertices[[#This Row],[Vertex]],GroupVertices[Vertex],0)),1,1,"")</f>
        <v>1</v>
      </c>
      <c r="BB179" s="48"/>
      <c r="BC179" s="49"/>
      <c r="BD179" s="48"/>
      <c r="BE179" s="49"/>
      <c r="BF179" s="48"/>
      <c r="BG179" s="49"/>
      <c r="BH179" s="48"/>
      <c r="BI179" s="49"/>
      <c r="BJ179" s="48"/>
      <c r="BK179" s="48"/>
      <c r="BL179" s="48"/>
      <c r="BM179" s="48"/>
      <c r="BN179" s="48"/>
      <c r="BO179" s="48"/>
      <c r="BP179" s="48"/>
      <c r="BQ179" s="48"/>
      <c r="BR179" s="48"/>
      <c r="BS179" s="48"/>
      <c r="BT179" s="48"/>
      <c r="BU179" s="2"/>
      <c r="BV179" s="3"/>
      <c r="BW179" s="3"/>
      <c r="BX179" s="3"/>
      <c r="BY179" s="3"/>
    </row>
    <row r="180" spans="1:77" ht="15">
      <c r="A180" s="66" t="s">
        <v>574</v>
      </c>
      <c r="B180" s="67"/>
      <c r="C180" s="67"/>
      <c r="D180" s="68">
        <v>100</v>
      </c>
      <c r="E180" s="70"/>
      <c r="F180" s="104" t="str">
        <f>HYPERLINK("http://pbs.twimg.com/profile_images/1232536137144717312/yHu0doWa_normal.jpg")</f>
        <v>http://pbs.twimg.com/profile_images/1232536137144717312/yHu0doWa_normal.jpg</v>
      </c>
      <c r="G180" s="67"/>
      <c r="H180" s="71" t="s">
        <v>574</v>
      </c>
      <c r="I180" s="72"/>
      <c r="J180" s="72"/>
      <c r="K180" s="71" t="s">
        <v>2179</v>
      </c>
      <c r="L180" s="75">
        <v>1</v>
      </c>
      <c r="M180" s="76">
        <v>2411.63525390625</v>
      </c>
      <c r="N180" s="76">
        <v>9334.1748046875</v>
      </c>
      <c r="O180" s="77"/>
      <c r="P180" s="78"/>
      <c r="Q180" s="78"/>
      <c r="R180" s="90"/>
      <c r="S180" s="48">
        <v>1</v>
      </c>
      <c r="T180" s="48">
        <v>0</v>
      </c>
      <c r="U180" s="49">
        <v>0</v>
      </c>
      <c r="V180" s="49">
        <v>0.010638</v>
      </c>
      <c r="W180" s="49">
        <v>0</v>
      </c>
      <c r="X180" s="49">
        <v>0.520466</v>
      </c>
      <c r="Y180" s="49">
        <v>0</v>
      </c>
      <c r="Z180" s="49">
        <v>0</v>
      </c>
      <c r="AA180" s="73">
        <v>180</v>
      </c>
      <c r="AB180" s="73"/>
      <c r="AC180" s="74"/>
      <c r="AD180" s="80" t="s">
        <v>1376</v>
      </c>
      <c r="AE180" s="88" t="s">
        <v>1598</v>
      </c>
      <c r="AF180" s="80">
        <v>91</v>
      </c>
      <c r="AG180" s="80">
        <v>77922</v>
      </c>
      <c r="AH180" s="80">
        <v>195</v>
      </c>
      <c r="AI180" s="80">
        <v>110</v>
      </c>
      <c r="AJ180" s="80"/>
      <c r="AK180" s="80" t="s">
        <v>1814</v>
      </c>
      <c r="AL180" s="80"/>
      <c r="AM180" s="85" t="str">
        <f>HYPERLINK("https://t.co/p35eRBcDvT")</f>
        <v>https://t.co/p35eRBcDvT</v>
      </c>
      <c r="AN180" s="80"/>
      <c r="AO180" s="82">
        <v>41842.25534722222</v>
      </c>
      <c r="AP180" s="85" t="str">
        <f>HYPERLINK("https://pbs.twimg.com/profile_banners/2668542618/1582694555")</f>
        <v>https://pbs.twimg.com/profile_banners/2668542618/1582694555</v>
      </c>
      <c r="AQ180" s="80" t="b">
        <v>0</v>
      </c>
      <c r="AR180" s="80" t="b">
        <v>0</v>
      </c>
      <c r="AS180" s="80" t="b">
        <v>0</v>
      </c>
      <c r="AT180" s="80"/>
      <c r="AU180" s="80">
        <v>370</v>
      </c>
      <c r="AV180" s="85" t="str">
        <f>HYPERLINK("http://abs.twimg.com/images/themes/theme1/bg.png")</f>
        <v>http://abs.twimg.com/images/themes/theme1/bg.png</v>
      </c>
      <c r="AW180" s="80" t="b">
        <v>1</v>
      </c>
      <c r="AX180" s="80" t="s">
        <v>2002</v>
      </c>
      <c r="AY180" s="85" t="str">
        <f>HYPERLINK("https://twitter.com/spotniks")</f>
        <v>https://twitter.com/spotniks</v>
      </c>
      <c r="AZ180" s="80" t="s">
        <v>65</v>
      </c>
      <c r="BA180" s="80" t="str">
        <f>REPLACE(INDEX(GroupVertices[Group],MATCH(Vertices[[#This Row],[Vertex]],GroupVertices[Vertex],0)),1,1,"")</f>
        <v>1</v>
      </c>
      <c r="BB180" s="48"/>
      <c r="BC180" s="49"/>
      <c r="BD180" s="48"/>
      <c r="BE180" s="49"/>
      <c r="BF180" s="48"/>
      <c r="BG180" s="49"/>
      <c r="BH180" s="48"/>
      <c r="BI180" s="49"/>
      <c r="BJ180" s="48"/>
      <c r="BK180" s="48"/>
      <c r="BL180" s="48"/>
      <c r="BM180" s="48"/>
      <c r="BN180" s="48"/>
      <c r="BO180" s="48"/>
      <c r="BP180" s="48"/>
      <c r="BQ180" s="48"/>
      <c r="BR180" s="48"/>
      <c r="BS180" s="48"/>
      <c r="BT180" s="48"/>
      <c r="BU180" s="2"/>
      <c r="BV180" s="3"/>
      <c r="BW180" s="3"/>
      <c r="BX180" s="3"/>
      <c r="BY180" s="3"/>
    </row>
    <row r="181" spans="1:77" ht="15">
      <c r="A181" s="66" t="s">
        <v>575</v>
      </c>
      <c r="B181" s="67"/>
      <c r="C181" s="67"/>
      <c r="D181" s="68">
        <v>100</v>
      </c>
      <c r="E181" s="70"/>
      <c r="F181" s="104" t="str">
        <f>HYPERLINK("http://pbs.twimg.com/profile_images/1261473191660343299/0Z7lmn0Y_normal.jpg")</f>
        <v>http://pbs.twimg.com/profile_images/1261473191660343299/0Z7lmn0Y_normal.jpg</v>
      </c>
      <c r="G181" s="67"/>
      <c r="H181" s="71" t="s">
        <v>575</v>
      </c>
      <c r="I181" s="72"/>
      <c r="J181" s="72"/>
      <c r="K181" s="71" t="s">
        <v>2180</v>
      </c>
      <c r="L181" s="75">
        <v>1</v>
      </c>
      <c r="M181" s="76">
        <v>2767.560791015625</v>
      </c>
      <c r="N181" s="76">
        <v>5963.8076171875</v>
      </c>
      <c r="O181" s="77"/>
      <c r="P181" s="78"/>
      <c r="Q181" s="78"/>
      <c r="R181" s="90"/>
      <c r="S181" s="48">
        <v>1</v>
      </c>
      <c r="T181" s="48">
        <v>0</v>
      </c>
      <c r="U181" s="49">
        <v>0</v>
      </c>
      <c r="V181" s="49">
        <v>0.010638</v>
      </c>
      <c r="W181" s="49">
        <v>0</v>
      </c>
      <c r="X181" s="49">
        <v>0.520466</v>
      </c>
      <c r="Y181" s="49">
        <v>0</v>
      </c>
      <c r="Z181" s="49">
        <v>0</v>
      </c>
      <c r="AA181" s="73">
        <v>181</v>
      </c>
      <c r="AB181" s="73"/>
      <c r="AC181" s="74"/>
      <c r="AD181" s="80" t="s">
        <v>1377</v>
      </c>
      <c r="AE181" s="88" t="s">
        <v>1599</v>
      </c>
      <c r="AF181" s="80">
        <v>364</v>
      </c>
      <c r="AG181" s="80">
        <v>293</v>
      </c>
      <c r="AH181" s="80">
        <v>10018</v>
      </c>
      <c r="AI181" s="80">
        <v>5889</v>
      </c>
      <c r="AJ181" s="80"/>
      <c r="AK181" s="80" t="s">
        <v>1815</v>
      </c>
      <c r="AL181" s="80" t="s">
        <v>1968</v>
      </c>
      <c r="AM181" s="85" t="str">
        <f>HYPERLINK("https://t.co/7WdmAN2Pzk")</f>
        <v>https://t.co/7WdmAN2Pzk</v>
      </c>
      <c r="AN181" s="80"/>
      <c r="AO181" s="82">
        <v>41471.834710648145</v>
      </c>
      <c r="AP181" s="85" t="str">
        <f>HYPERLINK("https://pbs.twimg.com/profile_banners/1599172328/1591405446")</f>
        <v>https://pbs.twimg.com/profile_banners/1599172328/1591405446</v>
      </c>
      <c r="AQ181" s="80" t="b">
        <v>0</v>
      </c>
      <c r="AR181" s="80" t="b">
        <v>0</v>
      </c>
      <c r="AS181" s="80" t="b">
        <v>1</v>
      </c>
      <c r="AT181" s="80"/>
      <c r="AU181" s="80">
        <v>0</v>
      </c>
      <c r="AV181" s="85" t="str">
        <f>HYPERLINK("http://abs.twimg.com/images/themes/theme1/bg.png")</f>
        <v>http://abs.twimg.com/images/themes/theme1/bg.png</v>
      </c>
      <c r="AW181" s="80" t="b">
        <v>0</v>
      </c>
      <c r="AX181" s="80" t="s">
        <v>2002</v>
      </c>
      <c r="AY181" s="85" t="str">
        <f>HYPERLINK("https://twitter.com/lucas_dourado96")</f>
        <v>https://twitter.com/lucas_dourado96</v>
      </c>
      <c r="AZ181" s="80" t="s">
        <v>65</v>
      </c>
      <c r="BA181" s="80" t="str">
        <f>REPLACE(INDEX(GroupVertices[Group],MATCH(Vertices[[#This Row],[Vertex]],GroupVertices[Vertex],0)),1,1,"")</f>
        <v>1</v>
      </c>
      <c r="BB181" s="48"/>
      <c r="BC181" s="49"/>
      <c r="BD181" s="48"/>
      <c r="BE181" s="49"/>
      <c r="BF181" s="48"/>
      <c r="BG181" s="49"/>
      <c r="BH181" s="48"/>
      <c r="BI181" s="49"/>
      <c r="BJ181" s="48"/>
      <c r="BK181" s="48"/>
      <c r="BL181" s="48"/>
      <c r="BM181" s="48"/>
      <c r="BN181" s="48"/>
      <c r="BO181" s="48"/>
      <c r="BP181" s="48"/>
      <c r="BQ181" s="48"/>
      <c r="BR181" s="48"/>
      <c r="BS181" s="48"/>
      <c r="BT181" s="48"/>
      <c r="BU181" s="2"/>
      <c r="BV181" s="3"/>
      <c r="BW181" s="3"/>
      <c r="BX181" s="3"/>
      <c r="BY181" s="3"/>
    </row>
    <row r="182" spans="1:77" ht="15">
      <c r="A182" s="66" t="s">
        <v>576</v>
      </c>
      <c r="B182" s="67"/>
      <c r="C182" s="67"/>
      <c r="D182" s="68">
        <v>100</v>
      </c>
      <c r="E182" s="70"/>
      <c r="F182" s="104" t="str">
        <f>HYPERLINK("http://pbs.twimg.com/profile_images/1169651066784354304/uThAbyT7_normal.jpg")</f>
        <v>http://pbs.twimg.com/profile_images/1169651066784354304/uThAbyT7_normal.jpg</v>
      </c>
      <c r="G182" s="67"/>
      <c r="H182" s="71" t="s">
        <v>576</v>
      </c>
      <c r="I182" s="72"/>
      <c r="J182" s="72"/>
      <c r="K182" s="71" t="s">
        <v>2181</v>
      </c>
      <c r="L182" s="75">
        <v>1</v>
      </c>
      <c r="M182" s="76">
        <v>2827.746826171875</v>
      </c>
      <c r="N182" s="76">
        <v>9643.640625</v>
      </c>
      <c r="O182" s="77"/>
      <c r="P182" s="78"/>
      <c r="Q182" s="78"/>
      <c r="R182" s="90"/>
      <c r="S182" s="48">
        <v>1</v>
      </c>
      <c r="T182" s="48">
        <v>0</v>
      </c>
      <c r="U182" s="49">
        <v>0</v>
      </c>
      <c r="V182" s="49">
        <v>0.010638</v>
      </c>
      <c r="W182" s="49">
        <v>0</v>
      </c>
      <c r="X182" s="49">
        <v>0.520466</v>
      </c>
      <c r="Y182" s="49">
        <v>0</v>
      </c>
      <c r="Z182" s="49">
        <v>0</v>
      </c>
      <c r="AA182" s="73">
        <v>182</v>
      </c>
      <c r="AB182" s="73"/>
      <c r="AC182" s="74"/>
      <c r="AD182" s="80" t="s">
        <v>1378</v>
      </c>
      <c r="AE182" s="88" t="s">
        <v>1600</v>
      </c>
      <c r="AF182" s="80">
        <v>361</v>
      </c>
      <c r="AG182" s="80">
        <v>128</v>
      </c>
      <c r="AH182" s="80">
        <v>2174</v>
      </c>
      <c r="AI182" s="80">
        <v>5479</v>
      </c>
      <c r="AJ182" s="80"/>
      <c r="AK182" s="80" t="s">
        <v>1816</v>
      </c>
      <c r="AL182" s="80" t="s">
        <v>1969</v>
      </c>
      <c r="AM182" s="80"/>
      <c r="AN182" s="80"/>
      <c r="AO182" s="82">
        <v>43713.69157407407</v>
      </c>
      <c r="AP182" s="85" t="str">
        <f>HYPERLINK("https://pbs.twimg.com/profile_banners/1169649543971033094/1567705169")</f>
        <v>https://pbs.twimg.com/profile_banners/1169649543971033094/1567705169</v>
      </c>
      <c r="AQ182" s="80" t="b">
        <v>1</v>
      </c>
      <c r="AR182" s="80" t="b">
        <v>0</v>
      </c>
      <c r="AS182" s="80" t="b">
        <v>0</v>
      </c>
      <c r="AT182" s="80"/>
      <c r="AU182" s="80">
        <v>1</v>
      </c>
      <c r="AV182" s="80"/>
      <c r="AW182" s="80" t="b">
        <v>0</v>
      </c>
      <c r="AX182" s="80" t="s">
        <v>2002</v>
      </c>
      <c r="AY182" s="85" t="str">
        <f>HYPERLINK("https://twitter.com/rodolfoezsilva")</f>
        <v>https://twitter.com/rodolfoezsilva</v>
      </c>
      <c r="AZ182" s="80" t="s">
        <v>65</v>
      </c>
      <c r="BA182" s="80" t="str">
        <f>REPLACE(INDEX(GroupVertices[Group],MATCH(Vertices[[#This Row],[Vertex]],GroupVertices[Vertex],0)),1,1,"")</f>
        <v>1</v>
      </c>
      <c r="BB182" s="48"/>
      <c r="BC182" s="49"/>
      <c r="BD182" s="48"/>
      <c r="BE182" s="49"/>
      <c r="BF182" s="48"/>
      <c r="BG182" s="49"/>
      <c r="BH182" s="48"/>
      <c r="BI182" s="49"/>
      <c r="BJ182" s="48"/>
      <c r="BK182" s="48"/>
      <c r="BL182" s="48"/>
      <c r="BM182" s="48"/>
      <c r="BN182" s="48"/>
      <c r="BO182" s="48"/>
      <c r="BP182" s="48"/>
      <c r="BQ182" s="48"/>
      <c r="BR182" s="48"/>
      <c r="BS182" s="48"/>
      <c r="BT182" s="48"/>
      <c r="BU182" s="2"/>
      <c r="BV182" s="3"/>
      <c r="BW182" s="3"/>
      <c r="BX182" s="3"/>
      <c r="BY182" s="3"/>
    </row>
    <row r="183" spans="1:77" ht="15">
      <c r="A183" s="66" t="s">
        <v>577</v>
      </c>
      <c r="B183" s="67"/>
      <c r="C183" s="67"/>
      <c r="D183" s="68">
        <v>100</v>
      </c>
      <c r="E183" s="70"/>
      <c r="F183" s="104" t="str">
        <f>HYPERLINK("http://pbs.twimg.com/profile_images/1184126237909966849/WC4G-cUD_normal.jpg")</f>
        <v>http://pbs.twimg.com/profile_images/1184126237909966849/WC4G-cUD_normal.jpg</v>
      </c>
      <c r="G183" s="67"/>
      <c r="H183" s="71" t="s">
        <v>577</v>
      </c>
      <c r="I183" s="72"/>
      <c r="J183" s="72"/>
      <c r="K183" s="71" t="s">
        <v>2182</v>
      </c>
      <c r="L183" s="75">
        <v>1</v>
      </c>
      <c r="M183" s="76">
        <v>2893.526123046875</v>
      </c>
      <c r="N183" s="76">
        <v>8824.826171875</v>
      </c>
      <c r="O183" s="77"/>
      <c r="P183" s="78"/>
      <c r="Q183" s="78"/>
      <c r="R183" s="90"/>
      <c r="S183" s="48">
        <v>1</v>
      </c>
      <c r="T183" s="48">
        <v>0</v>
      </c>
      <c r="U183" s="49">
        <v>0</v>
      </c>
      <c r="V183" s="49">
        <v>0.010638</v>
      </c>
      <c r="W183" s="49">
        <v>0</v>
      </c>
      <c r="X183" s="49">
        <v>0.520466</v>
      </c>
      <c r="Y183" s="49">
        <v>0</v>
      </c>
      <c r="Z183" s="49">
        <v>0</v>
      </c>
      <c r="AA183" s="73">
        <v>183</v>
      </c>
      <c r="AB183" s="73"/>
      <c r="AC183" s="74"/>
      <c r="AD183" s="80" t="s">
        <v>1379</v>
      </c>
      <c r="AE183" s="88" t="s">
        <v>1601</v>
      </c>
      <c r="AF183" s="80">
        <v>736</v>
      </c>
      <c r="AG183" s="80">
        <v>209</v>
      </c>
      <c r="AH183" s="80">
        <v>24590</v>
      </c>
      <c r="AI183" s="80">
        <v>30802</v>
      </c>
      <c r="AJ183" s="80"/>
      <c r="AK183" s="80" t="s">
        <v>1817</v>
      </c>
      <c r="AL183" s="80"/>
      <c r="AM183" s="80"/>
      <c r="AN183" s="80"/>
      <c r="AO183" s="82">
        <v>41285.90079861111</v>
      </c>
      <c r="AP183" s="85" t="str">
        <f>HYPERLINK("https://pbs.twimg.com/profile_banners/1081000218/1588008941")</f>
        <v>https://pbs.twimg.com/profile_banners/1081000218/1588008941</v>
      </c>
      <c r="AQ183" s="80" t="b">
        <v>0</v>
      </c>
      <c r="AR183" s="80" t="b">
        <v>0</v>
      </c>
      <c r="AS183" s="80" t="b">
        <v>0</v>
      </c>
      <c r="AT183" s="80"/>
      <c r="AU183" s="80">
        <v>0</v>
      </c>
      <c r="AV183" s="85" t="str">
        <f>HYPERLINK("http://abs.twimg.com/images/themes/theme14/bg.gif")</f>
        <v>http://abs.twimg.com/images/themes/theme14/bg.gif</v>
      </c>
      <c r="AW183" s="80" t="b">
        <v>0</v>
      </c>
      <c r="AX183" s="80" t="s">
        <v>2002</v>
      </c>
      <c r="AY183" s="85" t="str">
        <f>HYPERLINK("https://twitter.com/xxxtela")</f>
        <v>https://twitter.com/xxxtela</v>
      </c>
      <c r="AZ183" s="80" t="s">
        <v>65</v>
      </c>
      <c r="BA183" s="80" t="str">
        <f>REPLACE(INDEX(GroupVertices[Group],MATCH(Vertices[[#This Row],[Vertex]],GroupVertices[Vertex],0)),1,1,"")</f>
        <v>1</v>
      </c>
      <c r="BB183" s="48"/>
      <c r="BC183" s="49"/>
      <c r="BD183" s="48"/>
      <c r="BE183" s="49"/>
      <c r="BF183" s="48"/>
      <c r="BG183" s="49"/>
      <c r="BH183" s="48"/>
      <c r="BI183" s="49"/>
      <c r="BJ183" s="48"/>
      <c r="BK183" s="48"/>
      <c r="BL183" s="48"/>
      <c r="BM183" s="48"/>
      <c r="BN183" s="48"/>
      <c r="BO183" s="48"/>
      <c r="BP183" s="48"/>
      <c r="BQ183" s="48"/>
      <c r="BR183" s="48"/>
      <c r="BS183" s="48"/>
      <c r="BT183" s="48"/>
      <c r="BU183" s="2"/>
      <c r="BV183" s="3"/>
      <c r="BW183" s="3"/>
      <c r="BX183" s="3"/>
      <c r="BY183" s="3"/>
    </row>
    <row r="184" spans="1:77" ht="15">
      <c r="A184" s="66" t="s">
        <v>578</v>
      </c>
      <c r="B184" s="67"/>
      <c r="C184" s="67"/>
      <c r="D184" s="68">
        <v>100</v>
      </c>
      <c r="E184" s="70"/>
      <c r="F184" s="104" t="str">
        <f>HYPERLINK("http://pbs.twimg.com/profile_images/715978862765686785/1TeFrWPG_normal.jpg")</f>
        <v>http://pbs.twimg.com/profile_images/715978862765686785/1TeFrWPG_normal.jpg</v>
      </c>
      <c r="G184" s="67"/>
      <c r="H184" s="71" t="s">
        <v>578</v>
      </c>
      <c r="I184" s="72"/>
      <c r="J184" s="72"/>
      <c r="K184" s="71" t="s">
        <v>2183</v>
      </c>
      <c r="L184" s="75">
        <v>1</v>
      </c>
      <c r="M184" s="76">
        <v>2248.85498046875</v>
      </c>
      <c r="N184" s="76">
        <v>8682.2392578125</v>
      </c>
      <c r="O184" s="77"/>
      <c r="P184" s="78"/>
      <c r="Q184" s="78"/>
      <c r="R184" s="90"/>
      <c r="S184" s="48">
        <v>1</v>
      </c>
      <c r="T184" s="48">
        <v>0</v>
      </c>
      <c r="U184" s="49">
        <v>0</v>
      </c>
      <c r="V184" s="49">
        <v>0.010638</v>
      </c>
      <c r="W184" s="49">
        <v>0</v>
      </c>
      <c r="X184" s="49">
        <v>0.520466</v>
      </c>
      <c r="Y184" s="49">
        <v>0</v>
      </c>
      <c r="Z184" s="49">
        <v>0</v>
      </c>
      <c r="AA184" s="73">
        <v>184</v>
      </c>
      <c r="AB184" s="73"/>
      <c r="AC184" s="74"/>
      <c r="AD184" s="80" t="s">
        <v>1380</v>
      </c>
      <c r="AE184" s="88" t="s">
        <v>1602</v>
      </c>
      <c r="AF184" s="80">
        <v>1174</v>
      </c>
      <c r="AG184" s="80">
        <v>729</v>
      </c>
      <c r="AH184" s="80">
        <v>58593</v>
      </c>
      <c r="AI184" s="80">
        <v>18419</v>
      </c>
      <c r="AJ184" s="80"/>
      <c r="AK184" s="80" t="s">
        <v>1818</v>
      </c>
      <c r="AL184" s="80" t="s">
        <v>1947</v>
      </c>
      <c r="AM184" s="80"/>
      <c r="AN184" s="80"/>
      <c r="AO184" s="82">
        <v>39991.94935185185</v>
      </c>
      <c r="AP184" s="85" t="str">
        <f>HYPERLINK("https://pbs.twimg.com/profile_banners/51580676/1413913955")</f>
        <v>https://pbs.twimg.com/profile_banners/51580676/1413913955</v>
      </c>
      <c r="AQ184" s="80" t="b">
        <v>0</v>
      </c>
      <c r="AR184" s="80" t="b">
        <v>0</v>
      </c>
      <c r="AS184" s="80" t="b">
        <v>0</v>
      </c>
      <c r="AT184" s="80"/>
      <c r="AU184" s="80">
        <v>22</v>
      </c>
      <c r="AV184" s="85" t="str">
        <f>HYPERLINK("http://abs.twimg.com/images/themes/theme2/bg.gif")</f>
        <v>http://abs.twimg.com/images/themes/theme2/bg.gif</v>
      </c>
      <c r="AW184" s="80" t="b">
        <v>0</v>
      </c>
      <c r="AX184" s="80" t="s">
        <v>2002</v>
      </c>
      <c r="AY184" s="85" t="str">
        <f>HYPERLINK("https://twitter.com/flaviorocha1")</f>
        <v>https://twitter.com/flaviorocha1</v>
      </c>
      <c r="AZ184" s="80" t="s">
        <v>65</v>
      </c>
      <c r="BA184" s="80" t="str">
        <f>REPLACE(INDEX(GroupVertices[Group],MATCH(Vertices[[#This Row],[Vertex]],GroupVertices[Vertex],0)),1,1,"")</f>
        <v>1</v>
      </c>
      <c r="BB184" s="48"/>
      <c r="BC184" s="49"/>
      <c r="BD184" s="48"/>
      <c r="BE184" s="49"/>
      <c r="BF184" s="48"/>
      <c r="BG184" s="49"/>
      <c r="BH184" s="48"/>
      <c r="BI184" s="49"/>
      <c r="BJ184" s="48"/>
      <c r="BK184" s="48"/>
      <c r="BL184" s="48"/>
      <c r="BM184" s="48"/>
      <c r="BN184" s="48"/>
      <c r="BO184" s="48"/>
      <c r="BP184" s="48"/>
      <c r="BQ184" s="48"/>
      <c r="BR184" s="48"/>
      <c r="BS184" s="48"/>
      <c r="BT184" s="48"/>
      <c r="BU184" s="2"/>
      <c r="BV184" s="3"/>
      <c r="BW184" s="3"/>
      <c r="BX184" s="3"/>
      <c r="BY184" s="3"/>
    </row>
    <row r="185" spans="1:77" ht="15">
      <c r="A185" s="66" t="s">
        <v>579</v>
      </c>
      <c r="B185" s="67"/>
      <c r="C185" s="67"/>
      <c r="D185" s="68">
        <v>100</v>
      </c>
      <c r="E185" s="70"/>
      <c r="F185" s="104" t="str">
        <f>HYPERLINK("http://pbs.twimg.com/profile_images/1222360231/logo_twitter_sobrejornalismo_2_normal.jpg")</f>
        <v>http://pbs.twimg.com/profile_images/1222360231/logo_twitter_sobrejornalismo_2_normal.jpg</v>
      </c>
      <c r="G185" s="67"/>
      <c r="H185" s="71" t="s">
        <v>579</v>
      </c>
      <c r="I185" s="72"/>
      <c r="J185" s="72"/>
      <c r="K185" s="71" t="s">
        <v>2184</v>
      </c>
      <c r="L185" s="75">
        <v>1</v>
      </c>
      <c r="M185" s="76">
        <v>1312.784912109375</v>
      </c>
      <c r="N185" s="76">
        <v>9710.0322265625</v>
      </c>
      <c r="O185" s="77"/>
      <c r="P185" s="78"/>
      <c r="Q185" s="78"/>
      <c r="R185" s="90"/>
      <c r="S185" s="48">
        <v>1</v>
      </c>
      <c r="T185" s="48">
        <v>0</v>
      </c>
      <c r="U185" s="49">
        <v>0</v>
      </c>
      <c r="V185" s="49">
        <v>0.010638</v>
      </c>
      <c r="W185" s="49">
        <v>0</v>
      </c>
      <c r="X185" s="49">
        <v>0.520466</v>
      </c>
      <c r="Y185" s="49">
        <v>0</v>
      </c>
      <c r="Z185" s="49">
        <v>0</v>
      </c>
      <c r="AA185" s="73">
        <v>185</v>
      </c>
      <c r="AB185" s="73"/>
      <c r="AC185" s="74"/>
      <c r="AD185" s="80" t="s">
        <v>579</v>
      </c>
      <c r="AE185" s="88" t="s">
        <v>1603</v>
      </c>
      <c r="AF185" s="80">
        <v>642</v>
      </c>
      <c r="AG185" s="80">
        <v>360</v>
      </c>
      <c r="AH185" s="80">
        <v>1690</v>
      </c>
      <c r="AI185" s="80">
        <v>1007</v>
      </c>
      <c r="AJ185" s="80"/>
      <c r="AK185" s="80" t="s">
        <v>1819</v>
      </c>
      <c r="AL185" s="80" t="s">
        <v>1970</v>
      </c>
      <c r="AM185" s="80"/>
      <c r="AN185" s="80"/>
      <c r="AO185" s="82">
        <v>40565.124930555554</v>
      </c>
      <c r="AP185" s="80"/>
      <c r="AQ185" s="80" t="b">
        <v>0</v>
      </c>
      <c r="AR185" s="80" t="b">
        <v>0</v>
      </c>
      <c r="AS185" s="80" t="b">
        <v>1</v>
      </c>
      <c r="AT185" s="80"/>
      <c r="AU185" s="80">
        <v>10</v>
      </c>
      <c r="AV185" s="85" t="str">
        <f>HYPERLINK("http://abs.twimg.com/images/themes/theme1/bg.png")</f>
        <v>http://abs.twimg.com/images/themes/theme1/bg.png</v>
      </c>
      <c r="AW185" s="80" t="b">
        <v>0</v>
      </c>
      <c r="AX185" s="80" t="s">
        <v>2002</v>
      </c>
      <c r="AY185" s="85" t="str">
        <f>HYPERLINK("https://twitter.com/sobrejornalismo")</f>
        <v>https://twitter.com/sobrejornalismo</v>
      </c>
      <c r="AZ185" s="80" t="s">
        <v>65</v>
      </c>
      <c r="BA185" s="80" t="str">
        <f>REPLACE(INDEX(GroupVertices[Group],MATCH(Vertices[[#This Row],[Vertex]],GroupVertices[Vertex],0)),1,1,"")</f>
        <v>1</v>
      </c>
      <c r="BB185" s="48"/>
      <c r="BC185" s="49"/>
      <c r="BD185" s="48"/>
      <c r="BE185" s="49"/>
      <c r="BF185" s="48"/>
      <c r="BG185" s="49"/>
      <c r="BH185" s="48"/>
      <c r="BI185" s="49"/>
      <c r="BJ185" s="48"/>
      <c r="BK185" s="48"/>
      <c r="BL185" s="48"/>
      <c r="BM185" s="48"/>
      <c r="BN185" s="48"/>
      <c r="BO185" s="48"/>
      <c r="BP185" s="48"/>
      <c r="BQ185" s="48"/>
      <c r="BR185" s="48"/>
      <c r="BS185" s="48"/>
      <c r="BT185" s="48"/>
      <c r="BU185" s="2"/>
      <c r="BV185" s="3"/>
      <c r="BW185" s="3"/>
      <c r="BX185" s="3"/>
      <c r="BY185" s="3"/>
    </row>
    <row r="186" spans="1:77" ht="15">
      <c r="A186" s="66" t="s">
        <v>476</v>
      </c>
      <c r="B186" s="67"/>
      <c r="C186" s="67"/>
      <c r="D186" s="68">
        <v>100</v>
      </c>
      <c r="E186" s="70"/>
      <c r="F186" s="104" t="str">
        <f>HYPERLINK("http://pbs.twimg.com/profile_images/870835366672171009/tQ1b0Q8Q_normal.jpg")</f>
        <v>http://pbs.twimg.com/profile_images/870835366672171009/tQ1b0Q8Q_normal.jpg</v>
      </c>
      <c r="G186" s="67"/>
      <c r="H186" s="71" t="s">
        <v>476</v>
      </c>
      <c r="I186" s="72"/>
      <c r="J186" s="72"/>
      <c r="K186" s="71" t="s">
        <v>2185</v>
      </c>
      <c r="L186" s="75">
        <v>1</v>
      </c>
      <c r="M186" s="76">
        <v>9393.265625</v>
      </c>
      <c r="N186" s="76">
        <v>8481.55078125</v>
      </c>
      <c r="O186" s="77"/>
      <c r="P186" s="78"/>
      <c r="Q186" s="78"/>
      <c r="R186" s="90"/>
      <c r="S186" s="48">
        <v>0</v>
      </c>
      <c r="T186" s="48">
        <v>2</v>
      </c>
      <c r="U186" s="49">
        <v>0</v>
      </c>
      <c r="V186" s="49">
        <v>0.026316</v>
      </c>
      <c r="W186" s="49">
        <v>0</v>
      </c>
      <c r="X186" s="49">
        <v>0.576762</v>
      </c>
      <c r="Y186" s="49">
        <v>0.5</v>
      </c>
      <c r="Z186" s="49">
        <v>0</v>
      </c>
      <c r="AA186" s="73">
        <v>186</v>
      </c>
      <c r="AB186" s="73"/>
      <c r="AC186" s="74"/>
      <c r="AD186" s="80" t="s">
        <v>1381</v>
      </c>
      <c r="AE186" s="88" t="s">
        <v>1604</v>
      </c>
      <c r="AF186" s="80">
        <v>978</v>
      </c>
      <c r="AG186" s="80">
        <v>3923</v>
      </c>
      <c r="AH186" s="80">
        <v>1824</v>
      </c>
      <c r="AI186" s="80">
        <v>2058</v>
      </c>
      <c r="AJ186" s="80"/>
      <c r="AK186" s="80" t="s">
        <v>1820</v>
      </c>
      <c r="AL186" s="80" t="s">
        <v>1971</v>
      </c>
      <c r="AM186" s="80"/>
      <c r="AN186" s="80"/>
      <c r="AO186" s="82">
        <v>40348.81984953704</v>
      </c>
      <c r="AP186" s="85" t="str">
        <f>HYPERLINK("https://pbs.twimg.com/profile_banners/157425698/1496458456")</f>
        <v>https://pbs.twimg.com/profile_banners/157425698/1496458456</v>
      </c>
      <c r="AQ186" s="80" t="b">
        <v>1</v>
      </c>
      <c r="AR186" s="80" t="b">
        <v>0</v>
      </c>
      <c r="AS186" s="80" t="b">
        <v>0</v>
      </c>
      <c r="AT186" s="80"/>
      <c r="AU186" s="80">
        <v>48</v>
      </c>
      <c r="AV186" s="85" t="str">
        <f>HYPERLINK("http://abs.twimg.com/images/themes/theme1/bg.png")</f>
        <v>http://abs.twimg.com/images/themes/theme1/bg.png</v>
      </c>
      <c r="AW186" s="80" t="b">
        <v>0</v>
      </c>
      <c r="AX186" s="80" t="s">
        <v>2002</v>
      </c>
      <c r="AY186" s="85" t="str">
        <f>HYPERLINK("https://twitter.com/paulmenam")</f>
        <v>https://twitter.com/paulmenam</v>
      </c>
      <c r="AZ186" s="80" t="s">
        <v>66</v>
      </c>
      <c r="BA186" s="80" t="str">
        <f>REPLACE(INDEX(GroupVertices[Group],MATCH(Vertices[[#This Row],[Vertex]],GroupVertices[Vertex],0)),1,1,"")</f>
        <v>4</v>
      </c>
      <c r="BB186" s="48">
        <v>1</v>
      </c>
      <c r="BC186" s="49">
        <v>3.125</v>
      </c>
      <c r="BD186" s="48">
        <v>1</v>
      </c>
      <c r="BE186" s="49">
        <v>3.125</v>
      </c>
      <c r="BF186" s="48">
        <v>0</v>
      </c>
      <c r="BG186" s="49">
        <v>0</v>
      </c>
      <c r="BH186" s="48">
        <v>30</v>
      </c>
      <c r="BI186" s="49">
        <v>93.75</v>
      </c>
      <c r="BJ186" s="48">
        <v>32</v>
      </c>
      <c r="BK186" s="48"/>
      <c r="BL186" s="48"/>
      <c r="BM186" s="48"/>
      <c r="BN186" s="48"/>
      <c r="BO186" s="48" t="s">
        <v>711</v>
      </c>
      <c r="BP186" s="48" t="s">
        <v>711</v>
      </c>
      <c r="BQ186" s="125" t="s">
        <v>2863</v>
      </c>
      <c r="BR186" s="125" t="s">
        <v>2863</v>
      </c>
      <c r="BS186" s="125" t="s">
        <v>2978</v>
      </c>
      <c r="BT186" s="125" t="s">
        <v>2978</v>
      </c>
      <c r="BU186" s="2"/>
      <c r="BV186" s="3"/>
      <c r="BW186" s="3"/>
      <c r="BX186" s="3"/>
      <c r="BY186" s="3"/>
    </row>
    <row r="187" spans="1:77" ht="15">
      <c r="A187" s="66" t="s">
        <v>477</v>
      </c>
      <c r="B187" s="67"/>
      <c r="C187" s="67"/>
      <c r="D187" s="68">
        <v>100</v>
      </c>
      <c r="E187" s="70"/>
      <c r="F187" s="104" t="str">
        <f>HYPERLINK("http://pbs.twimg.com/profile_images/1253014874658967554/34xpMWEE_normal.jpg")</f>
        <v>http://pbs.twimg.com/profile_images/1253014874658967554/34xpMWEE_normal.jpg</v>
      </c>
      <c r="G187" s="67"/>
      <c r="H187" s="71" t="s">
        <v>477</v>
      </c>
      <c r="I187" s="72"/>
      <c r="J187" s="72"/>
      <c r="K187" s="71" t="s">
        <v>2186</v>
      </c>
      <c r="L187" s="75">
        <v>1</v>
      </c>
      <c r="M187" s="76">
        <v>7460.35888671875</v>
      </c>
      <c r="N187" s="76">
        <v>7436.6630859375</v>
      </c>
      <c r="O187" s="77"/>
      <c r="P187" s="78"/>
      <c r="Q187" s="78"/>
      <c r="R187" s="90"/>
      <c r="S187" s="48">
        <v>0</v>
      </c>
      <c r="T187" s="48">
        <v>2</v>
      </c>
      <c r="U187" s="49">
        <v>0</v>
      </c>
      <c r="V187" s="49">
        <v>0.026316</v>
      </c>
      <c r="W187" s="49">
        <v>0</v>
      </c>
      <c r="X187" s="49">
        <v>0.576762</v>
      </c>
      <c r="Y187" s="49">
        <v>0.5</v>
      </c>
      <c r="Z187" s="49">
        <v>0</v>
      </c>
      <c r="AA187" s="73">
        <v>187</v>
      </c>
      <c r="AB187" s="73"/>
      <c r="AC187" s="74"/>
      <c r="AD187" s="80" t="s">
        <v>1382</v>
      </c>
      <c r="AE187" s="88" t="s">
        <v>1605</v>
      </c>
      <c r="AF187" s="80">
        <v>1501</v>
      </c>
      <c r="AG187" s="80">
        <v>189</v>
      </c>
      <c r="AH187" s="80">
        <v>2563</v>
      </c>
      <c r="AI187" s="80">
        <v>3568</v>
      </c>
      <c r="AJ187" s="80"/>
      <c r="AK187" s="80" t="s">
        <v>1821</v>
      </c>
      <c r="AL187" s="80"/>
      <c r="AM187" s="85" t="str">
        <f>HYPERLINK("https://t.co/W8L49ilIsO")</f>
        <v>https://t.co/W8L49ilIsO</v>
      </c>
      <c r="AN187" s="80"/>
      <c r="AO187" s="82">
        <v>43340.31402777778</v>
      </c>
      <c r="AP187" s="85" t="str">
        <f>HYPERLINK("https://pbs.twimg.com/profile_banners/1034342872131063809/1585116966")</f>
        <v>https://pbs.twimg.com/profile_banners/1034342872131063809/1585116966</v>
      </c>
      <c r="AQ187" s="80" t="b">
        <v>0</v>
      </c>
      <c r="AR187" s="80" t="b">
        <v>0</v>
      </c>
      <c r="AS187" s="80" t="b">
        <v>0</v>
      </c>
      <c r="AT187" s="80"/>
      <c r="AU187" s="80">
        <v>0</v>
      </c>
      <c r="AV187" s="85" t="str">
        <f>HYPERLINK("http://abs.twimg.com/images/themes/theme1/bg.png")</f>
        <v>http://abs.twimg.com/images/themes/theme1/bg.png</v>
      </c>
      <c r="AW187" s="80" t="b">
        <v>0</v>
      </c>
      <c r="AX187" s="80" t="s">
        <v>2002</v>
      </c>
      <c r="AY187" s="85" t="str">
        <f>HYPERLINK("https://twitter.com/jishnuen")</f>
        <v>https://twitter.com/jishnuen</v>
      </c>
      <c r="AZ187" s="80" t="s">
        <v>66</v>
      </c>
      <c r="BA187" s="80" t="str">
        <f>REPLACE(INDEX(GroupVertices[Group],MATCH(Vertices[[#This Row],[Vertex]],GroupVertices[Vertex],0)),1,1,"")</f>
        <v>4</v>
      </c>
      <c r="BB187" s="48">
        <v>1</v>
      </c>
      <c r="BC187" s="49">
        <v>3.125</v>
      </c>
      <c r="BD187" s="48">
        <v>1</v>
      </c>
      <c r="BE187" s="49">
        <v>3.125</v>
      </c>
      <c r="BF187" s="48">
        <v>0</v>
      </c>
      <c r="BG187" s="49">
        <v>0</v>
      </c>
      <c r="BH187" s="48">
        <v>30</v>
      </c>
      <c r="BI187" s="49">
        <v>93.75</v>
      </c>
      <c r="BJ187" s="48">
        <v>32</v>
      </c>
      <c r="BK187" s="48"/>
      <c r="BL187" s="48"/>
      <c r="BM187" s="48"/>
      <c r="BN187" s="48"/>
      <c r="BO187" s="48" t="s">
        <v>711</v>
      </c>
      <c r="BP187" s="48" t="s">
        <v>711</v>
      </c>
      <c r="BQ187" s="125" t="s">
        <v>2863</v>
      </c>
      <c r="BR187" s="125" t="s">
        <v>2863</v>
      </c>
      <c r="BS187" s="125" t="s">
        <v>2978</v>
      </c>
      <c r="BT187" s="125" t="s">
        <v>2978</v>
      </c>
      <c r="BU187" s="2"/>
      <c r="BV187" s="3"/>
      <c r="BW187" s="3"/>
      <c r="BX187" s="3"/>
      <c r="BY187" s="3"/>
    </row>
    <row r="188" spans="1:77" ht="15">
      <c r="A188" s="66" t="s">
        <v>478</v>
      </c>
      <c r="B188" s="67"/>
      <c r="C188" s="67"/>
      <c r="D188" s="68">
        <v>100</v>
      </c>
      <c r="E188" s="70"/>
      <c r="F188" s="104" t="str">
        <f>HYPERLINK("http://pbs.twimg.com/profile_images/1118940255237885955/MqZIDexM_normal.jpg")</f>
        <v>http://pbs.twimg.com/profile_images/1118940255237885955/MqZIDexM_normal.jpg</v>
      </c>
      <c r="G188" s="67"/>
      <c r="H188" s="71" t="s">
        <v>478</v>
      </c>
      <c r="I188" s="72"/>
      <c r="J188" s="72"/>
      <c r="K188" s="71" t="s">
        <v>2187</v>
      </c>
      <c r="L188" s="75">
        <v>1</v>
      </c>
      <c r="M188" s="76">
        <v>7324.1083984375</v>
      </c>
      <c r="N188" s="76">
        <v>8149.65673828125</v>
      </c>
      <c r="O188" s="77"/>
      <c r="P188" s="78"/>
      <c r="Q188" s="78"/>
      <c r="R188" s="90"/>
      <c r="S188" s="48">
        <v>0</v>
      </c>
      <c r="T188" s="48">
        <v>2</v>
      </c>
      <c r="U188" s="49">
        <v>0</v>
      </c>
      <c r="V188" s="49">
        <v>0.026316</v>
      </c>
      <c r="W188" s="49">
        <v>0</v>
      </c>
      <c r="X188" s="49">
        <v>0.576762</v>
      </c>
      <c r="Y188" s="49">
        <v>0.5</v>
      </c>
      <c r="Z188" s="49">
        <v>0</v>
      </c>
      <c r="AA188" s="73">
        <v>188</v>
      </c>
      <c r="AB188" s="73"/>
      <c r="AC188" s="74"/>
      <c r="AD188" s="80" t="s">
        <v>1383</v>
      </c>
      <c r="AE188" s="88" t="s">
        <v>1606</v>
      </c>
      <c r="AF188" s="80">
        <v>1047</v>
      </c>
      <c r="AG188" s="80">
        <v>459</v>
      </c>
      <c r="AH188" s="80">
        <v>805</v>
      </c>
      <c r="AI188" s="80">
        <v>2502</v>
      </c>
      <c r="AJ188" s="80"/>
      <c r="AK188" s="80" t="s">
        <v>1822</v>
      </c>
      <c r="AL188" s="80" t="s">
        <v>1972</v>
      </c>
      <c r="AM188" s="80"/>
      <c r="AN188" s="80"/>
      <c r="AO188" s="82">
        <v>39791.91923611111</v>
      </c>
      <c r="AP188" s="85" t="str">
        <f>HYPERLINK("https://pbs.twimg.com/profile_banners/18004059/1555611025")</f>
        <v>https://pbs.twimg.com/profile_banners/18004059/1555611025</v>
      </c>
      <c r="AQ188" s="80" t="b">
        <v>0</v>
      </c>
      <c r="AR188" s="80" t="b">
        <v>0</v>
      </c>
      <c r="AS188" s="80" t="b">
        <v>1</v>
      </c>
      <c r="AT188" s="80"/>
      <c r="AU188" s="80">
        <v>4</v>
      </c>
      <c r="AV188" s="85" t="str">
        <f>HYPERLINK("http://abs.twimg.com/images/themes/theme7/bg.gif")</f>
        <v>http://abs.twimg.com/images/themes/theme7/bg.gif</v>
      </c>
      <c r="AW188" s="80" t="b">
        <v>0</v>
      </c>
      <c r="AX188" s="80" t="s">
        <v>2002</v>
      </c>
      <c r="AY188" s="85" t="str">
        <f>HYPERLINK("https://twitter.com/lilliefears")</f>
        <v>https://twitter.com/lilliefears</v>
      </c>
      <c r="AZ188" s="80" t="s">
        <v>66</v>
      </c>
      <c r="BA188" s="80" t="str">
        <f>REPLACE(INDEX(GroupVertices[Group],MATCH(Vertices[[#This Row],[Vertex]],GroupVertices[Vertex],0)),1,1,"")</f>
        <v>4</v>
      </c>
      <c r="BB188" s="48">
        <v>1</v>
      </c>
      <c r="BC188" s="49">
        <v>3.125</v>
      </c>
      <c r="BD188" s="48">
        <v>1</v>
      </c>
      <c r="BE188" s="49">
        <v>3.125</v>
      </c>
      <c r="BF188" s="48">
        <v>0</v>
      </c>
      <c r="BG188" s="49">
        <v>0</v>
      </c>
      <c r="BH188" s="48">
        <v>30</v>
      </c>
      <c r="BI188" s="49">
        <v>93.75</v>
      </c>
      <c r="BJ188" s="48">
        <v>32</v>
      </c>
      <c r="BK188" s="48"/>
      <c r="BL188" s="48"/>
      <c r="BM188" s="48"/>
      <c r="BN188" s="48"/>
      <c r="BO188" s="48" t="s">
        <v>711</v>
      </c>
      <c r="BP188" s="48" t="s">
        <v>711</v>
      </c>
      <c r="BQ188" s="125" t="s">
        <v>2863</v>
      </c>
      <c r="BR188" s="125" t="s">
        <v>2863</v>
      </c>
      <c r="BS188" s="125" t="s">
        <v>2978</v>
      </c>
      <c r="BT188" s="125" t="s">
        <v>2978</v>
      </c>
      <c r="BU188" s="2"/>
      <c r="BV188" s="3"/>
      <c r="BW188" s="3"/>
      <c r="BX188" s="3"/>
      <c r="BY188" s="3"/>
    </row>
    <row r="189" spans="1:77" ht="15">
      <c r="A189" s="66" t="s">
        <v>479</v>
      </c>
      <c r="B189" s="67"/>
      <c r="C189" s="67"/>
      <c r="D189" s="68">
        <v>100</v>
      </c>
      <c r="E189" s="70"/>
      <c r="F189" s="104" t="str">
        <f>HYPERLINK("http://pbs.twimg.com/profile_images/1032592659595055104/ohokXuz4_normal.jpg")</f>
        <v>http://pbs.twimg.com/profile_images/1032592659595055104/ohokXuz4_normal.jpg</v>
      </c>
      <c r="G189" s="67"/>
      <c r="H189" s="71" t="s">
        <v>479</v>
      </c>
      <c r="I189" s="72"/>
      <c r="J189" s="72"/>
      <c r="K189" s="71" t="s">
        <v>2188</v>
      </c>
      <c r="L189" s="75">
        <v>1</v>
      </c>
      <c r="M189" s="76">
        <v>8440.43359375</v>
      </c>
      <c r="N189" s="76">
        <v>6574.48681640625</v>
      </c>
      <c r="O189" s="77"/>
      <c r="P189" s="78"/>
      <c r="Q189" s="78"/>
      <c r="R189" s="90"/>
      <c r="S189" s="48">
        <v>0</v>
      </c>
      <c r="T189" s="48">
        <v>2</v>
      </c>
      <c r="U189" s="49">
        <v>0</v>
      </c>
      <c r="V189" s="49">
        <v>0.026316</v>
      </c>
      <c r="W189" s="49">
        <v>0</v>
      </c>
      <c r="X189" s="49">
        <v>0.576762</v>
      </c>
      <c r="Y189" s="49">
        <v>0.5</v>
      </c>
      <c r="Z189" s="49">
        <v>0</v>
      </c>
      <c r="AA189" s="73">
        <v>189</v>
      </c>
      <c r="AB189" s="73"/>
      <c r="AC189" s="74"/>
      <c r="AD189" s="80" t="s">
        <v>1384</v>
      </c>
      <c r="AE189" s="88" t="s">
        <v>1607</v>
      </c>
      <c r="AF189" s="80">
        <v>522</v>
      </c>
      <c r="AG189" s="80">
        <v>77</v>
      </c>
      <c r="AH189" s="80">
        <v>136</v>
      </c>
      <c r="AI189" s="80">
        <v>143</v>
      </c>
      <c r="AJ189" s="80"/>
      <c r="AK189" s="80"/>
      <c r="AL189" s="80" t="s">
        <v>1973</v>
      </c>
      <c r="AM189" s="80"/>
      <c r="AN189" s="80"/>
      <c r="AO189" s="82">
        <v>41316.3803125</v>
      </c>
      <c r="AP189" s="80"/>
      <c r="AQ189" s="80" t="b">
        <v>1</v>
      </c>
      <c r="AR189" s="80" t="b">
        <v>0</v>
      </c>
      <c r="AS189" s="80" t="b">
        <v>0</v>
      </c>
      <c r="AT189" s="80"/>
      <c r="AU189" s="80">
        <v>0</v>
      </c>
      <c r="AV189" s="85" t="str">
        <f>HYPERLINK("http://abs.twimg.com/images/themes/theme1/bg.png")</f>
        <v>http://abs.twimg.com/images/themes/theme1/bg.png</v>
      </c>
      <c r="AW189" s="80" t="b">
        <v>0</v>
      </c>
      <c r="AX189" s="80" t="s">
        <v>2002</v>
      </c>
      <c r="AY189" s="85" t="str">
        <f>HYPERLINK("https://twitter.com/fabtresor")</f>
        <v>https://twitter.com/fabtresor</v>
      </c>
      <c r="AZ189" s="80" t="s">
        <v>66</v>
      </c>
      <c r="BA189" s="80" t="str">
        <f>REPLACE(INDEX(GroupVertices[Group],MATCH(Vertices[[#This Row],[Vertex]],GroupVertices[Vertex],0)),1,1,"")</f>
        <v>4</v>
      </c>
      <c r="BB189" s="48">
        <v>1</v>
      </c>
      <c r="BC189" s="49">
        <v>3.125</v>
      </c>
      <c r="BD189" s="48">
        <v>1</v>
      </c>
      <c r="BE189" s="49">
        <v>3.125</v>
      </c>
      <c r="BF189" s="48">
        <v>0</v>
      </c>
      <c r="BG189" s="49">
        <v>0</v>
      </c>
      <c r="BH189" s="48">
        <v>30</v>
      </c>
      <c r="BI189" s="49">
        <v>93.75</v>
      </c>
      <c r="BJ189" s="48">
        <v>32</v>
      </c>
      <c r="BK189" s="48"/>
      <c r="BL189" s="48"/>
      <c r="BM189" s="48"/>
      <c r="BN189" s="48"/>
      <c r="BO189" s="48" t="s">
        <v>711</v>
      </c>
      <c r="BP189" s="48" t="s">
        <v>711</v>
      </c>
      <c r="BQ189" s="125" t="s">
        <v>2863</v>
      </c>
      <c r="BR189" s="125" t="s">
        <v>2863</v>
      </c>
      <c r="BS189" s="125" t="s">
        <v>2978</v>
      </c>
      <c r="BT189" s="125" t="s">
        <v>2978</v>
      </c>
      <c r="BU189" s="2"/>
      <c r="BV189" s="3"/>
      <c r="BW189" s="3"/>
      <c r="BX189" s="3"/>
      <c r="BY189" s="3"/>
    </row>
    <row r="190" spans="1:77" ht="15">
      <c r="A190" s="66" t="s">
        <v>480</v>
      </c>
      <c r="B190" s="67"/>
      <c r="C190" s="67"/>
      <c r="D190" s="68">
        <v>100.47846842105263</v>
      </c>
      <c r="E190" s="70"/>
      <c r="F190" s="104" t="str">
        <f>HYPERLINK("http://pbs.twimg.com/profile_images/378800000673897055/01c579ff50df639e0c423f03534ec74d_normal.jpeg")</f>
        <v>http://pbs.twimg.com/profile_images/378800000673897055/01c579ff50df639e0c423f03534ec74d_normal.jpeg</v>
      </c>
      <c r="G190" s="67"/>
      <c r="H190" s="71" t="s">
        <v>480</v>
      </c>
      <c r="I190" s="72"/>
      <c r="J190" s="72"/>
      <c r="K190" s="71" t="s">
        <v>2189</v>
      </c>
      <c r="L190" s="75">
        <v>1.4245250733302195</v>
      </c>
      <c r="M190" s="76">
        <v>5211.1875</v>
      </c>
      <c r="N190" s="76">
        <v>8993.837890625</v>
      </c>
      <c r="O190" s="77"/>
      <c r="P190" s="78"/>
      <c r="Q190" s="78"/>
      <c r="R190" s="90"/>
      <c r="S190" s="48">
        <v>0</v>
      </c>
      <c r="T190" s="48">
        <v>2</v>
      </c>
      <c r="U190" s="49">
        <v>0.090909</v>
      </c>
      <c r="V190" s="49">
        <v>0.02</v>
      </c>
      <c r="W190" s="49">
        <v>0</v>
      </c>
      <c r="X190" s="49">
        <v>0.508988</v>
      </c>
      <c r="Y190" s="49">
        <v>0</v>
      </c>
      <c r="Z190" s="49">
        <v>0</v>
      </c>
      <c r="AA190" s="73">
        <v>190</v>
      </c>
      <c r="AB190" s="73"/>
      <c r="AC190" s="74"/>
      <c r="AD190" s="80" t="s">
        <v>1385</v>
      </c>
      <c r="AE190" s="88" t="s">
        <v>1608</v>
      </c>
      <c r="AF190" s="80">
        <v>162</v>
      </c>
      <c r="AG190" s="80">
        <v>530</v>
      </c>
      <c r="AH190" s="80">
        <v>869</v>
      </c>
      <c r="AI190" s="80">
        <v>579</v>
      </c>
      <c r="AJ190" s="80"/>
      <c r="AK190" s="80" t="s">
        <v>1823</v>
      </c>
      <c r="AL190" s="80"/>
      <c r="AM190" s="80"/>
      <c r="AN190" s="80"/>
      <c r="AO190" s="82">
        <v>41578.59716435185</v>
      </c>
      <c r="AP190" s="80"/>
      <c r="AQ190" s="80" t="b">
        <v>1</v>
      </c>
      <c r="AR190" s="80" t="b">
        <v>0</v>
      </c>
      <c r="AS190" s="80" t="b">
        <v>1</v>
      </c>
      <c r="AT190" s="80"/>
      <c r="AU190" s="80">
        <v>7</v>
      </c>
      <c r="AV190" s="85" t="str">
        <f>HYPERLINK("http://abs.twimg.com/images/themes/theme1/bg.png")</f>
        <v>http://abs.twimg.com/images/themes/theme1/bg.png</v>
      </c>
      <c r="AW190" s="80" t="b">
        <v>0</v>
      </c>
      <c r="AX190" s="80" t="s">
        <v>2002</v>
      </c>
      <c r="AY190" s="85" t="str">
        <f>HYPERLINK("https://twitter.com/downlandsgeog")</f>
        <v>https://twitter.com/downlandsgeog</v>
      </c>
      <c r="AZ190" s="80" t="s">
        <v>66</v>
      </c>
      <c r="BA190" s="80" t="str">
        <f>REPLACE(INDEX(GroupVertices[Group],MATCH(Vertices[[#This Row],[Vertex]],GroupVertices[Vertex],0)),1,1,"")</f>
        <v>3</v>
      </c>
      <c r="BB190" s="48">
        <v>1</v>
      </c>
      <c r="BC190" s="49">
        <v>5.2631578947368425</v>
      </c>
      <c r="BD190" s="48">
        <v>0</v>
      </c>
      <c r="BE190" s="49">
        <v>0</v>
      </c>
      <c r="BF190" s="48">
        <v>0</v>
      </c>
      <c r="BG190" s="49">
        <v>0</v>
      </c>
      <c r="BH190" s="48">
        <v>18</v>
      </c>
      <c r="BI190" s="49">
        <v>94.73684210526316</v>
      </c>
      <c r="BJ190" s="48">
        <v>19</v>
      </c>
      <c r="BK190" s="48" t="s">
        <v>2724</v>
      </c>
      <c r="BL190" s="48" t="s">
        <v>2724</v>
      </c>
      <c r="BM190" s="48" t="s">
        <v>678</v>
      </c>
      <c r="BN190" s="48" t="s">
        <v>678</v>
      </c>
      <c r="BO190" s="48" t="s">
        <v>703</v>
      </c>
      <c r="BP190" s="48" t="s">
        <v>703</v>
      </c>
      <c r="BQ190" s="125" t="s">
        <v>3091</v>
      </c>
      <c r="BR190" s="125" t="s">
        <v>3091</v>
      </c>
      <c r="BS190" s="125" t="s">
        <v>2977</v>
      </c>
      <c r="BT190" s="125" t="s">
        <v>2977</v>
      </c>
      <c r="BU190" s="2"/>
      <c r="BV190" s="3"/>
      <c r="BW190" s="3"/>
      <c r="BX190" s="3"/>
      <c r="BY190" s="3"/>
    </row>
    <row r="191" spans="1:77" ht="15">
      <c r="A191" s="66" t="s">
        <v>481</v>
      </c>
      <c r="B191" s="67"/>
      <c r="C191" s="67"/>
      <c r="D191" s="68">
        <v>100.47846842105263</v>
      </c>
      <c r="E191" s="70"/>
      <c r="F191" s="104" t="str">
        <f>HYPERLINK("http://pbs.twimg.com/profile_images/1251234603244883968/aNyiY-o4_normal.jpg")</f>
        <v>http://pbs.twimg.com/profile_images/1251234603244883968/aNyiY-o4_normal.jpg</v>
      </c>
      <c r="G191" s="67"/>
      <c r="H191" s="71" t="s">
        <v>481</v>
      </c>
      <c r="I191" s="72"/>
      <c r="J191" s="72"/>
      <c r="K191" s="71" t="s">
        <v>2190</v>
      </c>
      <c r="L191" s="75">
        <v>1.4245250733302195</v>
      </c>
      <c r="M191" s="76">
        <v>5706.2939453125</v>
      </c>
      <c r="N191" s="76">
        <v>7360.57421875</v>
      </c>
      <c r="O191" s="77"/>
      <c r="P191" s="78"/>
      <c r="Q191" s="78"/>
      <c r="R191" s="90"/>
      <c r="S191" s="48">
        <v>0</v>
      </c>
      <c r="T191" s="48">
        <v>3</v>
      </c>
      <c r="U191" s="49">
        <v>0.090909</v>
      </c>
      <c r="V191" s="49">
        <v>0.020408</v>
      </c>
      <c r="W191" s="49">
        <v>0</v>
      </c>
      <c r="X191" s="49">
        <v>0.681054</v>
      </c>
      <c r="Y191" s="49">
        <v>0.3333333333333333</v>
      </c>
      <c r="Z191" s="49">
        <v>0</v>
      </c>
      <c r="AA191" s="73">
        <v>191</v>
      </c>
      <c r="AB191" s="73"/>
      <c r="AC191" s="74"/>
      <c r="AD191" s="80" t="s">
        <v>1386</v>
      </c>
      <c r="AE191" s="88" t="s">
        <v>1609</v>
      </c>
      <c r="AF191" s="80">
        <v>2598</v>
      </c>
      <c r="AG191" s="80">
        <v>1738</v>
      </c>
      <c r="AH191" s="80">
        <v>36761</v>
      </c>
      <c r="AI191" s="80">
        <v>31214</v>
      </c>
      <c r="AJ191" s="80"/>
      <c r="AK191" s="80" t="s">
        <v>1824</v>
      </c>
      <c r="AL191" s="80" t="s">
        <v>1974</v>
      </c>
      <c r="AM191" s="80"/>
      <c r="AN191" s="80"/>
      <c r="AO191" s="82">
        <v>39845.9265625</v>
      </c>
      <c r="AP191" s="85" t="str">
        <f>HYPERLINK("https://pbs.twimg.com/profile_banners/19880209/1562524486")</f>
        <v>https://pbs.twimg.com/profile_banners/19880209/1562524486</v>
      </c>
      <c r="AQ191" s="80" t="b">
        <v>0</v>
      </c>
      <c r="AR191" s="80" t="b">
        <v>0</v>
      </c>
      <c r="AS191" s="80" t="b">
        <v>1</v>
      </c>
      <c r="AT191" s="80"/>
      <c r="AU191" s="80">
        <v>87</v>
      </c>
      <c r="AV191" s="85" t="str">
        <f>HYPERLINK("http://abs.twimg.com/images/themes/theme9/bg.gif")</f>
        <v>http://abs.twimg.com/images/themes/theme9/bg.gif</v>
      </c>
      <c r="AW191" s="80" t="b">
        <v>0</v>
      </c>
      <c r="AX191" s="80" t="s">
        <v>2002</v>
      </c>
      <c r="AY191" s="85" t="str">
        <f>HYPERLINK("https://twitter.com/colinnwalker")</f>
        <v>https://twitter.com/colinnwalker</v>
      </c>
      <c r="AZ191" s="80" t="s">
        <v>66</v>
      </c>
      <c r="BA191" s="80" t="str">
        <f>REPLACE(INDEX(GroupVertices[Group],MATCH(Vertices[[#This Row],[Vertex]],GroupVertices[Vertex],0)),1,1,"")</f>
        <v>3</v>
      </c>
      <c r="BB191" s="48">
        <v>1</v>
      </c>
      <c r="BC191" s="49">
        <v>4.761904761904762</v>
      </c>
      <c r="BD191" s="48">
        <v>0</v>
      </c>
      <c r="BE191" s="49">
        <v>0</v>
      </c>
      <c r="BF191" s="48">
        <v>0</v>
      </c>
      <c r="BG191" s="49">
        <v>0</v>
      </c>
      <c r="BH191" s="48">
        <v>20</v>
      </c>
      <c r="BI191" s="49">
        <v>95.23809523809524</v>
      </c>
      <c r="BJ191" s="48">
        <v>21</v>
      </c>
      <c r="BK191" s="48"/>
      <c r="BL191" s="48"/>
      <c r="BM191" s="48"/>
      <c r="BN191" s="48"/>
      <c r="BO191" s="48" t="s">
        <v>703</v>
      </c>
      <c r="BP191" s="48" t="s">
        <v>703</v>
      </c>
      <c r="BQ191" s="125" t="s">
        <v>3093</v>
      </c>
      <c r="BR191" s="125" t="s">
        <v>3093</v>
      </c>
      <c r="BS191" s="125" t="s">
        <v>3122</v>
      </c>
      <c r="BT191" s="125" t="s">
        <v>3122</v>
      </c>
      <c r="BU191" s="2"/>
      <c r="BV191" s="3"/>
      <c r="BW191" s="3"/>
      <c r="BX191" s="3"/>
      <c r="BY191" s="3"/>
    </row>
    <row r="192" spans="1:77" ht="15">
      <c r="A192" s="66" t="s">
        <v>483</v>
      </c>
      <c r="B192" s="67"/>
      <c r="C192" s="67"/>
      <c r="D192" s="68">
        <v>103.50877368421052</v>
      </c>
      <c r="E192" s="70"/>
      <c r="F192" s="104" t="str">
        <f>HYPERLINK("http://pbs.twimg.com/profile_images/807327786100752384/Rz3_8mdP_normal.jpg")</f>
        <v>http://pbs.twimg.com/profile_images/807327786100752384/Rz3_8mdP_normal.jpg</v>
      </c>
      <c r="G192" s="67"/>
      <c r="H192" s="71" t="s">
        <v>483</v>
      </c>
      <c r="I192" s="72"/>
      <c r="J192" s="72"/>
      <c r="K192" s="71" t="s">
        <v>2191</v>
      </c>
      <c r="L192" s="75">
        <v>4.113188540868753</v>
      </c>
      <c r="M192" s="76">
        <v>5760.84228515625</v>
      </c>
      <c r="N192" s="76">
        <v>5047.1689453125</v>
      </c>
      <c r="O192" s="77"/>
      <c r="P192" s="78"/>
      <c r="Q192" s="78"/>
      <c r="R192" s="90"/>
      <c r="S192" s="48">
        <v>2</v>
      </c>
      <c r="T192" s="48">
        <v>4</v>
      </c>
      <c r="U192" s="49">
        <v>0.666667</v>
      </c>
      <c r="V192" s="49">
        <v>0.029412</v>
      </c>
      <c r="W192" s="49">
        <v>0</v>
      </c>
      <c r="X192" s="49">
        <v>1.030866</v>
      </c>
      <c r="Y192" s="49">
        <v>0.5</v>
      </c>
      <c r="Z192" s="49">
        <v>0.5</v>
      </c>
      <c r="AA192" s="73">
        <v>192</v>
      </c>
      <c r="AB192" s="73"/>
      <c r="AC192" s="74"/>
      <c r="AD192" s="80" t="s">
        <v>1387</v>
      </c>
      <c r="AE192" s="88" t="s">
        <v>1610</v>
      </c>
      <c r="AF192" s="80">
        <v>1360</v>
      </c>
      <c r="AG192" s="80">
        <v>2691</v>
      </c>
      <c r="AH192" s="80">
        <v>6579</v>
      </c>
      <c r="AI192" s="80">
        <v>1226</v>
      </c>
      <c r="AJ192" s="80"/>
      <c r="AK192" s="80" t="s">
        <v>1825</v>
      </c>
      <c r="AL192" s="80" t="s">
        <v>1975</v>
      </c>
      <c r="AM192" s="85" t="str">
        <f>HYPERLINK("https://t.co/eZjTTX97aw")</f>
        <v>https://t.co/eZjTTX97aw</v>
      </c>
      <c r="AN192" s="80"/>
      <c r="AO192" s="82">
        <v>39961.9603587963</v>
      </c>
      <c r="AP192" s="85" t="str">
        <f>HYPERLINK("https://pbs.twimg.com/profile_banners/43219550/1575285662")</f>
        <v>https://pbs.twimg.com/profile_banners/43219550/1575285662</v>
      </c>
      <c r="AQ192" s="80" t="b">
        <v>0</v>
      </c>
      <c r="AR192" s="80" t="b">
        <v>0</v>
      </c>
      <c r="AS192" s="80" t="b">
        <v>0</v>
      </c>
      <c r="AT192" s="80"/>
      <c r="AU192" s="80">
        <v>185</v>
      </c>
      <c r="AV192" s="85" t="str">
        <f>HYPERLINK("http://abs.twimg.com/images/themes/theme1/bg.png")</f>
        <v>http://abs.twimg.com/images/themes/theme1/bg.png</v>
      </c>
      <c r="AW192" s="80" t="b">
        <v>0</v>
      </c>
      <c r="AX192" s="80" t="s">
        <v>2002</v>
      </c>
      <c r="AY192" s="85" t="str">
        <f>HYPERLINK("https://twitter.com/able2extract")</f>
        <v>https://twitter.com/able2extract</v>
      </c>
      <c r="AZ192" s="80" t="s">
        <v>66</v>
      </c>
      <c r="BA192" s="80" t="str">
        <f>REPLACE(INDEX(GroupVertices[Group],MATCH(Vertices[[#This Row],[Vertex]],GroupVertices[Vertex],0)),1,1,"")</f>
        <v>5</v>
      </c>
      <c r="BB192" s="48">
        <v>1</v>
      </c>
      <c r="BC192" s="49">
        <v>2.272727272727273</v>
      </c>
      <c r="BD192" s="48">
        <v>0</v>
      </c>
      <c r="BE192" s="49">
        <v>0</v>
      </c>
      <c r="BF192" s="48">
        <v>0</v>
      </c>
      <c r="BG192" s="49">
        <v>0</v>
      </c>
      <c r="BH192" s="48">
        <v>43</v>
      </c>
      <c r="BI192" s="49">
        <v>97.72727272727273</v>
      </c>
      <c r="BJ192" s="48">
        <v>44</v>
      </c>
      <c r="BK192" s="48"/>
      <c r="BL192" s="48"/>
      <c r="BM192" s="48"/>
      <c r="BN192" s="48"/>
      <c r="BO192" s="48" t="s">
        <v>707</v>
      </c>
      <c r="BP192" s="48" t="s">
        <v>707</v>
      </c>
      <c r="BQ192" s="125" t="s">
        <v>3100</v>
      </c>
      <c r="BR192" s="125" t="s">
        <v>3100</v>
      </c>
      <c r="BS192" s="125" t="s">
        <v>3127</v>
      </c>
      <c r="BT192" s="125" t="s">
        <v>3127</v>
      </c>
      <c r="BU192" s="2"/>
      <c r="BV192" s="3"/>
      <c r="BW192" s="3"/>
      <c r="BX192" s="3"/>
      <c r="BY192" s="3"/>
    </row>
    <row r="193" spans="1:77" ht="15">
      <c r="A193" s="66" t="s">
        <v>484</v>
      </c>
      <c r="B193" s="67"/>
      <c r="C193" s="67"/>
      <c r="D193" s="68">
        <v>103.50877368421052</v>
      </c>
      <c r="E193" s="70"/>
      <c r="F193" s="104" t="str">
        <f>HYPERLINK("http://pbs.twimg.com/profile_images/1042288947966095360/nzEcnwwC_normal.jpg")</f>
        <v>http://pbs.twimg.com/profile_images/1042288947966095360/nzEcnwwC_normal.jpg</v>
      </c>
      <c r="G193" s="67"/>
      <c r="H193" s="71" t="s">
        <v>484</v>
      </c>
      <c r="I193" s="72"/>
      <c r="J193" s="72"/>
      <c r="K193" s="71" t="s">
        <v>2192</v>
      </c>
      <c r="L193" s="75">
        <v>4.113188540868753</v>
      </c>
      <c r="M193" s="76">
        <v>5869.537109375</v>
      </c>
      <c r="N193" s="76">
        <v>4502.6875</v>
      </c>
      <c r="O193" s="77"/>
      <c r="P193" s="78"/>
      <c r="Q193" s="78"/>
      <c r="R193" s="90"/>
      <c r="S193" s="48">
        <v>2</v>
      </c>
      <c r="T193" s="48">
        <v>4</v>
      </c>
      <c r="U193" s="49">
        <v>0.666667</v>
      </c>
      <c r="V193" s="49">
        <v>0.029412</v>
      </c>
      <c r="W193" s="49">
        <v>0</v>
      </c>
      <c r="X193" s="49">
        <v>1.030866</v>
      </c>
      <c r="Y193" s="49">
        <v>0.5</v>
      </c>
      <c r="Z193" s="49">
        <v>0.5</v>
      </c>
      <c r="AA193" s="73">
        <v>193</v>
      </c>
      <c r="AB193" s="73"/>
      <c r="AC193" s="74"/>
      <c r="AD193" s="80" t="s">
        <v>1388</v>
      </c>
      <c r="AE193" s="88" t="s">
        <v>1611</v>
      </c>
      <c r="AF193" s="80">
        <v>6323</v>
      </c>
      <c r="AG193" s="80">
        <v>5864</v>
      </c>
      <c r="AH193" s="80">
        <v>4363</v>
      </c>
      <c r="AI193" s="80">
        <v>2473</v>
      </c>
      <c r="AJ193" s="80"/>
      <c r="AK193" s="80" t="s">
        <v>1826</v>
      </c>
      <c r="AL193" s="80" t="s">
        <v>1976</v>
      </c>
      <c r="AM193" s="85" t="str">
        <f>HYPERLINK("http://t.co/7LVixge29F")</f>
        <v>http://t.co/7LVixge29F</v>
      </c>
      <c r="AN193" s="80"/>
      <c r="AO193" s="82">
        <v>40932.25475694444</v>
      </c>
      <c r="AP193" s="85" t="str">
        <f>HYPERLINK("https://pbs.twimg.com/profile_banners/472684573/1585186654")</f>
        <v>https://pbs.twimg.com/profile_banners/472684573/1585186654</v>
      </c>
      <c r="AQ193" s="80" t="b">
        <v>0</v>
      </c>
      <c r="AR193" s="80" t="b">
        <v>0</v>
      </c>
      <c r="AS193" s="80" t="b">
        <v>0</v>
      </c>
      <c r="AT193" s="80"/>
      <c r="AU193" s="80">
        <v>248</v>
      </c>
      <c r="AV193" s="85" t="str">
        <f>HYPERLINK("http://abs.twimg.com/images/themes/theme1/bg.png")</f>
        <v>http://abs.twimg.com/images/themes/theme1/bg.png</v>
      </c>
      <c r="AW193" s="80" t="b">
        <v>0</v>
      </c>
      <c r="AX193" s="80" t="s">
        <v>2002</v>
      </c>
      <c r="AY193" s="85" t="str">
        <f>HYPERLINK("https://twitter.com/easel_ly")</f>
        <v>https://twitter.com/easel_ly</v>
      </c>
      <c r="AZ193" s="80" t="s">
        <v>66</v>
      </c>
      <c r="BA193" s="80" t="str">
        <f>REPLACE(INDEX(GroupVertices[Group],MATCH(Vertices[[#This Row],[Vertex]],GroupVertices[Vertex],0)),1,1,"")</f>
        <v>5</v>
      </c>
      <c r="BB193" s="48">
        <v>1</v>
      </c>
      <c r="BC193" s="49">
        <v>2.272727272727273</v>
      </c>
      <c r="BD193" s="48">
        <v>0</v>
      </c>
      <c r="BE193" s="49">
        <v>0</v>
      </c>
      <c r="BF193" s="48">
        <v>0</v>
      </c>
      <c r="BG193" s="49">
        <v>0</v>
      </c>
      <c r="BH193" s="48">
        <v>43</v>
      </c>
      <c r="BI193" s="49">
        <v>97.72727272727273</v>
      </c>
      <c r="BJ193" s="48">
        <v>44</v>
      </c>
      <c r="BK193" s="48"/>
      <c r="BL193" s="48"/>
      <c r="BM193" s="48"/>
      <c r="BN193" s="48"/>
      <c r="BO193" s="48" t="s">
        <v>707</v>
      </c>
      <c r="BP193" s="48" t="s">
        <v>707</v>
      </c>
      <c r="BQ193" s="125" t="s">
        <v>3100</v>
      </c>
      <c r="BR193" s="125" t="s">
        <v>3100</v>
      </c>
      <c r="BS193" s="125" t="s">
        <v>3127</v>
      </c>
      <c r="BT193" s="125" t="s">
        <v>3127</v>
      </c>
      <c r="BU193" s="2"/>
      <c r="BV193" s="3"/>
      <c r="BW193" s="3"/>
      <c r="BX193" s="3"/>
      <c r="BY193" s="3"/>
    </row>
    <row r="194" spans="1:77" ht="15">
      <c r="A194" s="66" t="s">
        <v>580</v>
      </c>
      <c r="B194" s="67"/>
      <c r="C194" s="67"/>
      <c r="D194" s="68">
        <v>100</v>
      </c>
      <c r="E194" s="70"/>
      <c r="F194" s="104" t="str">
        <f>HYPERLINK("http://pbs.twimg.com/profile_images/1192108627017916417/iuQ8t-PK_normal.jpg")</f>
        <v>http://pbs.twimg.com/profile_images/1192108627017916417/iuQ8t-PK_normal.jpg</v>
      </c>
      <c r="G194" s="67"/>
      <c r="H194" s="71" t="s">
        <v>580</v>
      </c>
      <c r="I194" s="72"/>
      <c r="J194" s="72"/>
      <c r="K194" s="71" t="s">
        <v>2193</v>
      </c>
      <c r="L194" s="75">
        <v>1</v>
      </c>
      <c r="M194" s="76">
        <v>5880.51611328125</v>
      </c>
      <c r="N194" s="76">
        <v>3861.16064453125</v>
      </c>
      <c r="O194" s="77"/>
      <c r="P194" s="78"/>
      <c r="Q194" s="78"/>
      <c r="R194" s="90"/>
      <c r="S194" s="48">
        <v>3</v>
      </c>
      <c r="T194" s="48">
        <v>0</v>
      </c>
      <c r="U194" s="49">
        <v>0</v>
      </c>
      <c r="V194" s="49">
        <v>0.028571</v>
      </c>
      <c r="W194" s="49">
        <v>0</v>
      </c>
      <c r="X194" s="49">
        <v>0.797824</v>
      </c>
      <c r="Y194" s="49">
        <v>1</v>
      </c>
      <c r="Z194" s="49">
        <v>0</v>
      </c>
      <c r="AA194" s="73">
        <v>194</v>
      </c>
      <c r="AB194" s="73"/>
      <c r="AC194" s="74"/>
      <c r="AD194" s="80" t="s">
        <v>1389</v>
      </c>
      <c r="AE194" s="88" t="s">
        <v>1612</v>
      </c>
      <c r="AF194" s="80">
        <v>2</v>
      </c>
      <c r="AG194" s="80">
        <v>849</v>
      </c>
      <c r="AH194" s="80">
        <v>167</v>
      </c>
      <c r="AI194" s="80">
        <v>163</v>
      </c>
      <c r="AJ194" s="80"/>
      <c r="AK194" s="80" t="s">
        <v>1827</v>
      </c>
      <c r="AL194" s="80"/>
      <c r="AM194" s="85" t="str">
        <f>HYPERLINK("https://t.co/xJOLm7kQLY")</f>
        <v>https://t.co/xJOLm7kQLY</v>
      </c>
      <c r="AN194" s="80"/>
      <c r="AO194" s="82">
        <v>43758.330243055556</v>
      </c>
      <c r="AP194" s="85" t="str">
        <f>HYPERLINK("https://pbs.twimg.com/profile_banners/1185826789454729216/1583229334")</f>
        <v>https://pbs.twimg.com/profile_banners/1185826789454729216/1583229334</v>
      </c>
      <c r="AQ194" s="80" t="b">
        <v>1</v>
      </c>
      <c r="AR194" s="80" t="b">
        <v>0</v>
      </c>
      <c r="AS194" s="80" t="b">
        <v>0</v>
      </c>
      <c r="AT194" s="80"/>
      <c r="AU194" s="80">
        <v>20</v>
      </c>
      <c r="AV194" s="80"/>
      <c r="AW194" s="80" t="b">
        <v>0</v>
      </c>
      <c r="AX194" s="80" t="s">
        <v>2002</v>
      </c>
      <c r="AY194" s="85" t="str">
        <f>HYPERLINK("https://twitter.com/mailbrew")</f>
        <v>https://twitter.com/mailbrew</v>
      </c>
      <c r="AZ194" s="80" t="s">
        <v>65</v>
      </c>
      <c r="BA194" s="80" t="str">
        <f>REPLACE(INDEX(GroupVertices[Group],MATCH(Vertices[[#This Row],[Vertex]],GroupVertices[Vertex],0)),1,1,"")</f>
        <v>5</v>
      </c>
      <c r="BB194" s="48"/>
      <c r="BC194" s="49"/>
      <c r="BD194" s="48"/>
      <c r="BE194" s="49"/>
      <c r="BF194" s="48"/>
      <c r="BG194" s="49"/>
      <c r="BH194" s="48"/>
      <c r="BI194" s="49"/>
      <c r="BJ194" s="48"/>
      <c r="BK194" s="48"/>
      <c r="BL194" s="48"/>
      <c r="BM194" s="48"/>
      <c r="BN194" s="48"/>
      <c r="BO194" s="48"/>
      <c r="BP194" s="48"/>
      <c r="BQ194" s="48"/>
      <c r="BR194" s="48"/>
      <c r="BS194" s="48"/>
      <c r="BT194" s="48"/>
      <c r="BU194" s="2"/>
      <c r="BV194" s="3"/>
      <c r="BW194" s="3"/>
      <c r="BX194" s="3"/>
      <c r="BY194" s="3"/>
    </row>
    <row r="195" spans="1:77" ht="15">
      <c r="A195" s="66" t="s">
        <v>581</v>
      </c>
      <c r="B195" s="67"/>
      <c r="C195" s="67"/>
      <c r="D195" s="68">
        <v>100</v>
      </c>
      <c r="E195" s="70"/>
      <c r="F195" s="104" t="str">
        <f>HYPERLINK("http://pbs.twimg.com/profile_images/1269920312856121344/svptMVBc_normal.jpg")</f>
        <v>http://pbs.twimg.com/profile_images/1269920312856121344/svptMVBc_normal.jpg</v>
      </c>
      <c r="G195" s="67"/>
      <c r="H195" s="71" t="s">
        <v>581</v>
      </c>
      <c r="I195" s="72"/>
      <c r="J195" s="72"/>
      <c r="K195" s="71" t="s">
        <v>2194</v>
      </c>
      <c r="L195" s="75">
        <v>1</v>
      </c>
      <c r="M195" s="76">
        <v>5621.09814453125</v>
      </c>
      <c r="N195" s="76">
        <v>5605.908203125</v>
      </c>
      <c r="O195" s="77"/>
      <c r="P195" s="78"/>
      <c r="Q195" s="78"/>
      <c r="R195" s="90"/>
      <c r="S195" s="48">
        <v>3</v>
      </c>
      <c r="T195" s="48">
        <v>0</v>
      </c>
      <c r="U195" s="49">
        <v>0</v>
      </c>
      <c r="V195" s="49">
        <v>0.028571</v>
      </c>
      <c r="W195" s="49">
        <v>0</v>
      </c>
      <c r="X195" s="49">
        <v>0.797824</v>
      </c>
      <c r="Y195" s="49">
        <v>1</v>
      </c>
      <c r="Z195" s="49">
        <v>0</v>
      </c>
      <c r="AA195" s="73">
        <v>195</v>
      </c>
      <c r="AB195" s="73"/>
      <c r="AC195" s="74"/>
      <c r="AD195" s="80" t="s">
        <v>1390</v>
      </c>
      <c r="AE195" s="88" t="s">
        <v>1613</v>
      </c>
      <c r="AF195" s="80">
        <v>7</v>
      </c>
      <c r="AG195" s="80">
        <v>125892</v>
      </c>
      <c r="AH195" s="80">
        <v>337625</v>
      </c>
      <c r="AI195" s="80">
        <v>13639</v>
      </c>
      <c r="AJ195" s="80"/>
      <c r="AK195" s="80" t="s">
        <v>1828</v>
      </c>
      <c r="AL195" s="80" t="s">
        <v>1977</v>
      </c>
      <c r="AM195" s="85" t="str">
        <f>HYPERLINK("https://t.co/9grEQgxzJc")</f>
        <v>https://t.co/9grEQgxzJc</v>
      </c>
      <c r="AN195" s="80"/>
      <c r="AO195" s="82">
        <v>39138.742060185185</v>
      </c>
      <c r="AP195" s="85" t="str">
        <f>HYPERLINK("https://pbs.twimg.com/profile_banners/793926/1591607572")</f>
        <v>https://pbs.twimg.com/profile_banners/793926/1591607572</v>
      </c>
      <c r="AQ195" s="80" t="b">
        <v>0</v>
      </c>
      <c r="AR195" s="80" t="b">
        <v>0</v>
      </c>
      <c r="AS195" s="80" t="b">
        <v>1</v>
      </c>
      <c r="AT195" s="80"/>
      <c r="AU195" s="80">
        <v>5210</v>
      </c>
      <c r="AV195" s="85" t="str">
        <f>HYPERLINK("http://abs.twimg.com/images/themes/theme1/bg.png")</f>
        <v>http://abs.twimg.com/images/themes/theme1/bg.png</v>
      </c>
      <c r="AW195" s="80" t="b">
        <v>1</v>
      </c>
      <c r="AX195" s="80" t="s">
        <v>2002</v>
      </c>
      <c r="AY195" s="85" t="str">
        <f>HYPERLINK("https://twitter.com/1password")</f>
        <v>https://twitter.com/1password</v>
      </c>
      <c r="AZ195" s="80" t="s">
        <v>65</v>
      </c>
      <c r="BA195" s="80" t="str">
        <f>REPLACE(INDEX(GroupVertices[Group],MATCH(Vertices[[#This Row],[Vertex]],GroupVertices[Vertex],0)),1,1,"")</f>
        <v>5</v>
      </c>
      <c r="BB195" s="48"/>
      <c r="BC195" s="49"/>
      <c r="BD195" s="48"/>
      <c r="BE195" s="49"/>
      <c r="BF195" s="48"/>
      <c r="BG195" s="49"/>
      <c r="BH195" s="48"/>
      <c r="BI195" s="49"/>
      <c r="BJ195" s="48"/>
      <c r="BK195" s="48"/>
      <c r="BL195" s="48"/>
      <c r="BM195" s="48"/>
      <c r="BN195" s="48"/>
      <c r="BO195" s="48"/>
      <c r="BP195" s="48"/>
      <c r="BQ195" s="48"/>
      <c r="BR195" s="48"/>
      <c r="BS195" s="48"/>
      <c r="BT195" s="48"/>
      <c r="BU195" s="2"/>
      <c r="BV195" s="3"/>
      <c r="BW195" s="3"/>
      <c r="BX195" s="3"/>
      <c r="BY195" s="3"/>
    </row>
    <row r="196" spans="1:77" ht="15">
      <c r="A196" s="66" t="s">
        <v>485</v>
      </c>
      <c r="B196" s="67"/>
      <c r="C196" s="67"/>
      <c r="D196" s="68">
        <v>100</v>
      </c>
      <c r="E196" s="70"/>
      <c r="F196" s="104" t="str">
        <f>HYPERLINK("http://pbs.twimg.com/profile_images/902120676970168321/BTa_yvAl_normal.jpg")</f>
        <v>http://pbs.twimg.com/profile_images/902120676970168321/BTa_yvAl_normal.jpg</v>
      </c>
      <c r="G196" s="67"/>
      <c r="H196" s="71" t="s">
        <v>485</v>
      </c>
      <c r="I196" s="72"/>
      <c r="J196" s="72"/>
      <c r="K196" s="71" t="s">
        <v>2195</v>
      </c>
      <c r="L196" s="75">
        <v>1</v>
      </c>
      <c r="M196" s="76">
        <v>5283.76025390625</v>
      </c>
      <c r="N196" s="76">
        <v>6429.99267578125</v>
      </c>
      <c r="O196" s="77"/>
      <c r="P196" s="78"/>
      <c r="Q196" s="78"/>
      <c r="R196" s="90"/>
      <c r="S196" s="48">
        <v>0</v>
      </c>
      <c r="T196" s="48">
        <v>1</v>
      </c>
      <c r="U196" s="49">
        <v>0</v>
      </c>
      <c r="V196" s="49">
        <v>0.027027</v>
      </c>
      <c r="W196" s="49">
        <v>0</v>
      </c>
      <c r="X196" s="49">
        <v>0.359707</v>
      </c>
      <c r="Y196" s="49">
        <v>0</v>
      </c>
      <c r="Z196" s="49">
        <v>0</v>
      </c>
      <c r="AA196" s="73">
        <v>196</v>
      </c>
      <c r="AB196" s="73"/>
      <c r="AC196" s="74"/>
      <c r="AD196" s="80" t="s">
        <v>1391</v>
      </c>
      <c r="AE196" s="88" t="s">
        <v>1614</v>
      </c>
      <c r="AF196" s="80">
        <v>1645</v>
      </c>
      <c r="AG196" s="80">
        <v>1251</v>
      </c>
      <c r="AH196" s="80">
        <v>6465</v>
      </c>
      <c r="AI196" s="80">
        <v>1930</v>
      </c>
      <c r="AJ196" s="80"/>
      <c r="AK196" s="80" t="s">
        <v>1829</v>
      </c>
      <c r="AL196" s="80" t="s">
        <v>1978</v>
      </c>
      <c r="AM196" s="85" t="str">
        <f>HYPERLINK("https://t.co/kZECcimgJJ")</f>
        <v>https://t.co/kZECcimgJJ</v>
      </c>
      <c r="AN196" s="80"/>
      <c r="AO196" s="82">
        <v>40737.73494212963</v>
      </c>
      <c r="AP196" s="85" t="str">
        <f>HYPERLINK("https://pbs.twimg.com/profile_banners/334791797/1511605036")</f>
        <v>https://pbs.twimg.com/profile_banners/334791797/1511605036</v>
      </c>
      <c r="AQ196" s="80" t="b">
        <v>0</v>
      </c>
      <c r="AR196" s="80" t="b">
        <v>0</v>
      </c>
      <c r="AS196" s="80" t="b">
        <v>0</v>
      </c>
      <c r="AT196" s="80"/>
      <c r="AU196" s="80">
        <v>168</v>
      </c>
      <c r="AV196" s="85" t="str">
        <f>HYPERLINK("http://abs.twimg.com/images/themes/theme6/bg.gif")</f>
        <v>http://abs.twimg.com/images/themes/theme6/bg.gif</v>
      </c>
      <c r="AW196" s="80" t="b">
        <v>0</v>
      </c>
      <c r="AX196" s="80" t="s">
        <v>2002</v>
      </c>
      <c r="AY196" s="85" t="str">
        <f>HYPERLINK("https://twitter.com/ohmyshambles")</f>
        <v>https://twitter.com/ohmyshambles</v>
      </c>
      <c r="AZ196" s="80" t="s">
        <v>66</v>
      </c>
      <c r="BA196" s="80" t="str">
        <f>REPLACE(INDEX(GroupVertices[Group],MATCH(Vertices[[#This Row],[Vertex]],GroupVertices[Vertex],0)),1,1,"")</f>
        <v>5</v>
      </c>
      <c r="BB196" s="48">
        <v>1</v>
      </c>
      <c r="BC196" s="49">
        <v>3.7037037037037037</v>
      </c>
      <c r="BD196" s="48">
        <v>0</v>
      </c>
      <c r="BE196" s="49">
        <v>0</v>
      </c>
      <c r="BF196" s="48">
        <v>0</v>
      </c>
      <c r="BG196" s="49">
        <v>0</v>
      </c>
      <c r="BH196" s="48">
        <v>26</v>
      </c>
      <c r="BI196" s="49">
        <v>96.29629629629629</v>
      </c>
      <c r="BJ196" s="48">
        <v>27</v>
      </c>
      <c r="BK196" s="48"/>
      <c r="BL196" s="48"/>
      <c r="BM196" s="48"/>
      <c r="BN196" s="48"/>
      <c r="BO196" s="48" t="s">
        <v>482</v>
      </c>
      <c r="BP196" s="48" t="s">
        <v>482</v>
      </c>
      <c r="BQ196" s="125" t="s">
        <v>3101</v>
      </c>
      <c r="BR196" s="125" t="s">
        <v>3101</v>
      </c>
      <c r="BS196" s="125" t="s">
        <v>3128</v>
      </c>
      <c r="BT196" s="125" t="s">
        <v>3128</v>
      </c>
      <c r="BU196" s="2"/>
      <c r="BV196" s="3"/>
      <c r="BW196" s="3"/>
      <c r="BX196" s="3"/>
      <c r="BY196" s="3"/>
    </row>
    <row r="197" spans="1:77" ht="15">
      <c r="A197" s="66" t="s">
        <v>486</v>
      </c>
      <c r="B197" s="67"/>
      <c r="C197" s="67"/>
      <c r="D197" s="68">
        <v>100</v>
      </c>
      <c r="E197" s="70"/>
      <c r="F197" s="104" t="str">
        <f>HYPERLINK("http://pbs.twimg.com/profile_images/1564365669/margyphoto_normal.JPG")</f>
        <v>http://pbs.twimg.com/profile_images/1564365669/margyphoto_normal.JPG</v>
      </c>
      <c r="G197" s="67"/>
      <c r="H197" s="71" t="s">
        <v>486</v>
      </c>
      <c r="I197" s="72"/>
      <c r="J197" s="72"/>
      <c r="K197" s="71" t="s">
        <v>2196</v>
      </c>
      <c r="L197" s="75">
        <v>1</v>
      </c>
      <c r="M197" s="76">
        <v>4354.0107421875</v>
      </c>
      <c r="N197" s="76">
        <v>2460.802490234375</v>
      </c>
      <c r="O197" s="77"/>
      <c r="P197" s="78"/>
      <c r="Q197" s="78"/>
      <c r="R197" s="90"/>
      <c r="S197" s="48">
        <v>0</v>
      </c>
      <c r="T197" s="48">
        <v>1</v>
      </c>
      <c r="U197" s="49">
        <v>0</v>
      </c>
      <c r="V197" s="49">
        <v>0.027027</v>
      </c>
      <c r="W197" s="49">
        <v>0</v>
      </c>
      <c r="X197" s="49">
        <v>0.359707</v>
      </c>
      <c r="Y197" s="49">
        <v>0</v>
      </c>
      <c r="Z197" s="49">
        <v>0</v>
      </c>
      <c r="AA197" s="73">
        <v>197</v>
      </c>
      <c r="AB197" s="73"/>
      <c r="AC197" s="74"/>
      <c r="AD197" s="80" t="s">
        <v>1392</v>
      </c>
      <c r="AE197" s="88" t="s">
        <v>1615</v>
      </c>
      <c r="AF197" s="80">
        <v>3844</v>
      </c>
      <c r="AG197" s="80">
        <v>3938</v>
      </c>
      <c r="AH197" s="80">
        <v>125310</v>
      </c>
      <c r="AI197" s="80">
        <v>392339</v>
      </c>
      <c r="AJ197" s="80"/>
      <c r="AK197" s="80" t="s">
        <v>1830</v>
      </c>
      <c r="AL197" s="80" t="s">
        <v>1979</v>
      </c>
      <c r="AM197" s="85" t="str">
        <f>HYPERLINK("https://t.co/UX1HETRmpZ")</f>
        <v>https://t.co/UX1HETRmpZ</v>
      </c>
      <c r="AN197" s="80"/>
      <c r="AO197" s="82">
        <v>40814.890543981484</v>
      </c>
      <c r="AP197" s="80"/>
      <c r="AQ197" s="80" t="b">
        <v>1</v>
      </c>
      <c r="AR197" s="80" t="b">
        <v>0</v>
      </c>
      <c r="AS197" s="80" t="b">
        <v>0</v>
      </c>
      <c r="AT197" s="80"/>
      <c r="AU197" s="80">
        <v>315</v>
      </c>
      <c r="AV197" s="85" t="str">
        <f>HYPERLINK("http://abs.twimg.com/images/themes/theme1/bg.png")</f>
        <v>http://abs.twimg.com/images/themes/theme1/bg.png</v>
      </c>
      <c r="AW197" s="80" t="b">
        <v>0</v>
      </c>
      <c r="AX197" s="80" t="s">
        <v>2002</v>
      </c>
      <c r="AY197" s="85" t="str">
        <f>HYPERLINK("https://twitter.com/margymaclibrary")</f>
        <v>https://twitter.com/margymaclibrary</v>
      </c>
      <c r="AZ197" s="80" t="s">
        <v>66</v>
      </c>
      <c r="BA197" s="80" t="str">
        <f>REPLACE(INDEX(GroupVertices[Group],MATCH(Vertices[[#This Row],[Vertex]],GroupVertices[Vertex],0)),1,1,"")</f>
        <v>5</v>
      </c>
      <c r="BB197" s="48">
        <v>1</v>
      </c>
      <c r="BC197" s="49">
        <v>3.7037037037037037</v>
      </c>
      <c r="BD197" s="48">
        <v>0</v>
      </c>
      <c r="BE197" s="49">
        <v>0</v>
      </c>
      <c r="BF197" s="48">
        <v>0</v>
      </c>
      <c r="BG197" s="49">
        <v>0</v>
      </c>
      <c r="BH197" s="48">
        <v>26</v>
      </c>
      <c r="BI197" s="49">
        <v>96.29629629629629</v>
      </c>
      <c r="BJ197" s="48">
        <v>27</v>
      </c>
      <c r="BK197" s="48"/>
      <c r="BL197" s="48"/>
      <c r="BM197" s="48"/>
      <c r="BN197" s="48"/>
      <c r="BO197" s="48" t="s">
        <v>482</v>
      </c>
      <c r="BP197" s="48" t="s">
        <v>482</v>
      </c>
      <c r="BQ197" s="125" t="s">
        <v>3101</v>
      </c>
      <c r="BR197" s="125" t="s">
        <v>3101</v>
      </c>
      <c r="BS197" s="125" t="s">
        <v>3128</v>
      </c>
      <c r="BT197" s="125" t="s">
        <v>3128</v>
      </c>
      <c r="BU197" s="2"/>
      <c r="BV197" s="3"/>
      <c r="BW197" s="3"/>
      <c r="BX197" s="3"/>
      <c r="BY197" s="3"/>
    </row>
    <row r="198" spans="1:77" ht="15">
      <c r="A198" s="66" t="s">
        <v>488</v>
      </c>
      <c r="B198" s="67"/>
      <c r="C198" s="67"/>
      <c r="D198" s="68">
        <v>100</v>
      </c>
      <c r="E198" s="70"/>
      <c r="F198" s="104" t="str">
        <f>HYPERLINK("http://pbs.twimg.com/profile_images/1253223783823007745/8nU3NGcW_normal.jpg")</f>
        <v>http://pbs.twimg.com/profile_images/1253223783823007745/8nU3NGcW_normal.jpg</v>
      </c>
      <c r="G198" s="67"/>
      <c r="H198" s="71" t="s">
        <v>488</v>
      </c>
      <c r="I198" s="72"/>
      <c r="J198" s="72"/>
      <c r="K198" s="71" t="s">
        <v>2197</v>
      </c>
      <c r="L198" s="75">
        <v>1</v>
      </c>
      <c r="M198" s="76">
        <v>6931.3662109375</v>
      </c>
      <c r="N198" s="76">
        <v>514.3875732421875</v>
      </c>
      <c r="O198" s="77"/>
      <c r="P198" s="78"/>
      <c r="Q198" s="78"/>
      <c r="R198" s="90"/>
      <c r="S198" s="48">
        <v>0</v>
      </c>
      <c r="T198" s="48">
        <v>2</v>
      </c>
      <c r="U198" s="49">
        <v>0</v>
      </c>
      <c r="V198" s="49">
        <v>0.166667</v>
      </c>
      <c r="W198" s="49">
        <v>0</v>
      </c>
      <c r="X198" s="49">
        <v>0.740456</v>
      </c>
      <c r="Y198" s="49">
        <v>0.5</v>
      </c>
      <c r="Z198" s="49">
        <v>0</v>
      </c>
      <c r="AA198" s="73">
        <v>198</v>
      </c>
      <c r="AB198" s="73"/>
      <c r="AC198" s="74"/>
      <c r="AD198" s="80" t="s">
        <v>1393</v>
      </c>
      <c r="AE198" s="88" t="s">
        <v>1616</v>
      </c>
      <c r="AF198" s="80">
        <v>21</v>
      </c>
      <c r="AG198" s="80">
        <v>19</v>
      </c>
      <c r="AH198" s="80">
        <v>46</v>
      </c>
      <c r="AI198" s="80">
        <v>41</v>
      </c>
      <c r="AJ198" s="80"/>
      <c r="AK198" s="80" t="s">
        <v>1831</v>
      </c>
      <c r="AL198" s="80"/>
      <c r="AM198" s="80"/>
      <c r="AN198" s="80"/>
      <c r="AO198" s="82">
        <v>43943.65204861111</v>
      </c>
      <c r="AP198" s="80"/>
      <c r="AQ198" s="80" t="b">
        <v>1</v>
      </c>
      <c r="AR198" s="80" t="b">
        <v>0</v>
      </c>
      <c r="AS198" s="80" t="b">
        <v>0</v>
      </c>
      <c r="AT198" s="80"/>
      <c r="AU198" s="80">
        <v>0</v>
      </c>
      <c r="AV198" s="80"/>
      <c r="AW198" s="80" t="b">
        <v>0</v>
      </c>
      <c r="AX198" s="80" t="s">
        <v>2002</v>
      </c>
      <c r="AY198" s="85" t="str">
        <f>HYPERLINK("https://twitter.com/boerenilse")</f>
        <v>https://twitter.com/boerenilse</v>
      </c>
      <c r="AZ198" s="80" t="s">
        <v>66</v>
      </c>
      <c r="BA198" s="80" t="str">
        <f>REPLACE(INDEX(GroupVertices[Group],MATCH(Vertices[[#This Row],[Vertex]],GroupVertices[Vertex],0)),1,1,"")</f>
        <v>11</v>
      </c>
      <c r="BB198" s="48">
        <v>0</v>
      </c>
      <c r="BC198" s="49">
        <v>0</v>
      </c>
      <c r="BD198" s="48">
        <v>0</v>
      </c>
      <c r="BE198" s="49">
        <v>0</v>
      </c>
      <c r="BF198" s="48">
        <v>0</v>
      </c>
      <c r="BG198" s="49">
        <v>0</v>
      </c>
      <c r="BH198" s="48">
        <v>33</v>
      </c>
      <c r="BI198" s="49">
        <v>100</v>
      </c>
      <c r="BJ198" s="48">
        <v>33</v>
      </c>
      <c r="BK198" s="48"/>
      <c r="BL198" s="48"/>
      <c r="BM198" s="48"/>
      <c r="BN198" s="48"/>
      <c r="BO198" s="48"/>
      <c r="BP198" s="48"/>
      <c r="BQ198" s="125" t="s">
        <v>2870</v>
      </c>
      <c r="BR198" s="125" t="s">
        <v>2870</v>
      </c>
      <c r="BS198" s="125" t="s">
        <v>2985</v>
      </c>
      <c r="BT198" s="125" t="s">
        <v>2985</v>
      </c>
      <c r="BU198" s="2"/>
      <c r="BV198" s="3"/>
      <c r="BW198" s="3"/>
      <c r="BX198" s="3"/>
      <c r="BY198" s="3"/>
    </row>
    <row r="199" spans="1:77" ht="15">
      <c r="A199" s="66" t="s">
        <v>489</v>
      </c>
      <c r="B199" s="67"/>
      <c r="C199" s="67"/>
      <c r="D199" s="68">
        <v>100</v>
      </c>
      <c r="E199" s="70"/>
      <c r="F199" s="104" t="str">
        <f>HYPERLINK("http://pbs.twimg.com/profile_images/1243941359213580288/B1tRN87__normal.jpg")</f>
        <v>http://pbs.twimg.com/profile_images/1243941359213580288/B1tRN87__normal.jpg</v>
      </c>
      <c r="G199" s="67"/>
      <c r="H199" s="71" t="s">
        <v>489</v>
      </c>
      <c r="I199" s="72"/>
      <c r="J199" s="72"/>
      <c r="K199" s="71" t="s">
        <v>2198</v>
      </c>
      <c r="L199" s="75">
        <v>1</v>
      </c>
      <c r="M199" s="76">
        <v>8130.82177734375</v>
      </c>
      <c r="N199" s="76">
        <v>6071.16552734375</v>
      </c>
      <c r="O199" s="77"/>
      <c r="P199" s="78"/>
      <c r="Q199" s="78"/>
      <c r="R199" s="90"/>
      <c r="S199" s="48">
        <v>1</v>
      </c>
      <c r="T199" s="48">
        <v>1</v>
      </c>
      <c r="U199" s="49">
        <v>0</v>
      </c>
      <c r="V199" s="49">
        <v>0</v>
      </c>
      <c r="W199" s="49">
        <v>0</v>
      </c>
      <c r="X199" s="49">
        <v>0.999998</v>
      </c>
      <c r="Y199" s="49">
        <v>0</v>
      </c>
      <c r="Z199" s="49">
        <v>0</v>
      </c>
      <c r="AA199" s="73">
        <v>199</v>
      </c>
      <c r="AB199" s="73"/>
      <c r="AC199" s="74"/>
      <c r="AD199" s="80" t="s">
        <v>1394</v>
      </c>
      <c r="AE199" s="88" t="s">
        <v>1617</v>
      </c>
      <c r="AF199" s="80">
        <v>6959</v>
      </c>
      <c r="AG199" s="80">
        <v>7891</v>
      </c>
      <c r="AH199" s="80">
        <v>2193</v>
      </c>
      <c r="AI199" s="80">
        <v>61</v>
      </c>
      <c r="AJ199" s="80"/>
      <c r="AK199" s="80" t="s">
        <v>1832</v>
      </c>
      <c r="AL199" s="80"/>
      <c r="AM199" s="85" t="str">
        <f>HYPERLINK("https://t.co/JqtOedkgHK")</f>
        <v>https://t.co/JqtOedkgHK</v>
      </c>
      <c r="AN199" s="80"/>
      <c r="AO199" s="82">
        <v>40211.588159722225</v>
      </c>
      <c r="AP199" s="85" t="str">
        <f>HYPERLINK("https://pbs.twimg.com/profile_banners/110708115/1585413707")</f>
        <v>https://pbs.twimg.com/profile_banners/110708115/1585413707</v>
      </c>
      <c r="AQ199" s="80" t="b">
        <v>0</v>
      </c>
      <c r="AR199" s="80" t="b">
        <v>0</v>
      </c>
      <c r="AS199" s="80" t="b">
        <v>0</v>
      </c>
      <c r="AT199" s="80"/>
      <c r="AU199" s="80">
        <v>73</v>
      </c>
      <c r="AV199" s="85" t="str">
        <f>HYPERLINK("http://abs.twimg.com/images/themes/theme9/bg.gif")</f>
        <v>http://abs.twimg.com/images/themes/theme9/bg.gif</v>
      </c>
      <c r="AW199" s="80" t="b">
        <v>0</v>
      </c>
      <c r="AX199" s="80" t="s">
        <v>2002</v>
      </c>
      <c r="AY199" s="85" t="str">
        <f>HYPERLINK("https://twitter.com/elchinsoul")</f>
        <v>https://twitter.com/elchinsoul</v>
      </c>
      <c r="AZ199" s="80" t="s">
        <v>66</v>
      </c>
      <c r="BA199" s="80" t="str">
        <f>REPLACE(INDEX(GroupVertices[Group],MATCH(Vertices[[#This Row],[Vertex]],GroupVertices[Vertex],0)),1,1,"")</f>
        <v>8</v>
      </c>
      <c r="BB199" s="48">
        <v>0</v>
      </c>
      <c r="BC199" s="49">
        <v>0</v>
      </c>
      <c r="BD199" s="48">
        <v>0</v>
      </c>
      <c r="BE199" s="49">
        <v>0</v>
      </c>
      <c r="BF199" s="48">
        <v>0</v>
      </c>
      <c r="BG199" s="49">
        <v>0</v>
      </c>
      <c r="BH199" s="48">
        <v>36</v>
      </c>
      <c r="BI199" s="49">
        <v>100</v>
      </c>
      <c r="BJ199" s="48">
        <v>36</v>
      </c>
      <c r="BK199" s="48" t="s">
        <v>3061</v>
      </c>
      <c r="BL199" s="48" t="s">
        <v>3061</v>
      </c>
      <c r="BM199" s="48" t="s">
        <v>681</v>
      </c>
      <c r="BN199" s="48" t="s">
        <v>681</v>
      </c>
      <c r="BO199" s="48" t="s">
        <v>3075</v>
      </c>
      <c r="BP199" s="48" t="s">
        <v>3075</v>
      </c>
      <c r="BQ199" s="125" t="s">
        <v>3102</v>
      </c>
      <c r="BR199" s="125" t="s">
        <v>3102</v>
      </c>
      <c r="BS199" s="125" t="s">
        <v>2982</v>
      </c>
      <c r="BT199" s="125" t="s">
        <v>2982</v>
      </c>
      <c r="BU199" s="2"/>
      <c r="BV199" s="3"/>
      <c r="BW199" s="3"/>
      <c r="BX199" s="3"/>
      <c r="BY199" s="3"/>
    </row>
    <row r="200" spans="1:77" ht="15">
      <c r="A200" s="66" t="s">
        <v>490</v>
      </c>
      <c r="B200" s="67"/>
      <c r="C200" s="67"/>
      <c r="D200" s="68">
        <v>100</v>
      </c>
      <c r="E200" s="70"/>
      <c r="F200" s="104" t="str">
        <f>HYPERLINK("http://pbs.twimg.com/profile_images/1055828374386552833/yisHMFW9_normal.jpg")</f>
        <v>http://pbs.twimg.com/profile_images/1055828374386552833/yisHMFW9_normal.jpg</v>
      </c>
      <c r="G200" s="67"/>
      <c r="H200" s="71" t="s">
        <v>490</v>
      </c>
      <c r="I200" s="72"/>
      <c r="J200" s="72"/>
      <c r="K200" s="71" t="s">
        <v>2199</v>
      </c>
      <c r="L200" s="75">
        <v>1</v>
      </c>
      <c r="M200" s="76">
        <v>7498.96533203125</v>
      </c>
      <c r="N200" s="76">
        <v>9052.6962890625</v>
      </c>
      <c r="O200" s="77"/>
      <c r="P200" s="78"/>
      <c r="Q200" s="78"/>
      <c r="R200" s="90"/>
      <c r="S200" s="48">
        <v>0</v>
      </c>
      <c r="T200" s="48">
        <v>2</v>
      </c>
      <c r="U200" s="49">
        <v>0</v>
      </c>
      <c r="V200" s="49">
        <v>0.026316</v>
      </c>
      <c r="W200" s="49">
        <v>0</v>
      </c>
      <c r="X200" s="49">
        <v>0.576762</v>
      </c>
      <c r="Y200" s="49">
        <v>0.5</v>
      </c>
      <c r="Z200" s="49">
        <v>0</v>
      </c>
      <c r="AA200" s="73">
        <v>200</v>
      </c>
      <c r="AB200" s="73"/>
      <c r="AC200" s="74"/>
      <c r="AD200" s="80" t="s">
        <v>1395</v>
      </c>
      <c r="AE200" s="88" t="s">
        <v>1618</v>
      </c>
      <c r="AF200" s="80">
        <v>946</v>
      </c>
      <c r="AG200" s="80">
        <v>418</v>
      </c>
      <c r="AH200" s="80">
        <v>152</v>
      </c>
      <c r="AI200" s="80">
        <v>1040</v>
      </c>
      <c r="AJ200" s="80"/>
      <c r="AK200" s="80" t="s">
        <v>1833</v>
      </c>
      <c r="AL200" s="80" t="s">
        <v>1980</v>
      </c>
      <c r="AM200" s="80"/>
      <c r="AN200" s="80"/>
      <c r="AO200" s="82">
        <v>41039.3602662037</v>
      </c>
      <c r="AP200" s="85" t="str">
        <f>HYPERLINK("https://pbs.twimg.com/profile_banners/576069127/1449088911")</f>
        <v>https://pbs.twimg.com/profile_banners/576069127/1449088911</v>
      </c>
      <c r="AQ200" s="80" t="b">
        <v>1</v>
      </c>
      <c r="AR200" s="80" t="b">
        <v>0</v>
      </c>
      <c r="AS200" s="80" t="b">
        <v>0</v>
      </c>
      <c r="AT200" s="80"/>
      <c r="AU200" s="80">
        <v>17</v>
      </c>
      <c r="AV200" s="85" t="str">
        <f>HYPERLINK("http://abs.twimg.com/images/themes/theme1/bg.png")</f>
        <v>http://abs.twimg.com/images/themes/theme1/bg.png</v>
      </c>
      <c r="AW200" s="80" t="b">
        <v>0</v>
      </c>
      <c r="AX200" s="80" t="s">
        <v>2002</v>
      </c>
      <c r="AY200" s="85" t="str">
        <f>HYPERLINK("https://twitter.com/alileo84")</f>
        <v>https://twitter.com/alileo84</v>
      </c>
      <c r="AZ200" s="80" t="s">
        <v>66</v>
      </c>
      <c r="BA200" s="80" t="str">
        <f>REPLACE(INDEX(GroupVertices[Group],MATCH(Vertices[[#This Row],[Vertex]],GroupVertices[Vertex],0)),1,1,"")</f>
        <v>4</v>
      </c>
      <c r="BB200" s="48">
        <v>1</v>
      </c>
      <c r="BC200" s="49">
        <v>3.125</v>
      </c>
      <c r="BD200" s="48">
        <v>1</v>
      </c>
      <c r="BE200" s="49">
        <v>3.125</v>
      </c>
      <c r="BF200" s="48">
        <v>0</v>
      </c>
      <c r="BG200" s="49">
        <v>0</v>
      </c>
      <c r="BH200" s="48">
        <v>30</v>
      </c>
      <c r="BI200" s="49">
        <v>93.75</v>
      </c>
      <c r="BJ200" s="48">
        <v>32</v>
      </c>
      <c r="BK200" s="48"/>
      <c r="BL200" s="48"/>
      <c r="BM200" s="48"/>
      <c r="BN200" s="48"/>
      <c r="BO200" s="48" t="s">
        <v>711</v>
      </c>
      <c r="BP200" s="48" t="s">
        <v>711</v>
      </c>
      <c r="BQ200" s="125" t="s">
        <v>2863</v>
      </c>
      <c r="BR200" s="125" t="s">
        <v>2863</v>
      </c>
      <c r="BS200" s="125" t="s">
        <v>2978</v>
      </c>
      <c r="BT200" s="125" t="s">
        <v>2978</v>
      </c>
      <c r="BU200" s="2"/>
      <c r="BV200" s="3"/>
      <c r="BW200" s="3"/>
      <c r="BX200" s="3"/>
      <c r="BY200" s="3"/>
    </row>
    <row r="201" spans="1:77" ht="15">
      <c r="A201" s="66" t="s">
        <v>491</v>
      </c>
      <c r="B201" s="67"/>
      <c r="C201" s="67"/>
      <c r="D201" s="68">
        <v>100</v>
      </c>
      <c r="E201" s="70"/>
      <c r="F201" s="104" t="str">
        <f>HYPERLINK("http://pbs.twimg.com/profile_images/1250759498748309506/MTkThwla_normal.jpg")</f>
        <v>http://pbs.twimg.com/profile_images/1250759498748309506/MTkThwla_normal.jpg</v>
      </c>
      <c r="G201" s="67"/>
      <c r="H201" s="71" t="s">
        <v>491</v>
      </c>
      <c r="I201" s="72"/>
      <c r="J201" s="72"/>
      <c r="K201" s="71" t="s">
        <v>2200</v>
      </c>
      <c r="L201" s="75">
        <v>1</v>
      </c>
      <c r="M201" s="76">
        <v>5108.0673828125</v>
      </c>
      <c r="N201" s="76">
        <v>2138.514404296875</v>
      </c>
      <c r="O201" s="77"/>
      <c r="P201" s="78"/>
      <c r="Q201" s="78"/>
      <c r="R201" s="90"/>
      <c r="S201" s="48">
        <v>0</v>
      </c>
      <c r="T201" s="48">
        <v>1</v>
      </c>
      <c r="U201" s="49">
        <v>0</v>
      </c>
      <c r="V201" s="49">
        <v>0.027027</v>
      </c>
      <c r="W201" s="49">
        <v>0</v>
      </c>
      <c r="X201" s="49">
        <v>0.359707</v>
      </c>
      <c r="Y201" s="49">
        <v>0</v>
      </c>
      <c r="Z201" s="49">
        <v>0</v>
      </c>
      <c r="AA201" s="73">
        <v>201</v>
      </c>
      <c r="AB201" s="73"/>
      <c r="AC201" s="74"/>
      <c r="AD201" s="80" t="s">
        <v>1396</v>
      </c>
      <c r="AE201" s="88" t="s">
        <v>1619</v>
      </c>
      <c r="AF201" s="80">
        <v>1055</v>
      </c>
      <c r="AG201" s="80">
        <v>280</v>
      </c>
      <c r="AH201" s="80">
        <v>2470</v>
      </c>
      <c r="AI201" s="80">
        <v>155</v>
      </c>
      <c r="AJ201" s="80"/>
      <c r="AK201" s="80" t="s">
        <v>1834</v>
      </c>
      <c r="AL201" s="80" t="s">
        <v>1981</v>
      </c>
      <c r="AM201" s="80"/>
      <c r="AN201" s="80"/>
      <c r="AO201" s="82">
        <v>39980.3930787037</v>
      </c>
      <c r="AP201" s="85" t="str">
        <f>HYPERLINK("https://pbs.twimg.com/profile_banners/47585273/1587039558")</f>
        <v>https://pbs.twimg.com/profile_banners/47585273/1587039558</v>
      </c>
      <c r="AQ201" s="80" t="b">
        <v>0</v>
      </c>
      <c r="AR201" s="80" t="b">
        <v>0</v>
      </c>
      <c r="AS201" s="80" t="b">
        <v>1</v>
      </c>
      <c r="AT201" s="80"/>
      <c r="AU201" s="80">
        <v>19</v>
      </c>
      <c r="AV201" s="85" t="str">
        <f>HYPERLINK("http://abs.twimg.com/images/themes/theme1/bg.png")</f>
        <v>http://abs.twimg.com/images/themes/theme1/bg.png</v>
      </c>
      <c r="AW201" s="80" t="b">
        <v>0</v>
      </c>
      <c r="AX201" s="80" t="s">
        <v>2002</v>
      </c>
      <c r="AY201" s="85" t="str">
        <f>HYPERLINK("https://twitter.com/billgia")</f>
        <v>https://twitter.com/billgia</v>
      </c>
      <c r="AZ201" s="80" t="s">
        <v>66</v>
      </c>
      <c r="BA201" s="80" t="str">
        <f>REPLACE(INDEX(GroupVertices[Group],MATCH(Vertices[[#This Row],[Vertex]],GroupVertices[Vertex],0)),1,1,"")</f>
        <v>5</v>
      </c>
      <c r="BB201" s="48">
        <v>1</v>
      </c>
      <c r="BC201" s="49">
        <v>3.7037037037037037</v>
      </c>
      <c r="BD201" s="48">
        <v>0</v>
      </c>
      <c r="BE201" s="49">
        <v>0</v>
      </c>
      <c r="BF201" s="48">
        <v>0</v>
      </c>
      <c r="BG201" s="49">
        <v>0</v>
      </c>
      <c r="BH201" s="48">
        <v>26</v>
      </c>
      <c r="BI201" s="49">
        <v>96.29629629629629</v>
      </c>
      <c r="BJ201" s="48">
        <v>27</v>
      </c>
      <c r="BK201" s="48"/>
      <c r="BL201" s="48"/>
      <c r="BM201" s="48"/>
      <c r="BN201" s="48"/>
      <c r="BO201" s="48" t="s">
        <v>482</v>
      </c>
      <c r="BP201" s="48" t="s">
        <v>482</v>
      </c>
      <c r="BQ201" s="125" t="s">
        <v>3101</v>
      </c>
      <c r="BR201" s="125" t="s">
        <v>3101</v>
      </c>
      <c r="BS201" s="125" t="s">
        <v>3128</v>
      </c>
      <c r="BT201" s="125" t="s">
        <v>3128</v>
      </c>
      <c r="BU201" s="2"/>
      <c r="BV201" s="3"/>
      <c r="BW201" s="3"/>
      <c r="BX201" s="3"/>
      <c r="BY201" s="3"/>
    </row>
    <row r="202" spans="1:77" ht="15">
      <c r="A202" s="66" t="s">
        <v>492</v>
      </c>
      <c r="B202" s="67"/>
      <c r="C202" s="67"/>
      <c r="D202" s="68">
        <v>100</v>
      </c>
      <c r="E202" s="70"/>
      <c r="F202" s="104" t="str">
        <f>HYPERLINK("http://pbs.twimg.com/profile_images/1265674261802475521/76Ior4hy_normal.jpg")</f>
        <v>http://pbs.twimg.com/profile_images/1265674261802475521/76Ior4hy_normal.jpg</v>
      </c>
      <c r="G202" s="67"/>
      <c r="H202" s="71" t="s">
        <v>492</v>
      </c>
      <c r="I202" s="72"/>
      <c r="J202" s="72"/>
      <c r="K202" s="71" t="s">
        <v>2201</v>
      </c>
      <c r="L202" s="75">
        <v>1</v>
      </c>
      <c r="M202" s="76">
        <v>9393.240234375</v>
      </c>
      <c r="N202" s="76">
        <v>9417.4912109375</v>
      </c>
      <c r="O202" s="77"/>
      <c r="P202" s="78"/>
      <c r="Q202" s="78"/>
      <c r="R202" s="90"/>
      <c r="S202" s="48">
        <v>0</v>
      </c>
      <c r="T202" s="48">
        <v>2</v>
      </c>
      <c r="U202" s="49">
        <v>0</v>
      </c>
      <c r="V202" s="49">
        <v>0.026316</v>
      </c>
      <c r="W202" s="49">
        <v>0</v>
      </c>
      <c r="X202" s="49">
        <v>0.576762</v>
      </c>
      <c r="Y202" s="49">
        <v>0.5</v>
      </c>
      <c r="Z202" s="49">
        <v>0</v>
      </c>
      <c r="AA202" s="73">
        <v>202</v>
      </c>
      <c r="AB202" s="73"/>
      <c r="AC202" s="74"/>
      <c r="AD202" s="80" t="s">
        <v>1397</v>
      </c>
      <c r="AE202" s="88" t="s">
        <v>1620</v>
      </c>
      <c r="AF202" s="80">
        <v>1599</v>
      </c>
      <c r="AG202" s="80">
        <v>237</v>
      </c>
      <c r="AH202" s="80">
        <v>49</v>
      </c>
      <c r="AI202" s="80">
        <v>182</v>
      </c>
      <c r="AJ202" s="80"/>
      <c r="AK202" s="80" t="s">
        <v>1835</v>
      </c>
      <c r="AL202" s="80"/>
      <c r="AM202" s="85" t="str">
        <f>HYPERLINK("https://t.co/sev7PDVSzp")</f>
        <v>https://t.co/sev7PDVSzp</v>
      </c>
      <c r="AN202" s="80"/>
      <c r="AO202" s="82">
        <v>43919.78454861111</v>
      </c>
      <c r="AP202" s="80"/>
      <c r="AQ202" s="80" t="b">
        <v>1</v>
      </c>
      <c r="AR202" s="80" t="b">
        <v>0</v>
      </c>
      <c r="AS202" s="80" t="b">
        <v>0</v>
      </c>
      <c r="AT202" s="80"/>
      <c r="AU202" s="80">
        <v>0</v>
      </c>
      <c r="AV202" s="80"/>
      <c r="AW202" s="80" t="b">
        <v>0</v>
      </c>
      <c r="AX202" s="80" t="s">
        <v>2002</v>
      </c>
      <c r="AY202" s="85" t="str">
        <f>HYPERLINK("https://twitter.com/elenavardon")</f>
        <v>https://twitter.com/elenavardon</v>
      </c>
      <c r="AZ202" s="80" t="s">
        <v>66</v>
      </c>
      <c r="BA202" s="80" t="str">
        <f>REPLACE(INDEX(GroupVertices[Group],MATCH(Vertices[[#This Row],[Vertex]],GroupVertices[Vertex],0)),1,1,"")</f>
        <v>4</v>
      </c>
      <c r="BB202" s="48">
        <v>1</v>
      </c>
      <c r="BC202" s="49">
        <v>3.125</v>
      </c>
      <c r="BD202" s="48">
        <v>1</v>
      </c>
      <c r="BE202" s="49">
        <v>3.125</v>
      </c>
      <c r="BF202" s="48">
        <v>0</v>
      </c>
      <c r="BG202" s="49">
        <v>0</v>
      </c>
      <c r="BH202" s="48">
        <v>30</v>
      </c>
      <c r="BI202" s="49">
        <v>93.75</v>
      </c>
      <c r="BJ202" s="48">
        <v>32</v>
      </c>
      <c r="BK202" s="48"/>
      <c r="BL202" s="48"/>
      <c r="BM202" s="48"/>
      <c r="BN202" s="48"/>
      <c r="BO202" s="48" t="s">
        <v>711</v>
      </c>
      <c r="BP202" s="48" t="s">
        <v>711</v>
      </c>
      <c r="BQ202" s="125" t="s">
        <v>2863</v>
      </c>
      <c r="BR202" s="125" t="s">
        <v>2863</v>
      </c>
      <c r="BS202" s="125" t="s">
        <v>2978</v>
      </c>
      <c r="BT202" s="125" t="s">
        <v>2978</v>
      </c>
      <c r="BU202" s="2"/>
      <c r="BV202" s="3"/>
      <c r="BW202" s="3"/>
      <c r="BX202" s="3"/>
      <c r="BY202" s="3"/>
    </row>
    <row r="203" spans="1:77" ht="15">
      <c r="A203" s="66" t="s">
        <v>493</v>
      </c>
      <c r="B203" s="67"/>
      <c r="C203" s="67"/>
      <c r="D203" s="68">
        <v>595.2153105263158</v>
      </c>
      <c r="E203" s="70"/>
      <c r="F203" s="104" t="str">
        <f>HYPERLINK("http://pbs.twimg.com/profile_images/1268719629620228096/h56NNtWK_normal.jpg")</f>
        <v>http://pbs.twimg.com/profile_images/1268719629620228096/h56NNtWK_normal.jpg</v>
      </c>
      <c r="G203" s="67"/>
      <c r="H203" s="71" t="s">
        <v>493</v>
      </c>
      <c r="I203" s="72"/>
      <c r="J203" s="72"/>
      <c r="K203" s="71" t="s">
        <v>2202</v>
      </c>
      <c r="L203" s="75">
        <v>440.38388985614193</v>
      </c>
      <c r="M203" s="76">
        <v>4927.24365234375</v>
      </c>
      <c r="N203" s="76">
        <v>8021.248046875</v>
      </c>
      <c r="O203" s="77"/>
      <c r="P203" s="78"/>
      <c r="Q203" s="78"/>
      <c r="R203" s="90"/>
      <c r="S203" s="48">
        <v>0</v>
      </c>
      <c r="T203" s="48">
        <v>4</v>
      </c>
      <c r="U203" s="49">
        <v>94.090909</v>
      </c>
      <c r="V203" s="49">
        <v>0.021739</v>
      </c>
      <c r="W203" s="49">
        <v>0</v>
      </c>
      <c r="X203" s="49">
        <v>1.196067</v>
      </c>
      <c r="Y203" s="49">
        <v>0</v>
      </c>
      <c r="Z203" s="49">
        <v>0</v>
      </c>
      <c r="AA203" s="73">
        <v>203</v>
      </c>
      <c r="AB203" s="73"/>
      <c r="AC203" s="74"/>
      <c r="AD203" s="80" t="s">
        <v>1398</v>
      </c>
      <c r="AE203" s="88" t="s">
        <v>1621</v>
      </c>
      <c r="AF203" s="80">
        <v>941</v>
      </c>
      <c r="AG203" s="80">
        <v>3541</v>
      </c>
      <c r="AH203" s="80">
        <v>975</v>
      </c>
      <c r="AI203" s="80">
        <v>18754</v>
      </c>
      <c r="AJ203" s="80"/>
      <c r="AK203" s="80" t="s">
        <v>1836</v>
      </c>
      <c r="AL203" s="80" t="s">
        <v>1982</v>
      </c>
      <c r="AM203" s="85" t="str">
        <f>HYPERLINK("https://t.co/0AosuyCDHi")</f>
        <v>https://t.co/0AosuyCDHi</v>
      </c>
      <c r="AN203" s="80"/>
      <c r="AO203" s="82">
        <v>40254.618472222224</v>
      </c>
      <c r="AP203" s="85" t="str">
        <f>HYPERLINK("https://pbs.twimg.com/profile_banners/123891108/1551976747")</f>
        <v>https://pbs.twimg.com/profile_banners/123891108/1551976747</v>
      </c>
      <c r="AQ203" s="80" t="b">
        <v>0</v>
      </c>
      <c r="AR203" s="80" t="b">
        <v>0</v>
      </c>
      <c r="AS203" s="80" t="b">
        <v>1</v>
      </c>
      <c r="AT203" s="80"/>
      <c r="AU203" s="80">
        <v>300</v>
      </c>
      <c r="AV203" s="85" t="str">
        <f>HYPERLINK("http://abs.twimg.com/images/themes/theme14/bg.gif")</f>
        <v>http://abs.twimg.com/images/themes/theme14/bg.gif</v>
      </c>
      <c r="AW203" s="80" t="b">
        <v>1</v>
      </c>
      <c r="AX203" s="80" t="s">
        <v>2002</v>
      </c>
      <c r="AY203" s="85" t="str">
        <f>HYPERLINK("https://twitter.com/kendimalibot")</f>
        <v>https://twitter.com/kendimalibot</v>
      </c>
      <c r="AZ203" s="80" t="s">
        <v>66</v>
      </c>
      <c r="BA203" s="80" t="str">
        <f>REPLACE(INDEX(GroupVertices[Group],MATCH(Vertices[[#This Row],[Vertex]],GroupVertices[Vertex],0)),1,1,"")</f>
        <v>3</v>
      </c>
      <c r="BB203" s="48">
        <v>1</v>
      </c>
      <c r="BC203" s="49">
        <v>2.9411764705882355</v>
      </c>
      <c r="BD203" s="48">
        <v>0</v>
      </c>
      <c r="BE203" s="49">
        <v>0</v>
      </c>
      <c r="BF203" s="48">
        <v>0</v>
      </c>
      <c r="BG203" s="49">
        <v>0</v>
      </c>
      <c r="BH203" s="48">
        <v>33</v>
      </c>
      <c r="BI203" s="49">
        <v>97.05882352941177</v>
      </c>
      <c r="BJ203" s="48">
        <v>34</v>
      </c>
      <c r="BK203" s="48" t="s">
        <v>2724</v>
      </c>
      <c r="BL203" s="48" t="s">
        <v>2724</v>
      </c>
      <c r="BM203" s="48" t="s">
        <v>678</v>
      </c>
      <c r="BN203" s="48" t="s">
        <v>678</v>
      </c>
      <c r="BO203" s="48" t="s">
        <v>703</v>
      </c>
      <c r="BP203" s="48" t="s">
        <v>703</v>
      </c>
      <c r="BQ203" s="125" t="s">
        <v>3103</v>
      </c>
      <c r="BR203" s="125" t="s">
        <v>3103</v>
      </c>
      <c r="BS203" s="125" t="s">
        <v>3129</v>
      </c>
      <c r="BT203" s="125" t="s">
        <v>3129</v>
      </c>
      <c r="BU203" s="2"/>
      <c r="BV203" s="3"/>
      <c r="BW203" s="3"/>
      <c r="BX203" s="3"/>
      <c r="BY203" s="3"/>
    </row>
    <row r="204" spans="1:77" ht="15">
      <c r="A204" s="66" t="s">
        <v>582</v>
      </c>
      <c r="B204" s="67"/>
      <c r="C204" s="67"/>
      <c r="D204" s="68">
        <v>100</v>
      </c>
      <c r="E204" s="70"/>
      <c r="F204" s="104" t="str">
        <f>HYPERLINK("http://pbs.twimg.com/profile_images/706930723559759872/Dz3enkQD_normal.jpg")</f>
        <v>http://pbs.twimg.com/profile_images/706930723559759872/Dz3enkQD_normal.jpg</v>
      </c>
      <c r="G204" s="67"/>
      <c r="H204" s="71" t="s">
        <v>582</v>
      </c>
      <c r="I204" s="72"/>
      <c r="J204" s="72"/>
      <c r="K204" s="71" t="s">
        <v>2203</v>
      </c>
      <c r="L204" s="75">
        <v>1</v>
      </c>
      <c r="M204" s="76">
        <v>4157.52587890625</v>
      </c>
      <c r="N204" s="76">
        <v>6963.5224609375</v>
      </c>
      <c r="O204" s="77"/>
      <c r="P204" s="78"/>
      <c r="Q204" s="78"/>
      <c r="R204" s="90"/>
      <c r="S204" s="48">
        <v>1</v>
      </c>
      <c r="T204" s="48">
        <v>0</v>
      </c>
      <c r="U204" s="49">
        <v>0</v>
      </c>
      <c r="V204" s="49">
        <v>0.014286</v>
      </c>
      <c r="W204" s="49">
        <v>0</v>
      </c>
      <c r="X204" s="49">
        <v>0.404164</v>
      </c>
      <c r="Y204" s="49">
        <v>0</v>
      </c>
      <c r="Z204" s="49">
        <v>0</v>
      </c>
      <c r="AA204" s="73">
        <v>204</v>
      </c>
      <c r="AB204" s="73"/>
      <c r="AC204" s="74"/>
      <c r="AD204" s="80" t="s">
        <v>1399</v>
      </c>
      <c r="AE204" s="88" t="s">
        <v>1622</v>
      </c>
      <c r="AF204" s="80">
        <v>1046</v>
      </c>
      <c r="AG204" s="80">
        <v>4489</v>
      </c>
      <c r="AH204" s="80">
        <v>7158</v>
      </c>
      <c r="AI204" s="80">
        <v>10225</v>
      </c>
      <c r="AJ204" s="80"/>
      <c r="AK204" s="80" t="s">
        <v>1837</v>
      </c>
      <c r="AL204" s="80" t="s">
        <v>1983</v>
      </c>
      <c r="AM204" s="85" t="str">
        <f>HYPERLINK("https://t.co/E3kKkAyppW")</f>
        <v>https://t.co/E3kKkAyppW</v>
      </c>
      <c r="AN204" s="80"/>
      <c r="AO204" s="82">
        <v>39272.70883101852</v>
      </c>
      <c r="AP204" s="85" t="str">
        <f>HYPERLINK("https://pbs.twimg.com/profile_banners/7351092/1403458585")</f>
        <v>https://pbs.twimg.com/profile_banners/7351092/1403458585</v>
      </c>
      <c r="AQ204" s="80" t="b">
        <v>0</v>
      </c>
      <c r="AR204" s="80" t="b">
        <v>0</v>
      </c>
      <c r="AS204" s="80" t="b">
        <v>1</v>
      </c>
      <c r="AT204" s="80"/>
      <c r="AU204" s="80">
        <v>251</v>
      </c>
      <c r="AV204" s="85" t="str">
        <f>HYPERLINK("http://abs.twimg.com/images/themes/theme16/bg.gif")</f>
        <v>http://abs.twimg.com/images/themes/theme16/bg.gif</v>
      </c>
      <c r="AW204" s="80" t="b">
        <v>0</v>
      </c>
      <c r="AX204" s="80" t="s">
        <v>2002</v>
      </c>
      <c r="AY204" s="85" t="str">
        <f>HYPERLINK("https://twitter.com/haddadme")</f>
        <v>https://twitter.com/haddadme</v>
      </c>
      <c r="AZ204" s="80" t="s">
        <v>65</v>
      </c>
      <c r="BA204" s="80" t="str">
        <f>REPLACE(INDEX(GroupVertices[Group],MATCH(Vertices[[#This Row],[Vertex]],GroupVertices[Vertex],0)),1,1,"")</f>
        <v>3</v>
      </c>
      <c r="BB204" s="48"/>
      <c r="BC204" s="49"/>
      <c r="BD204" s="48"/>
      <c r="BE204" s="49"/>
      <c r="BF204" s="48"/>
      <c r="BG204" s="49"/>
      <c r="BH204" s="48"/>
      <c r="BI204" s="49"/>
      <c r="BJ204" s="48"/>
      <c r="BK204" s="48"/>
      <c r="BL204" s="48"/>
      <c r="BM204" s="48"/>
      <c r="BN204" s="48"/>
      <c r="BO204" s="48"/>
      <c r="BP204" s="48"/>
      <c r="BQ204" s="48"/>
      <c r="BR204" s="48"/>
      <c r="BS204" s="48"/>
      <c r="BT204" s="48"/>
      <c r="BU204" s="2"/>
      <c r="BV204" s="3"/>
      <c r="BW204" s="3"/>
      <c r="BX204" s="3"/>
      <c r="BY204" s="3"/>
    </row>
    <row r="205" spans="1:77" ht="15">
      <c r="A205" s="66" t="s">
        <v>583</v>
      </c>
      <c r="B205" s="67"/>
      <c r="C205" s="67"/>
      <c r="D205" s="68">
        <v>100</v>
      </c>
      <c r="E205" s="70"/>
      <c r="F205" s="104" t="str">
        <f>HYPERLINK("http://pbs.twimg.com/profile_images/1116812326311747586/FznaRuWB_normal.jpg")</f>
        <v>http://pbs.twimg.com/profile_images/1116812326311747586/FznaRuWB_normal.jpg</v>
      </c>
      <c r="G205" s="67"/>
      <c r="H205" s="71" t="s">
        <v>583</v>
      </c>
      <c r="I205" s="72"/>
      <c r="J205" s="72"/>
      <c r="K205" s="71" t="s">
        <v>2204</v>
      </c>
      <c r="L205" s="75">
        <v>1</v>
      </c>
      <c r="M205" s="76">
        <v>4012.337646484375</v>
      </c>
      <c r="N205" s="76">
        <v>8625.0302734375</v>
      </c>
      <c r="O205" s="77"/>
      <c r="P205" s="78"/>
      <c r="Q205" s="78"/>
      <c r="R205" s="90"/>
      <c r="S205" s="48">
        <v>1</v>
      </c>
      <c r="T205" s="48">
        <v>0</v>
      </c>
      <c r="U205" s="49">
        <v>0</v>
      </c>
      <c r="V205" s="49">
        <v>0.014286</v>
      </c>
      <c r="W205" s="49">
        <v>0</v>
      </c>
      <c r="X205" s="49">
        <v>0.404164</v>
      </c>
      <c r="Y205" s="49">
        <v>0</v>
      </c>
      <c r="Z205" s="49">
        <v>0</v>
      </c>
      <c r="AA205" s="73">
        <v>205</v>
      </c>
      <c r="AB205" s="73"/>
      <c r="AC205" s="74"/>
      <c r="AD205" s="80" t="s">
        <v>1400</v>
      </c>
      <c r="AE205" s="88" t="s">
        <v>1623</v>
      </c>
      <c r="AF205" s="80">
        <v>304</v>
      </c>
      <c r="AG205" s="80">
        <v>336948</v>
      </c>
      <c r="AH205" s="80">
        <v>1181</v>
      </c>
      <c r="AI205" s="80">
        <v>1940</v>
      </c>
      <c r="AJ205" s="80"/>
      <c r="AK205" s="80" t="s">
        <v>1838</v>
      </c>
      <c r="AL205" s="80" t="s">
        <v>1984</v>
      </c>
      <c r="AM205" s="85" t="str">
        <f>HYPERLINK("https://t.co/BWizjUsBNk")</f>
        <v>https://t.co/BWizjUsBNk</v>
      </c>
      <c r="AN205" s="80"/>
      <c r="AO205" s="82">
        <v>40237.009618055556</v>
      </c>
      <c r="AP205" s="85" t="str">
        <f>HYPERLINK("https://pbs.twimg.com/profile_banners/118221824/1402691994")</f>
        <v>https://pbs.twimg.com/profile_banners/118221824/1402691994</v>
      </c>
      <c r="AQ205" s="80" t="b">
        <v>1</v>
      </c>
      <c r="AR205" s="80" t="b">
        <v>0</v>
      </c>
      <c r="AS205" s="80" t="b">
        <v>1</v>
      </c>
      <c r="AT205" s="80"/>
      <c r="AU205" s="80">
        <v>284</v>
      </c>
      <c r="AV205" s="85" t="str">
        <f>HYPERLINK("http://abs.twimg.com/images/themes/theme1/bg.png")</f>
        <v>http://abs.twimg.com/images/themes/theme1/bg.png</v>
      </c>
      <c r="AW205" s="80" t="b">
        <v>1</v>
      </c>
      <c r="AX205" s="80" t="s">
        <v>2002</v>
      </c>
      <c r="AY205" s="85" t="str">
        <f>HYPERLINK("https://twitter.com/essamheggy")</f>
        <v>https://twitter.com/essamheggy</v>
      </c>
      <c r="AZ205" s="80" t="s">
        <v>65</v>
      </c>
      <c r="BA205" s="80" t="str">
        <f>REPLACE(INDEX(GroupVertices[Group],MATCH(Vertices[[#This Row],[Vertex]],GroupVertices[Vertex],0)),1,1,"")</f>
        <v>3</v>
      </c>
      <c r="BB205" s="48"/>
      <c r="BC205" s="49"/>
      <c r="BD205" s="48"/>
      <c r="BE205" s="49"/>
      <c r="BF205" s="48"/>
      <c r="BG205" s="49"/>
      <c r="BH205" s="48"/>
      <c r="BI205" s="49"/>
      <c r="BJ205" s="48"/>
      <c r="BK205" s="48"/>
      <c r="BL205" s="48"/>
      <c r="BM205" s="48"/>
      <c r="BN205" s="48"/>
      <c r="BO205" s="48"/>
      <c r="BP205" s="48"/>
      <c r="BQ205" s="48"/>
      <c r="BR205" s="48"/>
      <c r="BS205" s="48"/>
      <c r="BT205" s="48"/>
      <c r="BU205" s="2"/>
      <c r="BV205" s="3"/>
      <c r="BW205" s="3"/>
      <c r="BX205" s="3"/>
      <c r="BY205" s="3"/>
    </row>
    <row r="206" spans="1:77" ht="15">
      <c r="A206" s="66" t="s">
        <v>494</v>
      </c>
      <c r="B206" s="67"/>
      <c r="C206" s="67"/>
      <c r="D206" s="68">
        <v>100</v>
      </c>
      <c r="E206" s="70"/>
      <c r="F206" s="104" t="str">
        <f>HYPERLINK("http://pbs.twimg.com/profile_images/480165263250178048/fUMzCTBW_normal.jpeg")</f>
        <v>http://pbs.twimg.com/profile_images/480165263250178048/fUMzCTBW_normal.jpeg</v>
      </c>
      <c r="G206" s="67"/>
      <c r="H206" s="71" t="s">
        <v>494</v>
      </c>
      <c r="I206" s="72"/>
      <c r="J206" s="72"/>
      <c r="K206" s="71" t="s">
        <v>2205</v>
      </c>
      <c r="L206" s="75">
        <v>1</v>
      </c>
      <c r="M206" s="76">
        <v>4744.935546875</v>
      </c>
      <c r="N206" s="76">
        <v>2186.409912109375</v>
      </c>
      <c r="O206" s="77"/>
      <c r="P206" s="78"/>
      <c r="Q206" s="78"/>
      <c r="R206" s="90"/>
      <c r="S206" s="48">
        <v>0</v>
      </c>
      <c r="T206" s="48">
        <v>1</v>
      </c>
      <c r="U206" s="49">
        <v>0</v>
      </c>
      <c r="V206" s="49">
        <v>0.027027</v>
      </c>
      <c r="W206" s="49">
        <v>0</v>
      </c>
      <c r="X206" s="49">
        <v>0.359707</v>
      </c>
      <c r="Y206" s="49">
        <v>0</v>
      </c>
      <c r="Z206" s="49">
        <v>0</v>
      </c>
      <c r="AA206" s="73">
        <v>206</v>
      </c>
      <c r="AB206" s="73"/>
      <c r="AC206" s="74"/>
      <c r="AD206" s="80" t="s">
        <v>1401</v>
      </c>
      <c r="AE206" s="88" t="s">
        <v>1624</v>
      </c>
      <c r="AF206" s="80">
        <v>8940</v>
      </c>
      <c r="AG206" s="80">
        <v>8134</v>
      </c>
      <c r="AH206" s="80">
        <v>383218</v>
      </c>
      <c r="AI206" s="80">
        <v>98340</v>
      </c>
      <c r="AJ206" s="80"/>
      <c r="AK206" s="80" t="s">
        <v>1839</v>
      </c>
      <c r="AL206" s="80" t="s">
        <v>1985</v>
      </c>
      <c r="AM206" s="85" t="str">
        <f>HYPERLINK("https://t.co/ZSa5Feccgm")</f>
        <v>https://t.co/ZSa5Feccgm</v>
      </c>
      <c r="AN206" s="80"/>
      <c r="AO206" s="82">
        <v>40906.01459490741</v>
      </c>
      <c r="AP206" s="85" t="str">
        <f>HYPERLINK("https://pbs.twimg.com/profile_banners/449314153/1403315243")</f>
        <v>https://pbs.twimg.com/profile_banners/449314153/1403315243</v>
      </c>
      <c r="AQ206" s="80" t="b">
        <v>0</v>
      </c>
      <c r="AR206" s="80" t="b">
        <v>0</v>
      </c>
      <c r="AS206" s="80" t="b">
        <v>1</v>
      </c>
      <c r="AT206" s="80"/>
      <c r="AU206" s="80">
        <v>1067</v>
      </c>
      <c r="AV206" s="85" t="str">
        <f>HYPERLINK("http://abs.twimg.com/images/themes/theme15/bg.png")</f>
        <v>http://abs.twimg.com/images/themes/theme15/bg.png</v>
      </c>
      <c r="AW206" s="80" t="b">
        <v>0</v>
      </c>
      <c r="AX206" s="80" t="s">
        <v>2002</v>
      </c>
      <c r="AY206" s="85" t="str">
        <f>HYPERLINK("https://twitter.com/dwatchnews")</f>
        <v>https://twitter.com/dwatchnews</v>
      </c>
      <c r="AZ206" s="80" t="s">
        <v>66</v>
      </c>
      <c r="BA206" s="80" t="str">
        <f>REPLACE(INDEX(GroupVertices[Group],MATCH(Vertices[[#This Row],[Vertex]],GroupVertices[Vertex],0)),1,1,"")</f>
        <v>5</v>
      </c>
      <c r="BB206" s="48">
        <v>1</v>
      </c>
      <c r="BC206" s="49">
        <v>3.7037037037037037</v>
      </c>
      <c r="BD206" s="48">
        <v>0</v>
      </c>
      <c r="BE206" s="49">
        <v>0</v>
      </c>
      <c r="BF206" s="48">
        <v>0</v>
      </c>
      <c r="BG206" s="49">
        <v>0</v>
      </c>
      <c r="BH206" s="48">
        <v>26</v>
      </c>
      <c r="BI206" s="49">
        <v>96.29629629629629</v>
      </c>
      <c r="BJ206" s="48">
        <v>27</v>
      </c>
      <c r="BK206" s="48"/>
      <c r="BL206" s="48"/>
      <c r="BM206" s="48"/>
      <c r="BN206" s="48"/>
      <c r="BO206" s="48" t="s">
        <v>482</v>
      </c>
      <c r="BP206" s="48" t="s">
        <v>482</v>
      </c>
      <c r="BQ206" s="125" t="s">
        <v>3101</v>
      </c>
      <c r="BR206" s="125" t="s">
        <v>3101</v>
      </c>
      <c r="BS206" s="125" t="s">
        <v>3128</v>
      </c>
      <c r="BT206" s="125" t="s">
        <v>3128</v>
      </c>
      <c r="BU206" s="2"/>
      <c r="BV206" s="3"/>
      <c r="BW206" s="3"/>
      <c r="BX206" s="3"/>
      <c r="BY206" s="3"/>
    </row>
    <row r="207" spans="1:77" ht="15">
      <c r="A207" s="66" t="s">
        <v>495</v>
      </c>
      <c r="B207" s="67"/>
      <c r="C207" s="67"/>
      <c r="D207" s="68">
        <v>100</v>
      </c>
      <c r="E207" s="70"/>
      <c r="F207" s="104" t="str">
        <f>HYPERLINK("http://pbs.twimg.com/profile_images/1098027402712809473/pA1-hELU_normal.jpg")</f>
        <v>http://pbs.twimg.com/profile_images/1098027402712809473/pA1-hELU_normal.jpg</v>
      </c>
      <c r="G207" s="67"/>
      <c r="H207" s="71" t="s">
        <v>495</v>
      </c>
      <c r="I207" s="72"/>
      <c r="J207" s="72"/>
      <c r="K207" s="71" t="s">
        <v>2206</v>
      </c>
      <c r="L207" s="75">
        <v>1</v>
      </c>
      <c r="M207" s="76">
        <v>7728.876953125</v>
      </c>
      <c r="N207" s="76">
        <v>8512.384765625</v>
      </c>
      <c r="O207" s="77"/>
      <c r="P207" s="78"/>
      <c r="Q207" s="78"/>
      <c r="R207" s="90"/>
      <c r="S207" s="48">
        <v>0</v>
      </c>
      <c r="T207" s="48">
        <v>2</v>
      </c>
      <c r="U207" s="49">
        <v>0</v>
      </c>
      <c r="V207" s="49">
        <v>0.026316</v>
      </c>
      <c r="W207" s="49">
        <v>0</v>
      </c>
      <c r="X207" s="49">
        <v>0.576762</v>
      </c>
      <c r="Y207" s="49">
        <v>0.5</v>
      </c>
      <c r="Z207" s="49">
        <v>0</v>
      </c>
      <c r="AA207" s="73">
        <v>207</v>
      </c>
      <c r="AB207" s="73"/>
      <c r="AC207" s="74"/>
      <c r="AD207" s="80" t="s">
        <v>1402</v>
      </c>
      <c r="AE207" s="88" t="s">
        <v>1625</v>
      </c>
      <c r="AF207" s="80">
        <v>2670</v>
      </c>
      <c r="AG207" s="80">
        <v>77747</v>
      </c>
      <c r="AH207" s="80">
        <v>145756</v>
      </c>
      <c r="AI207" s="80">
        <v>4107</v>
      </c>
      <c r="AJ207" s="80"/>
      <c r="AK207" s="80" t="s">
        <v>1840</v>
      </c>
      <c r="AL207" s="80" t="s">
        <v>1986</v>
      </c>
      <c r="AM207" s="85" t="str">
        <f>HYPERLINK("https://t.co/wMLi3k0m1a")</f>
        <v>https://t.co/wMLi3k0m1a</v>
      </c>
      <c r="AN207" s="80"/>
      <c r="AO207" s="82">
        <v>40473.85297453704</v>
      </c>
      <c r="AP207" s="85" t="str">
        <f>HYPERLINK("https://pbs.twimg.com/profile_banners/206366112/1574796536")</f>
        <v>https://pbs.twimg.com/profile_banners/206366112/1574796536</v>
      </c>
      <c r="AQ207" s="80" t="b">
        <v>0</v>
      </c>
      <c r="AR207" s="80" t="b">
        <v>0</v>
      </c>
      <c r="AS207" s="80" t="b">
        <v>1</v>
      </c>
      <c r="AT207" s="80"/>
      <c r="AU207" s="80">
        <v>205</v>
      </c>
      <c r="AV207" s="85" t="str">
        <f>HYPERLINK("http://abs.twimg.com/images/themes/theme1/bg.png")</f>
        <v>http://abs.twimg.com/images/themes/theme1/bg.png</v>
      </c>
      <c r="AW207" s="80" t="b">
        <v>1</v>
      </c>
      <c r="AX207" s="80" t="s">
        <v>2002</v>
      </c>
      <c r="AY207" s="85" t="str">
        <f>HYPERLINK("https://twitter.com/omaakatugba")</f>
        <v>https://twitter.com/omaakatugba</v>
      </c>
      <c r="AZ207" s="80" t="s">
        <v>66</v>
      </c>
      <c r="BA207" s="80" t="str">
        <f>REPLACE(INDEX(GroupVertices[Group],MATCH(Vertices[[#This Row],[Vertex]],GroupVertices[Vertex],0)),1,1,"")</f>
        <v>4</v>
      </c>
      <c r="BB207" s="48">
        <v>1</v>
      </c>
      <c r="BC207" s="49">
        <v>3.125</v>
      </c>
      <c r="BD207" s="48">
        <v>1</v>
      </c>
      <c r="BE207" s="49">
        <v>3.125</v>
      </c>
      <c r="BF207" s="48">
        <v>0</v>
      </c>
      <c r="BG207" s="49">
        <v>0</v>
      </c>
      <c r="BH207" s="48">
        <v>30</v>
      </c>
      <c r="BI207" s="49">
        <v>93.75</v>
      </c>
      <c r="BJ207" s="48">
        <v>32</v>
      </c>
      <c r="BK207" s="48"/>
      <c r="BL207" s="48"/>
      <c r="BM207" s="48"/>
      <c r="BN207" s="48"/>
      <c r="BO207" s="48" t="s">
        <v>711</v>
      </c>
      <c r="BP207" s="48" t="s">
        <v>711</v>
      </c>
      <c r="BQ207" s="125" t="s">
        <v>2863</v>
      </c>
      <c r="BR207" s="125" t="s">
        <v>2863</v>
      </c>
      <c r="BS207" s="125" t="s">
        <v>2978</v>
      </c>
      <c r="BT207" s="125" t="s">
        <v>2978</v>
      </c>
      <c r="BU207" s="2"/>
      <c r="BV207" s="3"/>
      <c r="BW207" s="3"/>
      <c r="BX207" s="3"/>
      <c r="BY207" s="3"/>
    </row>
    <row r="208" spans="1:77" ht="15">
      <c r="A208" s="66" t="s">
        <v>496</v>
      </c>
      <c r="B208" s="67"/>
      <c r="C208" s="67"/>
      <c r="D208" s="68">
        <v>100</v>
      </c>
      <c r="E208" s="70"/>
      <c r="F208" s="104" t="str">
        <f>HYPERLINK("http://pbs.twimg.com/profile_images/655921082080202753/PakNF7k6_normal.jpg")</f>
        <v>http://pbs.twimg.com/profile_images/655921082080202753/PakNF7k6_normal.jpg</v>
      </c>
      <c r="G208" s="67"/>
      <c r="H208" s="71" t="s">
        <v>496</v>
      </c>
      <c r="I208" s="72"/>
      <c r="J208" s="72"/>
      <c r="K208" s="71" t="s">
        <v>2207</v>
      </c>
      <c r="L208" s="75">
        <v>1</v>
      </c>
      <c r="M208" s="76">
        <v>9884.892578125</v>
      </c>
      <c r="N208" s="76">
        <v>8156.1220703125</v>
      </c>
      <c r="O208" s="77"/>
      <c r="P208" s="78"/>
      <c r="Q208" s="78"/>
      <c r="R208" s="90"/>
      <c r="S208" s="48">
        <v>0</v>
      </c>
      <c r="T208" s="48">
        <v>2</v>
      </c>
      <c r="U208" s="49">
        <v>0</v>
      </c>
      <c r="V208" s="49">
        <v>0.026316</v>
      </c>
      <c r="W208" s="49">
        <v>0</v>
      </c>
      <c r="X208" s="49">
        <v>0.576762</v>
      </c>
      <c r="Y208" s="49">
        <v>0.5</v>
      </c>
      <c r="Z208" s="49">
        <v>0</v>
      </c>
      <c r="AA208" s="73">
        <v>208</v>
      </c>
      <c r="AB208" s="73"/>
      <c r="AC208" s="74"/>
      <c r="AD208" s="80" t="s">
        <v>1403</v>
      </c>
      <c r="AE208" s="88" t="s">
        <v>1626</v>
      </c>
      <c r="AF208" s="80">
        <v>1410</v>
      </c>
      <c r="AG208" s="80">
        <v>300</v>
      </c>
      <c r="AH208" s="80">
        <v>1238</v>
      </c>
      <c r="AI208" s="80">
        <v>168</v>
      </c>
      <c r="AJ208" s="80"/>
      <c r="AK208" s="80"/>
      <c r="AL208" s="80" t="s">
        <v>1987</v>
      </c>
      <c r="AM208" s="80"/>
      <c r="AN208" s="80"/>
      <c r="AO208" s="82">
        <v>40070.597337962965</v>
      </c>
      <c r="AP208" s="80"/>
      <c r="AQ208" s="80" t="b">
        <v>0</v>
      </c>
      <c r="AR208" s="80" t="b">
        <v>0</v>
      </c>
      <c r="AS208" s="80" t="b">
        <v>1</v>
      </c>
      <c r="AT208" s="80"/>
      <c r="AU208" s="80">
        <v>9</v>
      </c>
      <c r="AV208" s="85" t="str">
        <f>HYPERLINK("http://abs.twimg.com/images/themes/theme1/bg.png")</f>
        <v>http://abs.twimg.com/images/themes/theme1/bg.png</v>
      </c>
      <c r="AW208" s="80" t="b">
        <v>0</v>
      </c>
      <c r="AX208" s="80" t="s">
        <v>2002</v>
      </c>
      <c r="AY208" s="85" t="str">
        <f>HYPERLINK("https://twitter.com/tmbriceno")</f>
        <v>https://twitter.com/tmbriceno</v>
      </c>
      <c r="AZ208" s="80" t="s">
        <v>66</v>
      </c>
      <c r="BA208" s="80" t="str">
        <f>REPLACE(INDEX(GroupVertices[Group],MATCH(Vertices[[#This Row],[Vertex]],GroupVertices[Vertex],0)),1,1,"")</f>
        <v>4</v>
      </c>
      <c r="BB208" s="48">
        <v>1</v>
      </c>
      <c r="BC208" s="49">
        <v>3.125</v>
      </c>
      <c r="BD208" s="48">
        <v>1</v>
      </c>
      <c r="BE208" s="49">
        <v>3.125</v>
      </c>
      <c r="BF208" s="48">
        <v>0</v>
      </c>
      <c r="BG208" s="49">
        <v>0</v>
      </c>
      <c r="BH208" s="48">
        <v>30</v>
      </c>
      <c r="BI208" s="49">
        <v>93.75</v>
      </c>
      <c r="BJ208" s="48">
        <v>32</v>
      </c>
      <c r="BK208" s="48"/>
      <c r="BL208" s="48"/>
      <c r="BM208" s="48"/>
      <c r="BN208" s="48"/>
      <c r="BO208" s="48" t="s">
        <v>711</v>
      </c>
      <c r="BP208" s="48" t="s">
        <v>711</v>
      </c>
      <c r="BQ208" s="125" t="s">
        <v>2863</v>
      </c>
      <c r="BR208" s="125" t="s">
        <v>2863</v>
      </c>
      <c r="BS208" s="125" t="s">
        <v>2978</v>
      </c>
      <c r="BT208" s="125" t="s">
        <v>2978</v>
      </c>
      <c r="BU208" s="2"/>
      <c r="BV208" s="3"/>
      <c r="BW208" s="3"/>
      <c r="BX208" s="3"/>
      <c r="BY208" s="3"/>
    </row>
    <row r="209" spans="1:77" ht="15">
      <c r="A209" s="66" t="s">
        <v>498</v>
      </c>
      <c r="B209" s="67"/>
      <c r="C209" s="67"/>
      <c r="D209" s="68">
        <v>100</v>
      </c>
      <c r="E209" s="70"/>
      <c r="F209" s="104" t="str">
        <f>HYPERLINK("http://pbs.twimg.com/profile_images/1056716278340222976/dLW3RH5g_normal.jpg")</f>
        <v>http://pbs.twimg.com/profile_images/1056716278340222976/dLW3RH5g_normal.jpg</v>
      </c>
      <c r="G209" s="67"/>
      <c r="H209" s="71" t="s">
        <v>498</v>
      </c>
      <c r="I209" s="72"/>
      <c r="J209" s="72"/>
      <c r="K209" s="71" t="s">
        <v>2208</v>
      </c>
      <c r="L209" s="75">
        <v>1</v>
      </c>
      <c r="M209" s="76">
        <v>9043.31640625</v>
      </c>
      <c r="N209" s="76">
        <v>4294.150390625</v>
      </c>
      <c r="O209" s="77"/>
      <c r="P209" s="78"/>
      <c r="Q209" s="78"/>
      <c r="R209" s="90"/>
      <c r="S209" s="48">
        <v>0</v>
      </c>
      <c r="T209" s="48">
        <v>1</v>
      </c>
      <c r="U209" s="49">
        <v>0</v>
      </c>
      <c r="V209" s="49">
        <v>0.111111</v>
      </c>
      <c r="W209" s="49">
        <v>0</v>
      </c>
      <c r="X209" s="49">
        <v>0.585365</v>
      </c>
      <c r="Y209" s="49">
        <v>0</v>
      </c>
      <c r="Z209" s="49">
        <v>0</v>
      </c>
      <c r="AA209" s="73">
        <v>209</v>
      </c>
      <c r="AB209" s="73"/>
      <c r="AC209" s="74"/>
      <c r="AD209" s="80" t="s">
        <v>1404</v>
      </c>
      <c r="AE209" s="88" t="s">
        <v>1627</v>
      </c>
      <c r="AF209" s="80">
        <v>748</v>
      </c>
      <c r="AG209" s="80">
        <v>3215</v>
      </c>
      <c r="AH209" s="80">
        <v>15557</v>
      </c>
      <c r="AI209" s="80">
        <v>3770</v>
      </c>
      <c r="AJ209" s="80"/>
      <c r="AK209" s="80" t="s">
        <v>1841</v>
      </c>
      <c r="AL209" s="80" t="s">
        <v>1988</v>
      </c>
      <c r="AM209" s="85" t="str">
        <f>HYPERLINK("https://t.co/RzHG6DyzgM")</f>
        <v>https://t.co/RzHG6DyzgM</v>
      </c>
      <c r="AN209" s="80"/>
      <c r="AO209" s="82">
        <v>39945.63217592592</v>
      </c>
      <c r="AP209" s="85" t="str">
        <f>HYPERLINK("https://pbs.twimg.com/profile_banners/39518612/1548249995")</f>
        <v>https://pbs.twimg.com/profile_banners/39518612/1548249995</v>
      </c>
      <c r="AQ209" s="80" t="b">
        <v>0</v>
      </c>
      <c r="AR209" s="80" t="b">
        <v>0</v>
      </c>
      <c r="AS209" s="80" t="b">
        <v>0</v>
      </c>
      <c r="AT209" s="80"/>
      <c r="AU209" s="80">
        <v>595</v>
      </c>
      <c r="AV209" s="85" t="str">
        <f>HYPERLINK("http://abs.twimg.com/images/themes/theme6/bg.gif")</f>
        <v>http://abs.twimg.com/images/themes/theme6/bg.gif</v>
      </c>
      <c r="AW209" s="80" t="b">
        <v>0</v>
      </c>
      <c r="AX209" s="80" t="s">
        <v>2002</v>
      </c>
      <c r="AY209" s="85" t="str">
        <f>HYPERLINK("https://twitter.com/ignasialcalde")</f>
        <v>https://twitter.com/ignasialcalde</v>
      </c>
      <c r="AZ209" s="80" t="s">
        <v>66</v>
      </c>
      <c r="BA209" s="80" t="str">
        <f>REPLACE(INDEX(GroupVertices[Group],MATCH(Vertices[[#This Row],[Vertex]],GroupVertices[Vertex],0)),1,1,"")</f>
        <v>9</v>
      </c>
      <c r="BB209" s="48">
        <v>1</v>
      </c>
      <c r="BC209" s="49">
        <v>16.666666666666668</v>
      </c>
      <c r="BD209" s="48">
        <v>0</v>
      </c>
      <c r="BE209" s="49">
        <v>0</v>
      </c>
      <c r="BF209" s="48">
        <v>0</v>
      </c>
      <c r="BG209" s="49">
        <v>0</v>
      </c>
      <c r="BH209" s="48">
        <v>5</v>
      </c>
      <c r="BI209" s="49">
        <v>83.33333333333333</v>
      </c>
      <c r="BJ209" s="48">
        <v>6</v>
      </c>
      <c r="BK209" s="48"/>
      <c r="BL209" s="48"/>
      <c r="BM209" s="48"/>
      <c r="BN209" s="48"/>
      <c r="BO209" s="48" t="s">
        <v>698</v>
      </c>
      <c r="BP209" s="48" t="s">
        <v>698</v>
      </c>
      <c r="BQ209" s="125" t="s">
        <v>3083</v>
      </c>
      <c r="BR209" s="125" t="s">
        <v>3083</v>
      </c>
      <c r="BS209" s="125" t="s">
        <v>2983</v>
      </c>
      <c r="BT209" s="125" t="s">
        <v>2983</v>
      </c>
      <c r="BU209" s="2"/>
      <c r="BV209" s="3"/>
      <c r="BW209" s="3"/>
      <c r="BX209" s="3"/>
      <c r="BY209" s="3"/>
    </row>
    <row r="210" spans="1:77" ht="15">
      <c r="A210" s="66" t="s">
        <v>499</v>
      </c>
      <c r="B210" s="67"/>
      <c r="C210" s="67"/>
      <c r="D210" s="68">
        <v>100.47846842105263</v>
      </c>
      <c r="E210" s="70"/>
      <c r="F210" s="104" t="str">
        <f>HYPERLINK("http://abs.twimg.com/sticky/default_profile_images/default_profile_normal.png")</f>
        <v>http://abs.twimg.com/sticky/default_profile_images/default_profile_normal.png</v>
      </c>
      <c r="G210" s="67"/>
      <c r="H210" s="71" t="s">
        <v>499</v>
      </c>
      <c r="I210" s="72"/>
      <c r="J210" s="72"/>
      <c r="K210" s="71" t="s">
        <v>2209</v>
      </c>
      <c r="L210" s="75">
        <v>1.4245250733302195</v>
      </c>
      <c r="M210" s="76">
        <v>5996.41650390625</v>
      </c>
      <c r="N210" s="76">
        <v>6765.18505859375</v>
      </c>
      <c r="O210" s="77"/>
      <c r="P210" s="78"/>
      <c r="Q210" s="78"/>
      <c r="R210" s="90"/>
      <c r="S210" s="48">
        <v>0</v>
      </c>
      <c r="T210" s="48">
        <v>3</v>
      </c>
      <c r="U210" s="49">
        <v>0.090909</v>
      </c>
      <c r="V210" s="49">
        <v>0.020408</v>
      </c>
      <c r="W210" s="49">
        <v>0</v>
      </c>
      <c r="X210" s="49">
        <v>0.681054</v>
      </c>
      <c r="Y210" s="49">
        <v>0.3333333333333333</v>
      </c>
      <c r="Z210" s="49">
        <v>0</v>
      </c>
      <c r="AA210" s="73">
        <v>210</v>
      </c>
      <c r="AB210" s="73"/>
      <c r="AC210" s="74"/>
      <c r="AD210" s="80" t="s">
        <v>1405</v>
      </c>
      <c r="AE210" s="88" t="s">
        <v>1628</v>
      </c>
      <c r="AF210" s="80">
        <v>8</v>
      </c>
      <c r="AG210" s="80">
        <v>2</v>
      </c>
      <c r="AH210" s="80">
        <v>59</v>
      </c>
      <c r="AI210" s="80">
        <v>2</v>
      </c>
      <c r="AJ210" s="80"/>
      <c r="AK210" s="80"/>
      <c r="AL210" s="80"/>
      <c r="AM210" s="80"/>
      <c r="AN210" s="80"/>
      <c r="AO210" s="82">
        <v>43063.845347222225</v>
      </c>
      <c r="AP210" s="80"/>
      <c r="AQ210" s="80" t="b">
        <v>1</v>
      </c>
      <c r="AR210" s="80" t="b">
        <v>1</v>
      </c>
      <c r="AS210" s="80" t="b">
        <v>1</v>
      </c>
      <c r="AT210" s="80"/>
      <c r="AU210" s="80">
        <v>0</v>
      </c>
      <c r="AV210" s="80"/>
      <c r="AW210" s="80" t="b">
        <v>0</v>
      </c>
      <c r="AX210" s="80" t="s">
        <v>2002</v>
      </c>
      <c r="AY210" s="85" t="str">
        <f>HYPERLINK("https://twitter.com/bartongeography")</f>
        <v>https://twitter.com/bartongeography</v>
      </c>
      <c r="AZ210" s="80" t="s">
        <v>66</v>
      </c>
      <c r="BA210" s="80" t="str">
        <f>REPLACE(INDEX(GroupVertices[Group],MATCH(Vertices[[#This Row],[Vertex]],GroupVertices[Vertex],0)),1,1,"")</f>
        <v>3</v>
      </c>
      <c r="BB210" s="48">
        <v>1</v>
      </c>
      <c r="BC210" s="49">
        <v>4.761904761904762</v>
      </c>
      <c r="BD210" s="48">
        <v>0</v>
      </c>
      <c r="BE210" s="49">
        <v>0</v>
      </c>
      <c r="BF210" s="48">
        <v>0</v>
      </c>
      <c r="BG210" s="49">
        <v>0</v>
      </c>
      <c r="BH210" s="48">
        <v>20</v>
      </c>
      <c r="BI210" s="49">
        <v>95.23809523809524</v>
      </c>
      <c r="BJ210" s="48">
        <v>21</v>
      </c>
      <c r="BK210" s="48"/>
      <c r="BL210" s="48"/>
      <c r="BM210" s="48"/>
      <c r="BN210" s="48"/>
      <c r="BO210" s="48" t="s">
        <v>703</v>
      </c>
      <c r="BP210" s="48" t="s">
        <v>703</v>
      </c>
      <c r="BQ210" s="125" t="s">
        <v>3093</v>
      </c>
      <c r="BR210" s="125" t="s">
        <v>3093</v>
      </c>
      <c r="BS210" s="125" t="s">
        <v>3122</v>
      </c>
      <c r="BT210" s="125" t="s">
        <v>3122</v>
      </c>
      <c r="BU210" s="2"/>
      <c r="BV210" s="3"/>
      <c r="BW210" s="3"/>
      <c r="BX210" s="3"/>
      <c r="BY210" s="3"/>
    </row>
    <row r="211" spans="1:77" ht="15">
      <c r="A211" s="66" t="s">
        <v>500</v>
      </c>
      <c r="B211" s="67"/>
      <c r="C211" s="67"/>
      <c r="D211" s="68">
        <v>100</v>
      </c>
      <c r="E211" s="70"/>
      <c r="F211" s="104" t="str">
        <f>HYPERLINK("http://pbs.twimg.com/profile_images/1244906928192606208/wCdVOodt_normal.jpg")</f>
        <v>http://pbs.twimg.com/profile_images/1244906928192606208/wCdVOodt_normal.jpg</v>
      </c>
      <c r="G211" s="67"/>
      <c r="H211" s="71" t="s">
        <v>500</v>
      </c>
      <c r="I211" s="72"/>
      <c r="J211" s="72"/>
      <c r="K211" s="71" t="s">
        <v>2210</v>
      </c>
      <c r="L211" s="75">
        <v>1</v>
      </c>
      <c r="M211" s="76">
        <v>7890.49169921875</v>
      </c>
      <c r="N211" s="76">
        <v>9500.818359375</v>
      </c>
      <c r="O211" s="77"/>
      <c r="P211" s="78"/>
      <c r="Q211" s="78"/>
      <c r="R211" s="90"/>
      <c r="S211" s="48">
        <v>0</v>
      </c>
      <c r="T211" s="48">
        <v>2</v>
      </c>
      <c r="U211" s="49">
        <v>0</v>
      </c>
      <c r="V211" s="49">
        <v>0.026316</v>
      </c>
      <c r="W211" s="49">
        <v>0</v>
      </c>
      <c r="X211" s="49">
        <v>0.576762</v>
      </c>
      <c r="Y211" s="49">
        <v>0.5</v>
      </c>
      <c r="Z211" s="49">
        <v>0</v>
      </c>
      <c r="AA211" s="73">
        <v>211</v>
      </c>
      <c r="AB211" s="73"/>
      <c r="AC211" s="74"/>
      <c r="AD211" s="80" t="s">
        <v>1406</v>
      </c>
      <c r="AE211" s="88" t="s">
        <v>1629</v>
      </c>
      <c r="AF211" s="80">
        <v>326</v>
      </c>
      <c r="AG211" s="80">
        <v>207</v>
      </c>
      <c r="AH211" s="80">
        <v>204</v>
      </c>
      <c r="AI211" s="80">
        <v>443</v>
      </c>
      <c r="AJ211" s="80"/>
      <c r="AK211" s="80" t="s">
        <v>1842</v>
      </c>
      <c r="AL211" s="80" t="s">
        <v>1989</v>
      </c>
      <c r="AM211" s="80"/>
      <c r="AN211" s="80"/>
      <c r="AO211" s="82">
        <v>41322.80587962963</v>
      </c>
      <c r="AP211" s="85" t="str">
        <f>HYPERLINK("https://pbs.twimg.com/profile_banners/1190866568/1491341694")</f>
        <v>https://pbs.twimg.com/profile_banners/1190866568/1491341694</v>
      </c>
      <c r="AQ211" s="80" t="b">
        <v>1</v>
      </c>
      <c r="AR211" s="80" t="b">
        <v>0</v>
      </c>
      <c r="AS211" s="80" t="b">
        <v>0</v>
      </c>
      <c r="AT211" s="80"/>
      <c r="AU211" s="80">
        <v>0</v>
      </c>
      <c r="AV211" s="85" t="str">
        <f>HYPERLINK("http://abs.twimg.com/images/themes/theme1/bg.png")</f>
        <v>http://abs.twimg.com/images/themes/theme1/bg.png</v>
      </c>
      <c r="AW211" s="80" t="b">
        <v>0</v>
      </c>
      <c r="AX211" s="80" t="s">
        <v>2002</v>
      </c>
      <c r="AY211" s="85" t="str">
        <f>HYPERLINK("https://twitter.com/asashaelizabeth")</f>
        <v>https://twitter.com/asashaelizabeth</v>
      </c>
      <c r="AZ211" s="80" t="s">
        <v>66</v>
      </c>
      <c r="BA211" s="80" t="str">
        <f>REPLACE(INDEX(GroupVertices[Group],MATCH(Vertices[[#This Row],[Vertex]],GroupVertices[Vertex],0)),1,1,"")</f>
        <v>4</v>
      </c>
      <c r="BB211" s="48">
        <v>1</v>
      </c>
      <c r="BC211" s="49">
        <v>3.125</v>
      </c>
      <c r="BD211" s="48">
        <v>1</v>
      </c>
      <c r="BE211" s="49">
        <v>3.125</v>
      </c>
      <c r="BF211" s="48">
        <v>0</v>
      </c>
      <c r="BG211" s="49">
        <v>0</v>
      </c>
      <c r="BH211" s="48">
        <v>30</v>
      </c>
      <c r="BI211" s="49">
        <v>93.75</v>
      </c>
      <c r="BJ211" s="48">
        <v>32</v>
      </c>
      <c r="BK211" s="48"/>
      <c r="BL211" s="48"/>
      <c r="BM211" s="48"/>
      <c r="BN211" s="48"/>
      <c r="BO211" s="48" t="s">
        <v>711</v>
      </c>
      <c r="BP211" s="48" t="s">
        <v>711</v>
      </c>
      <c r="BQ211" s="125" t="s">
        <v>2863</v>
      </c>
      <c r="BR211" s="125" t="s">
        <v>2863</v>
      </c>
      <c r="BS211" s="125" t="s">
        <v>2978</v>
      </c>
      <c r="BT211" s="125" t="s">
        <v>2978</v>
      </c>
      <c r="BU211" s="2"/>
      <c r="BV211" s="3"/>
      <c r="BW211" s="3"/>
      <c r="BX211" s="3"/>
      <c r="BY211" s="3"/>
    </row>
    <row r="212" spans="1:77" ht="15">
      <c r="A212" s="66" t="s">
        <v>501</v>
      </c>
      <c r="B212" s="67"/>
      <c r="C212" s="67"/>
      <c r="D212" s="68">
        <v>100.47846842105263</v>
      </c>
      <c r="E212" s="70"/>
      <c r="F212" s="104" t="str">
        <f>HYPERLINK("http://pbs.twimg.com/profile_images/1250894489142640640/SGPTHHwM_normal.jpg")</f>
        <v>http://pbs.twimg.com/profile_images/1250894489142640640/SGPTHHwM_normal.jpg</v>
      </c>
      <c r="G212" s="67"/>
      <c r="H212" s="71" t="s">
        <v>501</v>
      </c>
      <c r="I212" s="72"/>
      <c r="J212" s="72"/>
      <c r="K212" s="71" t="s">
        <v>2211</v>
      </c>
      <c r="L212" s="75">
        <v>1.4245250733302195</v>
      </c>
      <c r="M212" s="76">
        <v>6812.05615234375</v>
      </c>
      <c r="N212" s="76">
        <v>8497.365234375</v>
      </c>
      <c r="O212" s="77"/>
      <c r="P212" s="78"/>
      <c r="Q212" s="78"/>
      <c r="R212" s="90"/>
      <c r="S212" s="48">
        <v>0</v>
      </c>
      <c r="T212" s="48">
        <v>3</v>
      </c>
      <c r="U212" s="49">
        <v>0.090909</v>
      </c>
      <c r="V212" s="49">
        <v>0.020408</v>
      </c>
      <c r="W212" s="49">
        <v>0</v>
      </c>
      <c r="X212" s="49">
        <v>0.681054</v>
      </c>
      <c r="Y212" s="49">
        <v>0.3333333333333333</v>
      </c>
      <c r="Z212" s="49">
        <v>0</v>
      </c>
      <c r="AA212" s="73">
        <v>212</v>
      </c>
      <c r="AB212" s="73"/>
      <c r="AC212" s="74"/>
      <c r="AD212" s="80" t="s">
        <v>1407</v>
      </c>
      <c r="AE212" s="88" t="s">
        <v>1630</v>
      </c>
      <c r="AF212" s="80">
        <v>481</v>
      </c>
      <c r="AG212" s="80">
        <v>354</v>
      </c>
      <c r="AH212" s="80">
        <v>638</v>
      </c>
      <c r="AI212" s="80">
        <v>2348</v>
      </c>
      <c r="AJ212" s="80"/>
      <c r="AK212" s="80" t="s">
        <v>1843</v>
      </c>
      <c r="AL212" s="80" t="s">
        <v>1990</v>
      </c>
      <c r="AM212" s="85" t="str">
        <f>HYPERLINK("https://t.co/deDkTBY3HU")</f>
        <v>https://t.co/deDkTBY3HU</v>
      </c>
      <c r="AN212" s="80"/>
      <c r="AO212" s="82">
        <v>42886.69967592593</v>
      </c>
      <c r="AP212" s="85" t="str">
        <f>HYPERLINK("https://pbs.twimg.com/profile_banners/869958533479092224/1592469366")</f>
        <v>https://pbs.twimg.com/profile_banners/869958533479092224/1592469366</v>
      </c>
      <c r="AQ212" s="80" t="b">
        <v>0</v>
      </c>
      <c r="AR212" s="80" t="b">
        <v>0</v>
      </c>
      <c r="AS212" s="80" t="b">
        <v>0</v>
      </c>
      <c r="AT212" s="80"/>
      <c r="AU212" s="80">
        <v>0</v>
      </c>
      <c r="AV212" s="85" t="str">
        <f>HYPERLINK("http://abs.twimg.com/images/themes/theme1/bg.png")</f>
        <v>http://abs.twimg.com/images/themes/theme1/bg.png</v>
      </c>
      <c r="AW212" s="80" t="b">
        <v>0</v>
      </c>
      <c r="AX212" s="80" t="s">
        <v>2002</v>
      </c>
      <c r="AY212" s="85" t="str">
        <f>HYPERLINK("https://twitter.com/mrs_geog")</f>
        <v>https://twitter.com/mrs_geog</v>
      </c>
      <c r="AZ212" s="80" t="s">
        <v>66</v>
      </c>
      <c r="BA212" s="80" t="str">
        <f>REPLACE(INDEX(GroupVertices[Group],MATCH(Vertices[[#This Row],[Vertex]],GroupVertices[Vertex],0)),1,1,"")</f>
        <v>3</v>
      </c>
      <c r="BB212" s="48">
        <v>1</v>
      </c>
      <c r="BC212" s="49">
        <v>4.761904761904762</v>
      </c>
      <c r="BD212" s="48">
        <v>0</v>
      </c>
      <c r="BE212" s="49">
        <v>0</v>
      </c>
      <c r="BF212" s="48">
        <v>0</v>
      </c>
      <c r="BG212" s="49">
        <v>0</v>
      </c>
      <c r="BH212" s="48">
        <v>20</v>
      </c>
      <c r="BI212" s="49">
        <v>95.23809523809524</v>
      </c>
      <c r="BJ212" s="48">
        <v>21</v>
      </c>
      <c r="BK212" s="48"/>
      <c r="BL212" s="48"/>
      <c r="BM212" s="48"/>
      <c r="BN212" s="48"/>
      <c r="BO212" s="48" t="s">
        <v>703</v>
      </c>
      <c r="BP212" s="48" t="s">
        <v>703</v>
      </c>
      <c r="BQ212" s="125" t="s">
        <v>3093</v>
      </c>
      <c r="BR212" s="125" t="s">
        <v>3093</v>
      </c>
      <c r="BS212" s="125" t="s">
        <v>3122</v>
      </c>
      <c r="BT212" s="125" t="s">
        <v>3122</v>
      </c>
      <c r="BU212" s="2"/>
      <c r="BV212" s="3"/>
      <c r="BW212" s="3"/>
      <c r="BX212" s="3"/>
      <c r="BY212" s="3"/>
    </row>
    <row r="213" spans="1:77" ht="15">
      <c r="A213" s="66" t="s">
        <v>502</v>
      </c>
      <c r="B213" s="67"/>
      <c r="C213" s="67"/>
      <c r="D213" s="68">
        <v>101.50375789473684</v>
      </c>
      <c r="E213" s="70"/>
      <c r="F213" s="104" t="str">
        <f>HYPERLINK("http://pbs.twimg.com/profile_images/989588955376037888/bOy3ja6W_normal.jpg")</f>
        <v>http://pbs.twimg.com/profile_images/989588955376037888/bOy3ja6W_normal.jpg</v>
      </c>
      <c r="G213" s="67"/>
      <c r="H213" s="71" t="s">
        <v>502</v>
      </c>
      <c r="I213" s="72"/>
      <c r="J213" s="72"/>
      <c r="K213" s="71" t="s">
        <v>2212</v>
      </c>
      <c r="L213" s="75">
        <v>2.3342216590378326</v>
      </c>
      <c r="M213" s="76">
        <v>4852.52978515625</v>
      </c>
      <c r="N213" s="76">
        <v>5596.61767578125</v>
      </c>
      <c r="O213" s="77"/>
      <c r="P213" s="78"/>
      <c r="Q213" s="78"/>
      <c r="R213" s="90"/>
      <c r="S213" s="48">
        <v>0</v>
      </c>
      <c r="T213" s="48">
        <v>3</v>
      </c>
      <c r="U213" s="49">
        <v>0.285714</v>
      </c>
      <c r="V213" s="49">
        <v>0.028571</v>
      </c>
      <c r="W213" s="49">
        <v>0</v>
      </c>
      <c r="X213" s="49">
        <v>0.761422</v>
      </c>
      <c r="Y213" s="49">
        <v>0.3333333333333333</v>
      </c>
      <c r="Z213" s="49">
        <v>0</v>
      </c>
      <c r="AA213" s="73">
        <v>213</v>
      </c>
      <c r="AB213" s="73"/>
      <c r="AC213" s="74"/>
      <c r="AD213" s="80" t="s">
        <v>1408</v>
      </c>
      <c r="AE213" s="88" t="s">
        <v>1631</v>
      </c>
      <c r="AF213" s="80">
        <v>2126</v>
      </c>
      <c r="AG213" s="80">
        <v>1801</v>
      </c>
      <c r="AH213" s="80">
        <v>1403</v>
      </c>
      <c r="AI213" s="80">
        <v>1287</v>
      </c>
      <c r="AJ213" s="80"/>
      <c r="AK213" s="80" t="s">
        <v>1844</v>
      </c>
      <c r="AL213" s="80" t="s">
        <v>1881</v>
      </c>
      <c r="AM213" s="85" t="str">
        <f>HYPERLINK("https://t.co/PWEaLtVVfy")</f>
        <v>https://t.co/PWEaLtVVfy</v>
      </c>
      <c r="AN213" s="80"/>
      <c r="AO213" s="82">
        <v>40517.374074074076</v>
      </c>
      <c r="AP213" s="85" t="str">
        <f>HYPERLINK("https://pbs.twimg.com/profile_banners/223070772/1424647270")</f>
        <v>https://pbs.twimg.com/profile_banners/223070772/1424647270</v>
      </c>
      <c r="AQ213" s="80" t="b">
        <v>1</v>
      </c>
      <c r="AR213" s="80" t="b">
        <v>0</v>
      </c>
      <c r="AS213" s="80" t="b">
        <v>1</v>
      </c>
      <c r="AT213" s="80"/>
      <c r="AU213" s="80">
        <v>55</v>
      </c>
      <c r="AV213" s="85" t="str">
        <f>HYPERLINK("http://abs.twimg.com/images/themes/theme1/bg.png")</f>
        <v>http://abs.twimg.com/images/themes/theme1/bg.png</v>
      </c>
      <c r="AW213" s="80" t="b">
        <v>0</v>
      </c>
      <c r="AX213" s="80" t="s">
        <v>2002</v>
      </c>
      <c r="AY213" s="85" t="str">
        <f>HYPERLINK("https://twitter.com/c_aguilargarcia")</f>
        <v>https://twitter.com/c_aguilargarcia</v>
      </c>
      <c r="AZ213" s="80" t="s">
        <v>66</v>
      </c>
      <c r="BA213" s="80" t="str">
        <f>REPLACE(INDEX(GroupVertices[Group],MATCH(Vertices[[#This Row],[Vertex]],GroupVertices[Vertex],0)),1,1,"")</f>
        <v>5</v>
      </c>
      <c r="BB213" s="48">
        <v>2</v>
      </c>
      <c r="BC213" s="49">
        <v>5.555555555555555</v>
      </c>
      <c r="BD213" s="48">
        <v>0</v>
      </c>
      <c r="BE213" s="49">
        <v>0</v>
      </c>
      <c r="BF213" s="48">
        <v>0</v>
      </c>
      <c r="BG213" s="49">
        <v>0</v>
      </c>
      <c r="BH213" s="48">
        <v>34</v>
      </c>
      <c r="BI213" s="49">
        <v>94.44444444444444</v>
      </c>
      <c r="BJ213" s="48">
        <v>36</v>
      </c>
      <c r="BK213" s="48"/>
      <c r="BL213" s="48"/>
      <c r="BM213" s="48"/>
      <c r="BN213" s="48"/>
      <c r="BO213" s="48" t="s">
        <v>699</v>
      </c>
      <c r="BP213" s="48" t="s">
        <v>699</v>
      </c>
      <c r="BQ213" s="125" t="s">
        <v>3090</v>
      </c>
      <c r="BR213" s="125" t="s">
        <v>3090</v>
      </c>
      <c r="BS213" s="125" t="s">
        <v>3120</v>
      </c>
      <c r="BT213" s="125" t="s">
        <v>3120</v>
      </c>
      <c r="BU213" s="2"/>
      <c r="BV213" s="3"/>
      <c r="BW213" s="3"/>
      <c r="BX213" s="3"/>
      <c r="BY213" s="3"/>
    </row>
    <row r="214" spans="1:77" ht="15">
      <c r="A214" s="66" t="s">
        <v>503</v>
      </c>
      <c r="B214" s="67"/>
      <c r="C214" s="67"/>
      <c r="D214" s="68">
        <v>100</v>
      </c>
      <c r="E214" s="70"/>
      <c r="F214" s="104" t="str">
        <f>HYPERLINK("http://pbs.twimg.com/profile_images/1194697938620035072/G9LxzJ-7_normal.jpg")</f>
        <v>http://pbs.twimg.com/profile_images/1194697938620035072/G9LxzJ-7_normal.jpg</v>
      </c>
      <c r="G214" s="67"/>
      <c r="H214" s="71" t="s">
        <v>503</v>
      </c>
      <c r="I214" s="72"/>
      <c r="J214" s="72"/>
      <c r="K214" s="71" t="s">
        <v>2213</v>
      </c>
      <c r="L214" s="75">
        <v>1</v>
      </c>
      <c r="M214" s="76">
        <v>8517.8740234375</v>
      </c>
      <c r="N214" s="76">
        <v>9237.1748046875</v>
      </c>
      <c r="O214" s="77"/>
      <c r="P214" s="78"/>
      <c r="Q214" s="78"/>
      <c r="R214" s="90"/>
      <c r="S214" s="48">
        <v>0</v>
      </c>
      <c r="T214" s="48">
        <v>2</v>
      </c>
      <c r="U214" s="49">
        <v>0</v>
      </c>
      <c r="V214" s="49">
        <v>0.026316</v>
      </c>
      <c r="W214" s="49">
        <v>0</v>
      </c>
      <c r="X214" s="49">
        <v>0.576762</v>
      </c>
      <c r="Y214" s="49">
        <v>0.5</v>
      </c>
      <c r="Z214" s="49">
        <v>0</v>
      </c>
      <c r="AA214" s="73">
        <v>214</v>
      </c>
      <c r="AB214" s="73"/>
      <c r="AC214" s="74"/>
      <c r="AD214" s="80" t="s">
        <v>1409</v>
      </c>
      <c r="AE214" s="88" t="s">
        <v>1632</v>
      </c>
      <c r="AF214" s="80">
        <v>606</v>
      </c>
      <c r="AG214" s="80">
        <v>215</v>
      </c>
      <c r="AH214" s="80">
        <v>147</v>
      </c>
      <c r="AI214" s="80">
        <v>301</v>
      </c>
      <c r="AJ214" s="80"/>
      <c r="AK214" s="80" t="s">
        <v>1845</v>
      </c>
      <c r="AL214" s="80" t="s">
        <v>1991</v>
      </c>
      <c r="AM214" s="80"/>
      <c r="AN214" s="80"/>
      <c r="AO214" s="82">
        <v>42067.40204861111</v>
      </c>
      <c r="AP214" s="80"/>
      <c r="AQ214" s="80" t="b">
        <v>1</v>
      </c>
      <c r="AR214" s="80" t="b">
        <v>0</v>
      </c>
      <c r="AS214" s="80" t="b">
        <v>1</v>
      </c>
      <c r="AT214" s="80"/>
      <c r="AU214" s="80">
        <v>2</v>
      </c>
      <c r="AV214" s="85" t="str">
        <f>HYPERLINK("http://abs.twimg.com/images/themes/theme1/bg.png")</f>
        <v>http://abs.twimg.com/images/themes/theme1/bg.png</v>
      </c>
      <c r="AW214" s="80" t="b">
        <v>0</v>
      </c>
      <c r="AX214" s="80" t="s">
        <v>2002</v>
      </c>
      <c r="AY214" s="85" t="str">
        <f>HYPERLINK("https://twitter.com/margueritesall4")</f>
        <v>https://twitter.com/margueritesall4</v>
      </c>
      <c r="AZ214" s="80" t="s">
        <v>66</v>
      </c>
      <c r="BA214" s="80" t="str">
        <f>REPLACE(INDEX(GroupVertices[Group],MATCH(Vertices[[#This Row],[Vertex]],GroupVertices[Vertex],0)),1,1,"")</f>
        <v>4</v>
      </c>
      <c r="BB214" s="48">
        <v>1</v>
      </c>
      <c r="BC214" s="49">
        <v>3.125</v>
      </c>
      <c r="BD214" s="48">
        <v>1</v>
      </c>
      <c r="BE214" s="49">
        <v>3.125</v>
      </c>
      <c r="BF214" s="48">
        <v>0</v>
      </c>
      <c r="BG214" s="49">
        <v>0</v>
      </c>
      <c r="BH214" s="48">
        <v>30</v>
      </c>
      <c r="BI214" s="49">
        <v>93.75</v>
      </c>
      <c r="BJ214" s="48">
        <v>32</v>
      </c>
      <c r="BK214" s="48"/>
      <c r="BL214" s="48"/>
      <c r="BM214" s="48"/>
      <c r="BN214" s="48"/>
      <c r="BO214" s="48" t="s">
        <v>711</v>
      </c>
      <c r="BP214" s="48" t="s">
        <v>711</v>
      </c>
      <c r="BQ214" s="125" t="s">
        <v>2863</v>
      </c>
      <c r="BR214" s="125" t="s">
        <v>2863</v>
      </c>
      <c r="BS214" s="125" t="s">
        <v>2978</v>
      </c>
      <c r="BT214" s="125" t="s">
        <v>2978</v>
      </c>
      <c r="BU214" s="2"/>
      <c r="BV214" s="3"/>
      <c r="BW214" s="3"/>
      <c r="BX214" s="3"/>
      <c r="BY214" s="3"/>
    </row>
    <row r="215" spans="1:77" ht="15">
      <c r="A215" s="66" t="s">
        <v>504</v>
      </c>
      <c r="B215" s="67"/>
      <c r="C215" s="67"/>
      <c r="D215" s="68">
        <v>100</v>
      </c>
      <c r="E215" s="70"/>
      <c r="F215" s="104" t="str">
        <f>HYPERLINK("http://pbs.twimg.com/profile_images/1135600516422164480/SEfFiYh9_normal.png")</f>
        <v>http://pbs.twimg.com/profile_images/1135600516422164480/SEfFiYh9_normal.png</v>
      </c>
      <c r="G215" s="67"/>
      <c r="H215" s="71" t="s">
        <v>504</v>
      </c>
      <c r="I215" s="72"/>
      <c r="J215" s="72"/>
      <c r="K215" s="71" t="s">
        <v>2214</v>
      </c>
      <c r="L215" s="75">
        <v>1</v>
      </c>
      <c r="M215" s="76">
        <v>9139.212890625</v>
      </c>
      <c r="N215" s="76">
        <v>1951.85205078125</v>
      </c>
      <c r="O215" s="77"/>
      <c r="P215" s="78"/>
      <c r="Q215" s="78"/>
      <c r="R215" s="90"/>
      <c r="S215" s="48">
        <v>2</v>
      </c>
      <c r="T215" s="48">
        <v>2</v>
      </c>
      <c r="U215" s="49">
        <v>0</v>
      </c>
      <c r="V215" s="49">
        <v>0.5</v>
      </c>
      <c r="W215" s="49">
        <v>0</v>
      </c>
      <c r="X215" s="49">
        <v>1.248172</v>
      </c>
      <c r="Y215" s="49">
        <v>0.5</v>
      </c>
      <c r="Z215" s="49">
        <v>0</v>
      </c>
      <c r="AA215" s="73">
        <v>215</v>
      </c>
      <c r="AB215" s="73"/>
      <c r="AC215" s="74"/>
      <c r="AD215" s="80" t="s">
        <v>1410</v>
      </c>
      <c r="AE215" s="88" t="s">
        <v>1633</v>
      </c>
      <c r="AF215" s="80">
        <v>97</v>
      </c>
      <c r="AG215" s="80">
        <v>5002</v>
      </c>
      <c r="AH215" s="80">
        <v>5010</v>
      </c>
      <c r="AI215" s="80">
        <v>335</v>
      </c>
      <c r="AJ215" s="80"/>
      <c r="AK215" s="80" t="s">
        <v>1846</v>
      </c>
      <c r="AL215" s="80"/>
      <c r="AM215" s="85" t="str">
        <f>HYPERLINK("https://t.co/WMc86VOIAU")</f>
        <v>https://t.co/WMc86VOIAU</v>
      </c>
      <c r="AN215" s="80"/>
      <c r="AO215" s="82">
        <v>43151.607199074075</v>
      </c>
      <c r="AP215" s="85" t="str">
        <f>HYPERLINK("https://pbs.twimg.com/profile_banners/965957807232225280/1574262219")</f>
        <v>https://pbs.twimg.com/profile_banners/965957807232225280/1574262219</v>
      </c>
      <c r="AQ215" s="80" t="b">
        <v>1</v>
      </c>
      <c r="AR215" s="80" t="b">
        <v>0</v>
      </c>
      <c r="AS215" s="80" t="b">
        <v>0</v>
      </c>
      <c r="AT215" s="80"/>
      <c r="AU215" s="80">
        <v>102</v>
      </c>
      <c r="AV215" s="80"/>
      <c r="AW215" s="80" t="b">
        <v>1</v>
      </c>
      <c r="AX215" s="80" t="s">
        <v>2002</v>
      </c>
      <c r="AY215" s="85" t="str">
        <f>HYPERLINK("https://twitter.com/gijnfr")</f>
        <v>https://twitter.com/gijnfr</v>
      </c>
      <c r="AZ215" s="80" t="s">
        <v>66</v>
      </c>
      <c r="BA215" s="80" t="str">
        <f>REPLACE(INDEX(GroupVertices[Group],MATCH(Vertices[[#This Row],[Vertex]],GroupVertices[Vertex],0)),1,1,"")</f>
        <v>17</v>
      </c>
      <c r="BB215" s="48">
        <v>1</v>
      </c>
      <c r="BC215" s="49">
        <v>1.4492753623188406</v>
      </c>
      <c r="BD215" s="48">
        <v>0</v>
      </c>
      <c r="BE215" s="49">
        <v>0</v>
      </c>
      <c r="BF215" s="48">
        <v>0</v>
      </c>
      <c r="BG215" s="49">
        <v>0</v>
      </c>
      <c r="BH215" s="48">
        <v>68</v>
      </c>
      <c r="BI215" s="49">
        <v>98.55072463768116</v>
      </c>
      <c r="BJ215" s="48">
        <v>69</v>
      </c>
      <c r="BK215" s="48" t="s">
        <v>3062</v>
      </c>
      <c r="BL215" s="48" t="s">
        <v>3062</v>
      </c>
      <c r="BM215" s="48" t="s">
        <v>2802</v>
      </c>
      <c r="BN215" s="48" t="s">
        <v>3068</v>
      </c>
      <c r="BO215" s="48" t="s">
        <v>726</v>
      </c>
      <c r="BP215" s="48" t="s">
        <v>3081</v>
      </c>
      <c r="BQ215" s="125" t="s">
        <v>3104</v>
      </c>
      <c r="BR215" s="125" t="s">
        <v>3112</v>
      </c>
      <c r="BS215" s="125" t="s">
        <v>3130</v>
      </c>
      <c r="BT215" s="125" t="s">
        <v>3134</v>
      </c>
      <c r="BU215" s="2"/>
      <c r="BV215" s="3"/>
      <c r="BW215" s="3"/>
      <c r="BX215" s="3"/>
      <c r="BY215" s="3"/>
    </row>
    <row r="216" spans="1:77" ht="15">
      <c r="A216" s="66" t="s">
        <v>584</v>
      </c>
      <c r="B216" s="67"/>
      <c r="C216" s="67"/>
      <c r="D216" s="68">
        <v>100</v>
      </c>
      <c r="E216" s="70"/>
      <c r="F216" s="104" t="str">
        <f>HYPERLINK("http://pbs.twimg.com/profile_images/1100123303904194565/1dIFsnEt_normal.png")</f>
        <v>http://pbs.twimg.com/profile_images/1100123303904194565/1dIFsnEt_normal.png</v>
      </c>
      <c r="G216" s="67"/>
      <c r="H216" s="71" t="s">
        <v>584</v>
      </c>
      <c r="I216" s="72"/>
      <c r="J216" s="72"/>
      <c r="K216" s="71" t="s">
        <v>2215</v>
      </c>
      <c r="L216" s="75">
        <v>1</v>
      </c>
      <c r="M216" s="76">
        <v>9884.892578125</v>
      </c>
      <c r="N216" s="76">
        <v>1416.0433349609375</v>
      </c>
      <c r="O216" s="77"/>
      <c r="P216" s="78"/>
      <c r="Q216" s="78"/>
      <c r="R216" s="90"/>
      <c r="S216" s="48">
        <v>2</v>
      </c>
      <c r="T216" s="48">
        <v>0</v>
      </c>
      <c r="U216" s="49">
        <v>0</v>
      </c>
      <c r="V216" s="49">
        <v>0.5</v>
      </c>
      <c r="W216" s="49">
        <v>0</v>
      </c>
      <c r="X216" s="49">
        <v>0.87591</v>
      </c>
      <c r="Y216" s="49">
        <v>0.5</v>
      </c>
      <c r="Z216" s="49">
        <v>0</v>
      </c>
      <c r="AA216" s="73">
        <v>216</v>
      </c>
      <c r="AB216" s="73"/>
      <c r="AC216" s="74"/>
      <c r="AD216" s="80" t="s">
        <v>1411</v>
      </c>
      <c r="AE216" s="88" t="s">
        <v>1634</v>
      </c>
      <c r="AF216" s="80">
        <v>1570</v>
      </c>
      <c r="AG216" s="80">
        <v>16308</v>
      </c>
      <c r="AH216" s="80">
        <v>20840</v>
      </c>
      <c r="AI216" s="80">
        <v>1524</v>
      </c>
      <c r="AJ216" s="80"/>
      <c r="AK216" s="80" t="s">
        <v>1847</v>
      </c>
      <c r="AL216" s="80" t="s">
        <v>1992</v>
      </c>
      <c r="AM216" s="85" t="str">
        <f>HYPERLINK("https://t.co/vk6O7EyZpS")</f>
        <v>https://t.co/vk6O7EyZpS</v>
      </c>
      <c r="AN216" s="80"/>
      <c r="AO216" s="82">
        <v>39935.47431712963</v>
      </c>
      <c r="AP216" s="85" t="str">
        <f>HYPERLINK("https://pbs.twimg.com/profile_banners/37180418/1469452523")</f>
        <v>https://pbs.twimg.com/profile_banners/37180418/1469452523</v>
      </c>
      <c r="AQ216" s="80" t="b">
        <v>0</v>
      </c>
      <c r="AR216" s="80" t="b">
        <v>0</v>
      </c>
      <c r="AS216" s="80" t="b">
        <v>1</v>
      </c>
      <c r="AT216" s="80"/>
      <c r="AU216" s="80">
        <v>704</v>
      </c>
      <c r="AV216" s="85" t="str">
        <f>HYPERLINK("http://abs.twimg.com/images/themes/theme1/bg.png")</f>
        <v>http://abs.twimg.com/images/themes/theme1/bg.png</v>
      </c>
      <c r="AW216" s="80" t="b">
        <v>1</v>
      </c>
      <c r="AX216" s="80" t="s">
        <v>2002</v>
      </c>
      <c r="AY216" s="85" t="str">
        <f>HYPERLINK("https://twitter.com/yannguegan")</f>
        <v>https://twitter.com/yannguegan</v>
      </c>
      <c r="AZ216" s="80" t="s">
        <v>65</v>
      </c>
      <c r="BA216" s="80" t="str">
        <f>REPLACE(INDEX(GroupVertices[Group],MATCH(Vertices[[#This Row],[Vertex]],GroupVertices[Vertex],0)),1,1,"")</f>
        <v>17</v>
      </c>
      <c r="BB216" s="48"/>
      <c r="BC216" s="49"/>
      <c r="BD216" s="48"/>
      <c r="BE216" s="49"/>
      <c r="BF216" s="48"/>
      <c r="BG216" s="49"/>
      <c r="BH216" s="48"/>
      <c r="BI216" s="49"/>
      <c r="BJ216" s="48"/>
      <c r="BK216" s="48"/>
      <c r="BL216" s="48"/>
      <c r="BM216" s="48"/>
      <c r="BN216" s="48"/>
      <c r="BO216" s="48"/>
      <c r="BP216" s="48"/>
      <c r="BQ216" s="48"/>
      <c r="BR216" s="48"/>
      <c r="BS216" s="48"/>
      <c r="BT216" s="48"/>
      <c r="BU216" s="2"/>
      <c r="BV216" s="3"/>
      <c r="BW216" s="3"/>
      <c r="BX216" s="3"/>
      <c r="BY216" s="3"/>
    </row>
    <row r="217" spans="1:77" ht="15">
      <c r="A217" s="66" t="s">
        <v>505</v>
      </c>
      <c r="B217" s="67"/>
      <c r="C217" s="67"/>
      <c r="D217" s="68">
        <v>100</v>
      </c>
      <c r="E217" s="70"/>
      <c r="F217" s="104" t="str">
        <f>HYPERLINK("http://pbs.twimg.com/profile_images/1256574435877892097/ZvJj6ylD_normal.jpg")</f>
        <v>http://pbs.twimg.com/profile_images/1256574435877892097/ZvJj6ylD_normal.jpg</v>
      </c>
      <c r="G217" s="67"/>
      <c r="H217" s="71" t="s">
        <v>505</v>
      </c>
      <c r="I217" s="72"/>
      <c r="J217" s="72"/>
      <c r="K217" s="71" t="s">
        <v>2216</v>
      </c>
      <c r="L217" s="75">
        <v>1</v>
      </c>
      <c r="M217" s="76">
        <v>9786.623046875</v>
      </c>
      <c r="N217" s="76">
        <v>2803.187744140625</v>
      </c>
      <c r="O217" s="77"/>
      <c r="P217" s="78"/>
      <c r="Q217" s="78"/>
      <c r="R217" s="90"/>
      <c r="S217" s="48">
        <v>0</v>
      </c>
      <c r="T217" s="48">
        <v>2</v>
      </c>
      <c r="U217" s="49">
        <v>0</v>
      </c>
      <c r="V217" s="49">
        <v>0.5</v>
      </c>
      <c r="W217" s="49">
        <v>0</v>
      </c>
      <c r="X217" s="49">
        <v>0.87591</v>
      </c>
      <c r="Y217" s="49">
        <v>0.5</v>
      </c>
      <c r="Z217" s="49">
        <v>0</v>
      </c>
      <c r="AA217" s="73">
        <v>217</v>
      </c>
      <c r="AB217" s="73"/>
      <c r="AC217" s="74"/>
      <c r="AD217" s="80" t="s">
        <v>1412</v>
      </c>
      <c r="AE217" s="88" t="s">
        <v>1635</v>
      </c>
      <c r="AF217" s="80">
        <v>1393</v>
      </c>
      <c r="AG217" s="80">
        <v>252</v>
      </c>
      <c r="AH217" s="80">
        <v>4245</v>
      </c>
      <c r="AI217" s="80">
        <v>9604</v>
      </c>
      <c r="AJ217" s="80"/>
      <c r="AK217" s="80" t="s">
        <v>1848</v>
      </c>
      <c r="AL217" s="80" t="s">
        <v>1993</v>
      </c>
      <c r="AM217" s="85" t="str">
        <f>HYPERLINK("https://t.co/M6UHKe9DGl")</f>
        <v>https://t.co/M6UHKe9DGl</v>
      </c>
      <c r="AN217" s="80"/>
      <c r="AO217" s="82">
        <v>42756.59951388889</v>
      </c>
      <c r="AP217" s="85" t="str">
        <f>HYPERLINK("https://pbs.twimg.com/profile_banners/822811812471177216/1516262893")</f>
        <v>https://pbs.twimg.com/profile_banners/822811812471177216/1516262893</v>
      </c>
      <c r="AQ217" s="80" t="b">
        <v>1</v>
      </c>
      <c r="AR217" s="80" t="b">
        <v>0</v>
      </c>
      <c r="AS217" s="80" t="b">
        <v>0</v>
      </c>
      <c r="AT217" s="80"/>
      <c r="AU217" s="80">
        <v>7</v>
      </c>
      <c r="AV217" s="80"/>
      <c r="AW217" s="80" t="b">
        <v>0</v>
      </c>
      <c r="AX217" s="80" t="s">
        <v>2002</v>
      </c>
      <c r="AY217" s="85" t="str">
        <f>HYPERLINK("https://twitter.com/yerimzwxrhjsky")</f>
        <v>https://twitter.com/yerimzwxrhjsky</v>
      </c>
      <c r="AZ217" s="80" t="s">
        <v>66</v>
      </c>
      <c r="BA217" s="80" t="str">
        <f>REPLACE(INDEX(GroupVertices[Group],MATCH(Vertices[[#This Row],[Vertex]],GroupVertices[Vertex],0)),1,1,"")</f>
        <v>17</v>
      </c>
      <c r="BB217" s="48">
        <v>1</v>
      </c>
      <c r="BC217" s="49">
        <v>1.4492753623188406</v>
      </c>
      <c r="BD217" s="48">
        <v>0</v>
      </c>
      <c r="BE217" s="49">
        <v>0</v>
      </c>
      <c r="BF217" s="48">
        <v>0</v>
      </c>
      <c r="BG217" s="49">
        <v>0</v>
      </c>
      <c r="BH217" s="48">
        <v>68</v>
      </c>
      <c r="BI217" s="49">
        <v>98.55072463768116</v>
      </c>
      <c r="BJ217" s="48">
        <v>69</v>
      </c>
      <c r="BK217" s="48" t="s">
        <v>2726</v>
      </c>
      <c r="BL217" s="48" t="s">
        <v>2726</v>
      </c>
      <c r="BM217" s="48" t="s">
        <v>688</v>
      </c>
      <c r="BN217" s="48" t="s">
        <v>688</v>
      </c>
      <c r="BO217" s="48" t="s">
        <v>707</v>
      </c>
      <c r="BP217" s="48" t="s">
        <v>707</v>
      </c>
      <c r="BQ217" s="125" t="s">
        <v>3105</v>
      </c>
      <c r="BR217" s="125" t="s">
        <v>3113</v>
      </c>
      <c r="BS217" s="125" t="s">
        <v>2991</v>
      </c>
      <c r="BT217" s="125" t="s">
        <v>3135</v>
      </c>
      <c r="BU217" s="2"/>
      <c r="BV217" s="3"/>
      <c r="BW217" s="3"/>
      <c r="BX217" s="3"/>
      <c r="BY217" s="3"/>
    </row>
    <row r="218" spans="1:77" ht="15">
      <c r="A218" s="66" t="s">
        <v>506</v>
      </c>
      <c r="B218" s="67"/>
      <c r="C218" s="67"/>
      <c r="D218" s="68">
        <v>100.47846842105263</v>
      </c>
      <c r="E218" s="70"/>
      <c r="F218" s="104" t="str">
        <f>HYPERLINK("http://pbs.twimg.com/profile_images/796294771627229184/XdmrGDXr_normal.jpg")</f>
        <v>http://pbs.twimg.com/profile_images/796294771627229184/XdmrGDXr_normal.jpg</v>
      </c>
      <c r="G218" s="67"/>
      <c r="H218" s="71" t="s">
        <v>506</v>
      </c>
      <c r="I218" s="72"/>
      <c r="J218" s="72"/>
      <c r="K218" s="71" t="s">
        <v>2217</v>
      </c>
      <c r="L218" s="75">
        <v>1.4245250733302195</v>
      </c>
      <c r="M218" s="76">
        <v>6853.23046875</v>
      </c>
      <c r="N218" s="76">
        <v>6954.6171875</v>
      </c>
      <c r="O218" s="77"/>
      <c r="P218" s="78"/>
      <c r="Q218" s="78"/>
      <c r="R218" s="90"/>
      <c r="S218" s="48">
        <v>0</v>
      </c>
      <c r="T218" s="48">
        <v>3</v>
      </c>
      <c r="U218" s="49">
        <v>0.090909</v>
      </c>
      <c r="V218" s="49">
        <v>0.020408</v>
      </c>
      <c r="W218" s="49">
        <v>0</v>
      </c>
      <c r="X218" s="49">
        <v>0.681054</v>
      </c>
      <c r="Y218" s="49">
        <v>0.3333333333333333</v>
      </c>
      <c r="Z218" s="49">
        <v>0</v>
      </c>
      <c r="AA218" s="73">
        <v>218</v>
      </c>
      <c r="AB218" s="73"/>
      <c r="AC218" s="74"/>
      <c r="AD218" s="80" t="s">
        <v>1413</v>
      </c>
      <c r="AE218" s="88" t="s">
        <v>1636</v>
      </c>
      <c r="AF218" s="80">
        <v>256</v>
      </c>
      <c r="AG218" s="80">
        <v>198</v>
      </c>
      <c r="AH218" s="80">
        <v>940</v>
      </c>
      <c r="AI218" s="80">
        <v>827</v>
      </c>
      <c r="AJ218" s="80"/>
      <c r="AK218" s="80" t="s">
        <v>1849</v>
      </c>
      <c r="AL218" s="80" t="s">
        <v>1994</v>
      </c>
      <c r="AM218" s="85" t="str">
        <f>HYPERLINK("https://t.co/JXdZbLlY2L")</f>
        <v>https://t.co/JXdZbLlY2L</v>
      </c>
      <c r="AN218" s="80"/>
      <c r="AO218" s="82">
        <v>42683.41684027778</v>
      </c>
      <c r="AP218" s="85" t="str">
        <f>HYPERLINK("https://pbs.twimg.com/profile_banners/796291300899352576/1569700561")</f>
        <v>https://pbs.twimg.com/profile_banners/796291300899352576/1569700561</v>
      </c>
      <c r="AQ218" s="80" t="b">
        <v>0</v>
      </c>
      <c r="AR218" s="80" t="b">
        <v>0</v>
      </c>
      <c r="AS218" s="80" t="b">
        <v>1</v>
      </c>
      <c r="AT218" s="80"/>
      <c r="AU218" s="80">
        <v>2</v>
      </c>
      <c r="AV218" s="85" t="str">
        <f>HYPERLINK("http://abs.twimg.com/images/themes/theme1/bg.png")</f>
        <v>http://abs.twimg.com/images/themes/theme1/bg.png</v>
      </c>
      <c r="AW218" s="80" t="b">
        <v>0</v>
      </c>
      <c r="AX218" s="80" t="s">
        <v>2002</v>
      </c>
      <c r="AY218" s="85" t="str">
        <f>HYPERLINK("https://twitter.com/bsp_sscgeo")</f>
        <v>https://twitter.com/bsp_sscgeo</v>
      </c>
      <c r="AZ218" s="80" t="s">
        <v>66</v>
      </c>
      <c r="BA218" s="80" t="str">
        <f>REPLACE(INDEX(GroupVertices[Group],MATCH(Vertices[[#This Row],[Vertex]],GroupVertices[Vertex],0)),1,1,"")</f>
        <v>3</v>
      </c>
      <c r="BB218" s="48">
        <v>1</v>
      </c>
      <c r="BC218" s="49">
        <v>4.761904761904762</v>
      </c>
      <c r="BD218" s="48">
        <v>0</v>
      </c>
      <c r="BE218" s="49">
        <v>0</v>
      </c>
      <c r="BF218" s="48">
        <v>0</v>
      </c>
      <c r="BG218" s="49">
        <v>0</v>
      </c>
      <c r="BH218" s="48">
        <v>20</v>
      </c>
      <c r="BI218" s="49">
        <v>95.23809523809524</v>
      </c>
      <c r="BJ218" s="48">
        <v>21</v>
      </c>
      <c r="BK218" s="48"/>
      <c r="BL218" s="48"/>
      <c r="BM218" s="48"/>
      <c r="BN218" s="48"/>
      <c r="BO218" s="48" t="s">
        <v>703</v>
      </c>
      <c r="BP218" s="48" t="s">
        <v>703</v>
      </c>
      <c r="BQ218" s="125" t="s">
        <v>3093</v>
      </c>
      <c r="BR218" s="125" t="s">
        <v>3093</v>
      </c>
      <c r="BS218" s="125" t="s">
        <v>3122</v>
      </c>
      <c r="BT218" s="125" t="s">
        <v>3122</v>
      </c>
      <c r="BU218" s="2"/>
      <c r="BV218" s="3"/>
      <c r="BW218" s="3"/>
      <c r="BX218" s="3"/>
      <c r="BY218" s="3"/>
    </row>
    <row r="219" spans="1:77" ht="15">
      <c r="A219" s="66" t="s">
        <v>507</v>
      </c>
      <c r="B219" s="67"/>
      <c r="C219" s="67"/>
      <c r="D219" s="68">
        <v>100</v>
      </c>
      <c r="E219" s="70"/>
      <c r="F219" s="104" t="str">
        <f>HYPERLINK("http://pbs.twimg.com/profile_images/1164973648823947264/ZWjdsaW5_normal.jpg")</f>
        <v>http://pbs.twimg.com/profile_images/1164973648823947264/ZWjdsaW5_normal.jpg</v>
      </c>
      <c r="G219" s="67"/>
      <c r="H219" s="71" t="s">
        <v>507</v>
      </c>
      <c r="I219" s="72"/>
      <c r="J219" s="72"/>
      <c r="K219" s="71" t="s">
        <v>2218</v>
      </c>
      <c r="L219" s="75">
        <v>1</v>
      </c>
      <c r="M219" s="76">
        <v>8290.041015625</v>
      </c>
      <c r="N219" s="76">
        <v>1271.549072265625</v>
      </c>
      <c r="O219" s="77"/>
      <c r="P219" s="78"/>
      <c r="Q219" s="78"/>
      <c r="R219" s="90"/>
      <c r="S219" s="48">
        <v>1</v>
      </c>
      <c r="T219" s="48">
        <v>2</v>
      </c>
      <c r="U219" s="49">
        <v>0</v>
      </c>
      <c r="V219" s="49">
        <v>0.5</v>
      </c>
      <c r="W219" s="49">
        <v>0</v>
      </c>
      <c r="X219" s="49">
        <v>0.999998</v>
      </c>
      <c r="Y219" s="49">
        <v>0.5</v>
      </c>
      <c r="Z219" s="49">
        <v>0.5</v>
      </c>
      <c r="AA219" s="73">
        <v>219</v>
      </c>
      <c r="AB219" s="73"/>
      <c r="AC219" s="74"/>
      <c r="AD219" s="80" t="s">
        <v>1414</v>
      </c>
      <c r="AE219" s="88" t="s">
        <v>1637</v>
      </c>
      <c r="AF219" s="80">
        <v>1143</v>
      </c>
      <c r="AG219" s="80">
        <v>1535</v>
      </c>
      <c r="AH219" s="80">
        <v>11689</v>
      </c>
      <c r="AI219" s="80">
        <v>8310</v>
      </c>
      <c r="AJ219" s="80"/>
      <c r="AK219" s="80" t="s">
        <v>1850</v>
      </c>
      <c r="AL219" s="80" t="s">
        <v>1995</v>
      </c>
      <c r="AM219" s="85" t="str">
        <f>HYPERLINK("https://t.co/pQkUUVHobm")</f>
        <v>https://t.co/pQkUUVHobm</v>
      </c>
      <c r="AN219" s="80"/>
      <c r="AO219" s="82">
        <v>41871.68300925926</v>
      </c>
      <c r="AP219" s="85" t="str">
        <f>HYPERLINK("https://pbs.twimg.com/profile_banners/2749557097/1500740652")</f>
        <v>https://pbs.twimg.com/profile_banners/2749557097/1500740652</v>
      </c>
      <c r="AQ219" s="80" t="b">
        <v>1</v>
      </c>
      <c r="AR219" s="80" t="b">
        <v>0</v>
      </c>
      <c r="AS219" s="80" t="b">
        <v>1</v>
      </c>
      <c r="AT219" s="80"/>
      <c r="AU219" s="80">
        <v>81</v>
      </c>
      <c r="AV219" s="85" t="str">
        <f>HYPERLINK("http://abs.twimg.com/images/themes/theme1/bg.png")</f>
        <v>http://abs.twimg.com/images/themes/theme1/bg.png</v>
      </c>
      <c r="AW219" s="80" t="b">
        <v>0</v>
      </c>
      <c r="AX219" s="80" t="s">
        <v>2002</v>
      </c>
      <c r="AY219" s="85" t="str">
        <f>HYPERLINK("https://twitter.com/umarhassan96")</f>
        <v>https://twitter.com/umarhassan96</v>
      </c>
      <c r="AZ219" s="80" t="s">
        <v>66</v>
      </c>
      <c r="BA219" s="80" t="str">
        <f>REPLACE(INDEX(GroupVertices[Group],MATCH(Vertices[[#This Row],[Vertex]],GroupVertices[Vertex],0)),1,1,"")</f>
        <v>16</v>
      </c>
      <c r="BB219" s="48">
        <v>4</v>
      </c>
      <c r="BC219" s="49">
        <v>7.6923076923076925</v>
      </c>
      <c r="BD219" s="48">
        <v>2</v>
      </c>
      <c r="BE219" s="49">
        <v>3.8461538461538463</v>
      </c>
      <c r="BF219" s="48">
        <v>0</v>
      </c>
      <c r="BG219" s="49">
        <v>0</v>
      </c>
      <c r="BH219" s="48">
        <v>46</v>
      </c>
      <c r="BI219" s="49">
        <v>88.46153846153847</v>
      </c>
      <c r="BJ219" s="48">
        <v>52</v>
      </c>
      <c r="BK219" s="48" t="s">
        <v>2732</v>
      </c>
      <c r="BL219" s="48" t="s">
        <v>2732</v>
      </c>
      <c r="BM219" s="48" t="s">
        <v>676</v>
      </c>
      <c r="BN219" s="48" t="s">
        <v>676</v>
      </c>
      <c r="BO219" s="48" t="s">
        <v>707</v>
      </c>
      <c r="BP219" s="48" t="s">
        <v>707</v>
      </c>
      <c r="BQ219" s="125" t="s">
        <v>2875</v>
      </c>
      <c r="BR219" s="125" t="s">
        <v>2875</v>
      </c>
      <c r="BS219" s="125" t="s">
        <v>2990</v>
      </c>
      <c r="BT219" s="125" t="s">
        <v>2990</v>
      </c>
      <c r="BU219" s="2"/>
      <c r="BV219" s="3"/>
      <c r="BW219" s="3"/>
      <c r="BX219" s="3"/>
      <c r="BY219" s="3"/>
    </row>
    <row r="220" spans="1:77" ht="15">
      <c r="A220" s="66" t="s">
        <v>585</v>
      </c>
      <c r="B220" s="67"/>
      <c r="C220" s="67"/>
      <c r="D220" s="68">
        <v>100</v>
      </c>
      <c r="E220" s="70"/>
      <c r="F220" s="104" t="str">
        <f>HYPERLINK("http://pbs.twimg.com/profile_images/1237817633803821057/LMOqrh-C_normal.jpg")</f>
        <v>http://pbs.twimg.com/profile_images/1237817633803821057/LMOqrh-C_normal.jpg</v>
      </c>
      <c r="G220" s="67"/>
      <c r="H220" s="71" t="s">
        <v>585</v>
      </c>
      <c r="I220" s="72"/>
      <c r="J220" s="72"/>
      <c r="K220" s="71" t="s">
        <v>2219</v>
      </c>
      <c r="L220" s="75">
        <v>1</v>
      </c>
      <c r="M220" s="76">
        <v>9202.9013671875</v>
      </c>
      <c r="N220" s="76">
        <v>155.33128356933594</v>
      </c>
      <c r="O220" s="77"/>
      <c r="P220" s="78"/>
      <c r="Q220" s="78"/>
      <c r="R220" s="90"/>
      <c r="S220" s="48">
        <v>2</v>
      </c>
      <c r="T220" s="48">
        <v>0</v>
      </c>
      <c r="U220" s="49">
        <v>0</v>
      </c>
      <c r="V220" s="49">
        <v>0.5</v>
      </c>
      <c r="W220" s="49">
        <v>0</v>
      </c>
      <c r="X220" s="49">
        <v>0.999998</v>
      </c>
      <c r="Y220" s="49">
        <v>1</v>
      </c>
      <c r="Z220" s="49">
        <v>0</v>
      </c>
      <c r="AA220" s="73">
        <v>220</v>
      </c>
      <c r="AB220" s="73"/>
      <c r="AC220" s="74"/>
      <c r="AD220" s="80" t="s">
        <v>1415</v>
      </c>
      <c r="AE220" s="88" t="s">
        <v>1638</v>
      </c>
      <c r="AF220" s="80">
        <v>1703</v>
      </c>
      <c r="AG220" s="80">
        <v>4056</v>
      </c>
      <c r="AH220" s="80">
        <v>7079</v>
      </c>
      <c r="AI220" s="80">
        <v>1599</v>
      </c>
      <c r="AJ220" s="80"/>
      <c r="AK220" s="80" t="s">
        <v>1851</v>
      </c>
      <c r="AL220" s="80"/>
      <c r="AM220" s="85" t="str">
        <f>HYPERLINK("https://t.co/g2sN7zmYzP")</f>
        <v>https://t.co/g2sN7zmYzP</v>
      </c>
      <c r="AN220" s="80"/>
      <c r="AO220" s="82">
        <v>40646.613587962966</v>
      </c>
      <c r="AP220" s="85" t="str">
        <f>HYPERLINK("https://pbs.twimg.com/profile_banners/281565143/1583953697")</f>
        <v>https://pbs.twimg.com/profile_banners/281565143/1583953697</v>
      </c>
      <c r="AQ220" s="80" t="b">
        <v>0</v>
      </c>
      <c r="AR220" s="80" t="b">
        <v>0</v>
      </c>
      <c r="AS220" s="80" t="b">
        <v>0</v>
      </c>
      <c r="AT220" s="80"/>
      <c r="AU220" s="80">
        <v>84</v>
      </c>
      <c r="AV220" s="85" t="str">
        <f>HYPERLINK("http://abs.twimg.com/images/themes/theme1/bg.png")</f>
        <v>http://abs.twimg.com/images/themes/theme1/bg.png</v>
      </c>
      <c r="AW220" s="80" t="b">
        <v>0</v>
      </c>
      <c r="AX220" s="80" t="s">
        <v>2002</v>
      </c>
      <c r="AY220" s="85" t="str">
        <f>HYPERLINK("https://twitter.com/bjtc_uk")</f>
        <v>https://twitter.com/bjtc_uk</v>
      </c>
      <c r="AZ220" s="80" t="s">
        <v>65</v>
      </c>
      <c r="BA220" s="80" t="str">
        <f>REPLACE(INDEX(GroupVertices[Group],MATCH(Vertices[[#This Row],[Vertex]],GroupVertices[Vertex],0)),1,1,"")</f>
        <v>16</v>
      </c>
      <c r="BB220" s="48"/>
      <c r="BC220" s="49"/>
      <c r="BD220" s="48"/>
      <c r="BE220" s="49"/>
      <c r="BF220" s="48"/>
      <c r="BG220" s="49"/>
      <c r="BH220" s="48"/>
      <c r="BI220" s="49"/>
      <c r="BJ220" s="48"/>
      <c r="BK220" s="48"/>
      <c r="BL220" s="48"/>
      <c r="BM220" s="48"/>
      <c r="BN220" s="48"/>
      <c r="BO220" s="48"/>
      <c r="BP220" s="48"/>
      <c r="BQ220" s="48"/>
      <c r="BR220" s="48"/>
      <c r="BS220" s="48"/>
      <c r="BT220" s="48"/>
      <c r="BU220" s="2"/>
      <c r="BV220" s="3"/>
      <c r="BW220" s="3"/>
      <c r="BX220" s="3"/>
      <c r="BY220" s="3"/>
    </row>
    <row r="221" spans="1:77" ht="15">
      <c r="A221" s="66" t="s">
        <v>508</v>
      </c>
      <c r="B221" s="67"/>
      <c r="C221" s="67"/>
      <c r="D221" s="68">
        <v>100</v>
      </c>
      <c r="E221" s="70"/>
      <c r="F221" s="104" t="str">
        <f>HYPERLINK("http://pbs.twimg.com/profile_images/1273211456247541767/qo3PqXGx_normal.jpg")</f>
        <v>http://pbs.twimg.com/profile_images/1273211456247541767/qo3PqXGx_normal.jpg</v>
      </c>
      <c r="G221" s="67"/>
      <c r="H221" s="71" t="s">
        <v>508</v>
      </c>
      <c r="I221" s="72"/>
      <c r="J221" s="72"/>
      <c r="K221" s="71" t="s">
        <v>2220</v>
      </c>
      <c r="L221" s="75">
        <v>1</v>
      </c>
      <c r="M221" s="76">
        <v>8746.4716796875</v>
      </c>
      <c r="N221" s="76">
        <v>708.0216674804688</v>
      </c>
      <c r="O221" s="77"/>
      <c r="P221" s="78"/>
      <c r="Q221" s="78"/>
      <c r="R221" s="90"/>
      <c r="S221" s="48">
        <v>1</v>
      </c>
      <c r="T221" s="48">
        <v>2</v>
      </c>
      <c r="U221" s="49">
        <v>0</v>
      </c>
      <c r="V221" s="49">
        <v>0.5</v>
      </c>
      <c r="W221" s="49">
        <v>0</v>
      </c>
      <c r="X221" s="49">
        <v>0.999998</v>
      </c>
      <c r="Y221" s="49">
        <v>0.5</v>
      </c>
      <c r="Z221" s="49">
        <v>0.5</v>
      </c>
      <c r="AA221" s="73">
        <v>221</v>
      </c>
      <c r="AB221" s="73"/>
      <c r="AC221" s="74"/>
      <c r="AD221" s="80" t="s">
        <v>1416</v>
      </c>
      <c r="AE221" s="88" t="s">
        <v>1639</v>
      </c>
      <c r="AF221" s="80">
        <v>9307</v>
      </c>
      <c r="AG221" s="80">
        <v>11478</v>
      </c>
      <c r="AH221" s="80">
        <v>65715</v>
      </c>
      <c r="AI221" s="80">
        <v>32275</v>
      </c>
      <c r="AJ221" s="80"/>
      <c r="AK221" s="80" t="s">
        <v>1852</v>
      </c>
      <c r="AL221" s="80" t="s">
        <v>1996</v>
      </c>
      <c r="AM221" s="85" t="str">
        <f>HYPERLINK("https://t.co/IciF0QTHeA")</f>
        <v>https://t.co/IciF0QTHeA</v>
      </c>
      <c r="AN221" s="80"/>
      <c r="AO221" s="82">
        <v>39871.72987268519</v>
      </c>
      <c r="AP221" s="85" t="str">
        <f>HYPERLINK("https://pbs.twimg.com/profile_banners/22164291/1574015298")</f>
        <v>https://pbs.twimg.com/profile_banners/22164291/1574015298</v>
      </c>
      <c r="AQ221" s="80" t="b">
        <v>0</v>
      </c>
      <c r="AR221" s="80" t="b">
        <v>0</v>
      </c>
      <c r="AS221" s="80" t="b">
        <v>1</v>
      </c>
      <c r="AT221" s="80"/>
      <c r="AU221" s="80">
        <v>250</v>
      </c>
      <c r="AV221" s="85" t="str">
        <f>HYPERLINK("http://abs.twimg.com/images/themes/theme4/bg.gif")</f>
        <v>http://abs.twimg.com/images/themes/theme4/bg.gif</v>
      </c>
      <c r="AW221" s="80" t="b">
        <v>0</v>
      </c>
      <c r="AX221" s="80" t="s">
        <v>2002</v>
      </c>
      <c r="AY221" s="85" t="str">
        <f>HYPERLINK("https://twitter.com/tvmarv")</f>
        <v>https://twitter.com/tvmarv</v>
      </c>
      <c r="AZ221" s="80" t="s">
        <v>66</v>
      </c>
      <c r="BA221" s="80" t="str">
        <f>REPLACE(INDEX(GroupVertices[Group],MATCH(Vertices[[#This Row],[Vertex]],GroupVertices[Vertex],0)),1,1,"")</f>
        <v>16</v>
      </c>
      <c r="BB221" s="48">
        <v>4</v>
      </c>
      <c r="BC221" s="49">
        <v>7.6923076923076925</v>
      </c>
      <c r="BD221" s="48">
        <v>2</v>
      </c>
      <c r="BE221" s="49">
        <v>3.8461538461538463</v>
      </c>
      <c r="BF221" s="48">
        <v>0</v>
      </c>
      <c r="BG221" s="49">
        <v>0</v>
      </c>
      <c r="BH221" s="48">
        <v>46</v>
      </c>
      <c r="BI221" s="49">
        <v>88.46153846153847</v>
      </c>
      <c r="BJ221" s="48">
        <v>52</v>
      </c>
      <c r="BK221" s="48"/>
      <c r="BL221" s="48"/>
      <c r="BM221" s="48"/>
      <c r="BN221" s="48"/>
      <c r="BO221" s="48"/>
      <c r="BP221" s="48"/>
      <c r="BQ221" s="125" t="s">
        <v>2875</v>
      </c>
      <c r="BR221" s="125" t="s">
        <v>2875</v>
      </c>
      <c r="BS221" s="125" t="s">
        <v>2990</v>
      </c>
      <c r="BT221" s="125" t="s">
        <v>2990</v>
      </c>
      <c r="BU221" s="2"/>
      <c r="BV221" s="3"/>
      <c r="BW221" s="3"/>
      <c r="BX221" s="3"/>
      <c r="BY221" s="3"/>
    </row>
    <row r="222" spans="1:77" ht="15">
      <c r="A222" s="66" t="s">
        <v>510</v>
      </c>
      <c r="B222" s="67"/>
      <c r="C222" s="67"/>
      <c r="D222" s="68">
        <v>100.47846842105263</v>
      </c>
      <c r="E222" s="70"/>
      <c r="F222" s="104" t="str">
        <f>HYPERLINK("http://pbs.twimg.com/profile_images/968895729/Survival---Tsaatan-023_normal.jpg")</f>
        <v>http://pbs.twimg.com/profile_images/968895729/Survival---Tsaatan-023_normal.jpg</v>
      </c>
      <c r="G222" s="67"/>
      <c r="H222" s="71" t="s">
        <v>510</v>
      </c>
      <c r="I222" s="72"/>
      <c r="J222" s="72"/>
      <c r="K222" s="71" t="s">
        <v>2221</v>
      </c>
      <c r="L222" s="75">
        <v>1.4245250733302195</v>
      </c>
      <c r="M222" s="76">
        <v>6339.1416015625</v>
      </c>
      <c r="N222" s="76">
        <v>6574.48681640625</v>
      </c>
      <c r="O222" s="77"/>
      <c r="P222" s="78"/>
      <c r="Q222" s="78"/>
      <c r="R222" s="90"/>
      <c r="S222" s="48">
        <v>0</v>
      </c>
      <c r="T222" s="48">
        <v>3</v>
      </c>
      <c r="U222" s="49">
        <v>0.090909</v>
      </c>
      <c r="V222" s="49">
        <v>0.020408</v>
      </c>
      <c r="W222" s="49">
        <v>0</v>
      </c>
      <c r="X222" s="49">
        <v>0.681054</v>
      </c>
      <c r="Y222" s="49">
        <v>0.3333333333333333</v>
      </c>
      <c r="Z222" s="49">
        <v>0</v>
      </c>
      <c r="AA222" s="73">
        <v>222</v>
      </c>
      <c r="AB222" s="73"/>
      <c r="AC222" s="74"/>
      <c r="AD222" s="80" t="s">
        <v>1417</v>
      </c>
      <c r="AE222" s="88" t="s">
        <v>1640</v>
      </c>
      <c r="AF222" s="80">
        <v>302</v>
      </c>
      <c r="AG222" s="80">
        <v>446</v>
      </c>
      <c r="AH222" s="80">
        <v>28239</v>
      </c>
      <c r="AI222" s="80">
        <v>46210</v>
      </c>
      <c r="AJ222" s="80"/>
      <c r="AK222" s="80" t="s">
        <v>1853</v>
      </c>
      <c r="AL222" s="80" t="s">
        <v>1997</v>
      </c>
      <c r="AM222" s="80"/>
      <c r="AN222" s="80"/>
      <c r="AO222" s="82">
        <v>40324.86653935185</v>
      </c>
      <c r="AP222" s="85" t="str">
        <f>HYPERLINK("https://pbs.twimg.com/profile_banners/148487024/1441049840")</f>
        <v>https://pbs.twimg.com/profile_banners/148487024/1441049840</v>
      </c>
      <c r="AQ222" s="80" t="b">
        <v>0</v>
      </c>
      <c r="AR222" s="80" t="b">
        <v>0</v>
      </c>
      <c r="AS222" s="80" t="b">
        <v>1</v>
      </c>
      <c r="AT222" s="80"/>
      <c r="AU222" s="80">
        <v>56</v>
      </c>
      <c r="AV222" s="85" t="str">
        <f>HYPERLINK("http://abs.twimg.com/images/themes/theme1/bg.png")</f>
        <v>http://abs.twimg.com/images/themes/theme1/bg.png</v>
      </c>
      <c r="AW222" s="80" t="b">
        <v>0</v>
      </c>
      <c r="AX222" s="80" t="s">
        <v>2002</v>
      </c>
      <c r="AY222" s="85" t="str">
        <f>HYPERLINK("https://twitter.com/valboy7")</f>
        <v>https://twitter.com/valboy7</v>
      </c>
      <c r="AZ222" s="80" t="s">
        <v>66</v>
      </c>
      <c r="BA222" s="80" t="str">
        <f>REPLACE(INDEX(GroupVertices[Group],MATCH(Vertices[[#This Row],[Vertex]],GroupVertices[Vertex],0)),1,1,"")</f>
        <v>3</v>
      </c>
      <c r="BB222" s="48">
        <v>1</v>
      </c>
      <c r="BC222" s="49">
        <v>4.761904761904762</v>
      </c>
      <c r="BD222" s="48">
        <v>0</v>
      </c>
      <c r="BE222" s="49">
        <v>0</v>
      </c>
      <c r="BF222" s="48">
        <v>0</v>
      </c>
      <c r="BG222" s="49">
        <v>0</v>
      </c>
      <c r="BH222" s="48">
        <v>20</v>
      </c>
      <c r="BI222" s="49">
        <v>95.23809523809524</v>
      </c>
      <c r="BJ222" s="48">
        <v>21</v>
      </c>
      <c r="BK222" s="48"/>
      <c r="BL222" s="48"/>
      <c r="BM222" s="48"/>
      <c r="BN222" s="48"/>
      <c r="BO222" s="48" t="s">
        <v>703</v>
      </c>
      <c r="BP222" s="48" t="s">
        <v>703</v>
      </c>
      <c r="BQ222" s="125" t="s">
        <v>3093</v>
      </c>
      <c r="BR222" s="125" t="s">
        <v>3093</v>
      </c>
      <c r="BS222" s="125" t="s">
        <v>3122</v>
      </c>
      <c r="BT222" s="125" t="s">
        <v>3122</v>
      </c>
      <c r="BU222" s="2"/>
      <c r="BV222" s="3"/>
      <c r="BW222" s="3"/>
      <c r="BX222" s="3"/>
      <c r="BY222" s="3"/>
    </row>
    <row r="223" spans="1:77" ht="15">
      <c r="A223" s="66" t="s">
        <v>512</v>
      </c>
      <c r="B223" s="67"/>
      <c r="C223" s="67"/>
      <c r="D223" s="68">
        <v>100</v>
      </c>
      <c r="E223" s="70"/>
      <c r="F223" s="104" t="str">
        <f>HYPERLINK("http://pbs.twimg.com/profile_images/1161079847885713414/5bPKf5IT_normal.jpg")</f>
        <v>http://pbs.twimg.com/profile_images/1161079847885713414/5bPKf5IT_normal.jpg</v>
      </c>
      <c r="G223" s="67"/>
      <c r="H223" s="71" t="s">
        <v>512</v>
      </c>
      <c r="I223" s="72"/>
      <c r="J223" s="72"/>
      <c r="K223" s="71" t="s">
        <v>2222</v>
      </c>
      <c r="L223" s="75">
        <v>1</v>
      </c>
      <c r="M223" s="76">
        <v>9069.0009765625</v>
      </c>
      <c r="N223" s="76">
        <v>6629.91162109375</v>
      </c>
      <c r="O223" s="77"/>
      <c r="P223" s="78"/>
      <c r="Q223" s="78"/>
      <c r="R223" s="90"/>
      <c r="S223" s="48">
        <v>0</v>
      </c>
      <c r="T223" s="48">
        <v>2</v>
      </c>
      <c r="U223" s="49">
        <v>0</v>
      </c>
      <c r="V223" s="49">
        <v>0.026316</v>
      </c>
      <c r="W223" s="49">
        <v>0</v>
      </c>
      <c r="X223" s="49">
        <v>0.576762</v>
      </c>
      <c r="Y223" s="49">
        <v>0.5</v>
      </c>
      <c r="Z223" s="49">
        <v>0</v>
      </c>
      <c r="AA223" s="73">
        <v>223</v>
      </c>
      <c r="AB223" s="73"/>
      <c r="AC223" s="74"/>
      <c r="AD223" s="80" t="s">
        <v>1418</v>
      </c>
      <c r="AE223" s="88" t="s">
        <v>1641</v>
      </c>
      <c r="AF223" s="80">
        <v>1073</v>
      </c>
      <c r="AG223" s="80">
        <v>123</v>
      </c>
      <c r="AH223" s="80">
        <v>293</v>
      </c>
      <c r="AI223" s="80">
        <v>854</v>
      </c>
      <c r="AJ223" s="80"/>
      <c r="AK223" s="80" t="s">
        <v>1854</v>
      </c>
      <c r="AL223" s="80" t="s">
        <v>1998</v>
      </c>
      <c r="AM223" s="80"/>
      <c r="AN223" s="80"/>
      <c r="AO223" s="82">
        <v>41744.67390046296</v>
      </c>
      <c r="AP223" s="85" t="str">
        <f>HYPERLINK("https://pbs.twimg.com/profile_banners/2445662203/1565658032")</f>
        <v>https://pbs.twimg.com/profile_banners/2445662203/1565658032</v>
      </c>
      <c r="AQ223" s="80" t="b">
        <v>0</v>
      </c>
      <c r="AR223" s="80" t="b">
        <v>0</v>
      </c>
      <c r="AS223" s="80" t="b">
        <v>0</v>
      </c>
      <c r="AT223" s="80"/>
      <c r="AU223" s="80">
        <v>1</v>
      </c>
      <c r="AV223" s="85" t="str">
        <f>HYPERLINK("http://abs.twimg.com/images/themes/theme1/bg.png")</f>
        <v>http://abs.twimg.com/images/themes/theme1/bg.png</v>
      </c>
      <c r="AW223" s="80" t="b">
        <v>0</v>
      </c>
      <c r="AX223" s="80" t="s">
        <v>2002</v>
      </c>
      <c r="AY223" s="85" t="str">
        <f>HYPERLINK("https://twitter.com/ephemerist08")</f>
        <v>https://twitter.com/ephemerist08</v>
      </c>
      <c r="AZ223" s="80" t="s">
        <v>66</v>
      </c>
      <c r="BA223" s="80" t="str">
        <f>REPLACE(INDEX(GroupVertices[Group],MATCH(Vertices[[#This Row],[Vertex]],GroupVertices[Vertex],0)),1,1,"")</f>
        <v>4</v>
      </c>
      <c r="BB223" s="48">
        <v>1</v>
      </c>
      <c r="BC223" s="49">
        <v>3.125</v>
      </c>
      <c r="BD223" s="48">
        <v>1</v>
      </c>
      <c r="BE223" s="49">
        <v>3.125</v>
      </c>
      <c r="BF223" s="48">
        <v>0</v>
      </c>
      <c r="BG223" s="49">
        <v>0</v>
      </c>
      <c r="BH223" s="48">
        <v>30</v>
      </c>
      <c r="BI223" s="49">
        <v>93.75</v>
      </c>
      <c r="BJ223" s="48">
        <v>32</v>
      </c>
      <c r="BK223" s="48"/>
      <c r="BL223" s="48"/>
      <c r="BM223" s="48"/>
      <c r="BN223" s="48"/>
      <c r="BO223" s="48" t="s">
        <v>711</v>
      </c>
      <c r="BP223" s="48" t="s">
        <v>711</v>
      </c>
      <c r="BQ223" s="125" t="s">
        <v>2863</v>
      </c>
      <c r="BR223" s="125" t="s">
        <v>2863</v>
      </c>
      <c r="BS223" s="125" t="s">
        <v>2978</v>
      </c>
      <c r="BT223" s="125" t="s">
        <v>2978</v>
      </c>
      <c r="BU223" s="2"/>
      <c r="BV223" s="3"/>
      <c r="BW223" s="3"/>
      <c r="BX223" s="3"/>
      <c r="BY223" s="3"/>
    </row>
    <row r="224" spans="1:77" ht="15">
      <c r="A224" s="66" t="s">
        <v>515</v>
      </c>
      <c r="B224" s="67"/>
      <c r="C224" s="67"/>
      <c r="D224" s="68">
        <v>100</v>
      </c>
      <c r="E224" s="70"/>
      <c r="F224" s="104" t="str">
        <f>HYPERLINK("http://pbs.twimg.com/profile_images/1190575461610459136/0VDw_7oY_normal.jpg")</f>
        <v>http://pbs.twimg.com/profile_images/1190575461610459136/0VDw_7oY_normal.jpg</v>
      </c>
      <c r="G224" s="67"/>
      <c r="H224" s="71" t="s">
        <v>515</v>
      </c>
      <c r="I224" s="72"/>
      <c r="J224" s="72"/>
      <c r="K224" s="71" t="s">
        <v>2223</v>
      </c>
      <c r="L224" s="75">
        <v>1</v>
      </c>
      <c r="M224" s="76">
        <v>8541.2548828125</v>
      </c>
      <c r="N224" s="76">
        <v>6071.16552734375</v>
      </c>
      <c r="O224" s="77"/>
      <c r="P224" s="78"/>
      <c r="Q224" s="78"/>
      <c r="R224" s="90"/>
      <c r="S224" s="48">
        <v>1</v>
      </c>
      <c r="T224" s="48">
        <v>1</v>
      </c>
      <c r="U224" s="49">
        <v>0</v>
      </c>
      <c r="V224" s="49">
        <v>0</v>
      </c>
      <c r="W224" s="49">
        <v>0</v>
      </c>
      <c r="X224" s="49">
        <v>0.999998</v>
      </c>
      <c r="Y224" s="49">
        <v>0</v>
      </c>
      <c r="Z224" s="49">
        <v>0</v>
      </c>
      <c r="AA224" s="73">
        <v>224</v>
      </c>
      <c r="AB224" s="73"/>
      <c r="AC224" s="74"/>
      <c r="AD224" s="80" t="s">
        <v>1419</v>
      </c>
      <c r="AE224" s="88" t="s">
        <v>1642</v>
      </c>
      <c r="AF224" s="80">
        <v>1325</v>
      </c>
      <c r="AG224" s="80">
        <v>233</v>
      </c>
      <c r="AH224" s="80">
        <v>858</v>
      </c>
      <c r="AI224" s="80">
        <v>3387</v>
      </c>
      <c r="AJ224" s="80"/>
      <c r="AK224" s="80" t="s">
        <v>1855</v>
      </c>
      <c r="AL224" s="80" t="s">
        <v>1999</v>
      </c>
      <c r="AM224" s="85" t="str">
        <f>HYPERLINK("https://t.co/ok0QIgzAQ2")</f>
        <v>https://t.co/ok0QIgzAQ2</v>
      </c>
      <c r="AN224" s="80"/>
      <c r="AO224" s="82">
        <v>43178.75150462963</v>
      </c>
      <c r="AP224" s="85" t="str">
        <f>HYPERLINK("https://pbs.twimg.com/profile_banners/975794573581701120/1592294158")</f>
        <v>https://pbs.twimg.com/profile_banners/975794573581701120/1592294158</v>
      </c>
      <c r="AQ224" s="80" t="b">
        <v>1</v>
      </c>
      <c r="AR224" s="80" t="b">
        <v>0</v>
      </c>
      <c r="AS224" s="80" t="b">
        <v>1</v>
      </c>
      <c r="AT224" s="80"/>
      <c r="AU224" s="80">
        <v>5</v>
      </c>
      <c r="AV224" s="80"/>
      <c r="AW224" s="80" t="b">
        <v>0</v>
      </c>
      <c r="AX224" s="80" t="s">
        <v>2002</v>
      </c>
      <c r="AY224" s="85" t="str">
        <f>HYPERLINK("https://twitter.com/na7al13")</f>
        <v>https://twitter.com/na7al13</v>
      </c>
      <c r="AZ224" s="80" t="s">
        <v>66</v>
      </c>
      <c r="BA224" s="80" t="str">
        <f>REPLACE(INDEX(GroupVertices[Group],MATCH(Vertices[[#This Row],[Vertex]],GroupVertices[Vertex],0)),1,1,"")</f>
        <v>8</v>
      </c>
      <c r="BB224" s="48">
        <v>0</v>
      </c>
      <c r="BC224" s="49">
        <v>0</v>
      </c>
      <c r="BD224" s="48">
        <v>0</v>
      </c>
      <c r="BE224" s="49">
        <v>0</v>
      </c>
      <c r="BF224" s="48">
        <v>0</v>
      </c>
      <c r="BG224" s="49">
        <v>0</v>
      </c>
      <c r="BH224" s="48">
        <v>4</v>
      </c>
      <c r="BI224" s="49">
        <v>100</v>
      </c>
      <c r="BJ224" s="48">
        <v>4</v>
      </c>
      <c r="BK224" s="48" t="s">
        <v>2731</v>
      </c>
      <c r="BL224" s="48" t="s">
        <v>2731</v>
      </c>
      <c r="BM224" s="48" t="s">
        <v>676</v>
      </c>
      <c r="BN224" s="48" t="s">
        <v>676</v>
      </c>
      <c r="BO224" s="48" t="s">
        <v>707</v>
      </c>
      <c r="BP224" s="48" t="s">
        <v>707</v>
      </c>
      <c r="BQ224" s="125" t="s">
        <v>3106</v>
      </c>
      <c r="BR224" s="125" t="s">
        <v>3106</v>
      </c>
      <c r="BS224" s="125" t="s">
        <v>3131</v>
      </c>
      <c r="BT224" s="125" t="s">
        <v>3131</v>
      </c>
      <c r="BU224" s="2"/>
      <c r="BV224" s="3"/>
      <c r="BW224" s="3"/>
      <c r="BX224" s="3"/>
      <c r="BY224" s="3"/>
    </row>
    <row r="225" spans="1:77" ht="15">
      <c r="A225" s="91" t="s">
        <v>517</v>
      </c>
      <c r="B225" s="92"/>
      <c r="C225" s="92"/>
      <c r="D225" s="93">
        <v>100</v>
      </c>
      <c r="E225" s="94"/>
      <c r="F225" s="105" t="str">
        <f>HYPERLINK("http://pbs.twimg.com/profile_images/706803244497018880/1sZQeb0K_normal.jpg")</f>
        <v>http://pbs.twimg.com/profile_images/706803244497018880/1sZQeb0K_normal.jpg</v>
      </c>
      <c r="G225" s="92"/>
      <c r="H225" s="95" t="s">
        <v>517</v>
      </c>
      <c r="I225" s="96"/>
      <c r="J225" s="96"/>
      <c r="K225" s="95" t="s">
        <v>2224</v>
      </c>
      <c r="L225" s="97">
        <v>1</v>
      </c>
      <c r="M225" s="98">
        <v>7037.5126953125</v>
      </c>
      <c r="N225" s="98">
        <v>4132.53466796875</v>
      </c>
      <c r="O225" s="99"/>
      <c r="P225" s="100"/>
      <c r="Q225" s="100"/>
      <c r="R225" s="101"/>
      <c r="S225" s="48">
        <v>0</v>
      </c>
      <c r="T225" s="48">
        <v>2</v>
      </c>
      <c r="U225" s="49">
        <v>0</v>
      </c>
      <c r="V225" s="49">
        <v>0.166667</v>
      </c>
      <c r="W225" s="49">
        <v>0</v>
      </c>
      <c r="X225" s="49">
        <v>0.740456</v>
      </c>
      <c r="Y225" s="49">
        <v>0.5</v>
      </c>
      <c r="Z225" s="49">
        <v>0</v>
      </c>
      <c r="AA225" s="102">
        <v>225</v>
      </c>
      <c r="AB225" s="102"/>
      <c r="AC225" s="103"/>
      <c r="AD225" s="80" t="s">
        <v>1420</v>
      </c>
      <c r="AE225" s="88" t="s">
        <v>1643</v>
      </c>
      <c r="AF225" s="80">
        <v>871</v>
      </c>
      <c r="AG225" s="80">
        <v>1570</v>
      </c>
      <c r="AH225" s="80">
        <v>3038</v>
      </c>
      <c r="AI225" s="80">
        <v>1463</v>
      </c>
      <c r="AJ225" s="80"/>
      <c r="AK225" s="80" t="s">
        <v>1856</v>
      </c>
      <c r="AL225" s="80" t="s">
        <v>2000</v>
      </c>
      <c r="AM225" s="85" t="str">
        <f>HYPERLINK("https://t.co/7IM6AMfPVw")</f>
        <v>https://t.co/7IM6AMfPVw</v>
      </c>
      <c r="AN225" s="80"/>
      <c r="AO225" s="82">
        <v>42130.724710648145</v>
      </c>
      <c r="AP225" s="85" t="str">
        <f>HYPERLINK("https://pbs.twimg.com/profile_banners/3239109777/1457350687")</f>
        <v>https://pbs.twimg.com/profile_banners/3239109777/1457350687</v>
      </c>
      <c r="AQ225" s="80" t="b">
        <v>0</v>
      </c>
      <c r="AR225" s="80" t="b">
        <v>0</v>
      </c>
      <c r="AS225" s="80" t="b">
        <v>0</v>
      </c>
      <c r="AT225" s="80"/>
      <c r="AU225" s="80">
        <v>124</v>
      </c>
      <c r="AV225" s="85" t="str">
        <f>HYPERLINK("http://abs.twimg.com/images/themes/theme1/bg.png")</f>
        <v>http://abs.twimg.com/images/themes/theme1/bg.png</v>
      </c>
      <c r="AW225" s="80" t="b">
        <v>0</v>
      </c>
      <c r="AX225" s="80" t="s">
        <v>2002</v>
      </c>
      <c r="AY225" s="85" t="str">
        <f>HYPERLINK("https://twitter.com/berlindigital")</f>
        <v>https://twitter.com/berlindigital</v>
      </c>
      <c r="AZ225" s="80" t="s">
        <v>66</v>
      </c>
      <c r="BA225" s="80" t="str">
        <f>REPLACE(INDEX(GroupVertices[Group],MATCH(Vertices[[#This Row],[Vertex]],GroupVertices[Vertex],0)),1,1,"")</f>
        <v>10</v>
      </c>
      <c r="BB225" s="48">
        <v>0</v>
      </c>
      <c r="BC225" s="49">
        <v>0</v>
      </c>
      <c r="BD225" s="48">
        <v>2</v>
      </c>
      <c r="BE225" s="49">
        <v>5.128205128205129</v>
      </c>
      <c r="BF225" s="48">
        <v>0</v>
      </c>
      <c r="BG225" s="49">
        <v>0</v>
      </c>
      <c r="BH225" s="48">
        <v>37</v>
      </c>
      <c r="BI225" s="49">
        <v>94.87179487179488</v>
      </c>
      <c r="BJ225" s="48">
        <v>39</v>
      </c>
      <c r="BK225" s="48"/>
      <c r="BL225" s="48"/>
      <c r="BM225" s="48"/>
      <c r="BN225" s="48"/>
      <c r="BO225" s="48" t="s">
        <v>704</v>
      </c>
      <c r="BP225" s="48" t="s">
        <v>704</v>
      </c>
      <c r="BQ225" s="125" t="s">
        <v>2869</v>
      </c>
      <c r="BR225" s="125" t="s">
        <v>2869</v>
      </c>
      <c r="BS225" s="125" t="s">
        <v>2984</v>
      </c>
      <c r="BT225" s="125" t="s">
        <v>2984</v>
      </c>
      <c r="BU225" s="2"/>
      <c r="BV225" s="3"/>
      <c r="BW225" s="3"/>
      <c r="BX225" s="3"/>
      <c r="BY2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5"/>
    <dataValidation allowBlank="1" showInputMessage="1" promptTitle="Vertex Tooltip" prompt="Enter optional text that will pop up when the mouse is hovered over the vertex." errorTitle="Invalid Vertex Image Key" sqref="K3:K2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5"/>
    <dataValidation allowBlank="1" showInputMessage="1" promptTitle="Vertex Label Fill Color" prompt="To select an optional fill color for the Label shape, right-click and select Select Color on the right-click menu." sqref="I3:I225"/>
    <dataValidation allowBlank="1" showInputMessage="1" promptTitle="Vertex Image File" prompt="Enter the path to an image file.  Hover over the column header for examples." errorTitle="Invalid Vertex Image Key" sqref="F3:F225"/>
    <dataValidation allowBlank="1" showInputMessage="1" promptTitle="Vertex Color" prompt="To select an optional vertex color, right-click and select Select Color on the right-click menu." sqref="B3:B225"/>
    <dataValidation allowBlank="1" showInputMessage="1" promptTitle="Vertex Opacity" prompt="Enter an optional vertex opacity between 0 (transparent) and 100 (opaque)." errorTitle="Invalid Vertex Opacity" error="The optional vertex opacity must be a whole number between 0 and 10." sqref="E3:E225"/>
    <dataValidation type="list" allowBlank="1" showInputMessage="1" showErrorMessage="1" promptTitle="Vertex Shape" prompt="Select an optional vertex shape." errorTitle="Invalid Vertex Shape" error="You have entered an invalid vertex shape.  Try selecting from the drop-down list instead." sqref="C3:C2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5">
      <formula1>ValidVertexLabelPositions</formula1>
    </dataValidation>
    <dataValidation allowBlank="1" showInputMessage="1" showErrorMessage="1" promptTitle="Vertex Name" prompt="Enter the name of the vertex." sqref="A3:A2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2678</v>
      </c>
      <c r="Z2" s="52" t="s">
        <v>2679</v>
      </c>
      <c r="AA2" s="52" t="s">
        <v>2680</v>
      </c>
      <c r="AB2" s="52" t="s">
        <v>2681</v>
      </c>
      <c r="AC2" s="52" t="s">
        <v>2682</v>
      </c>
      <c r="AD2" s="52" t="s">
        <v>2683</v>
      </c>
      <c r="AE2" s="52" t="s">
        <v>2684</v>
      </c>
      <c r="AF2" s="52" t="s">
        <v>2685</v>
      </c>
      <c r="AG2" s="52" t="s">
        <v>2688</v>
      </c>
      <c r="AH2" s="13" t="s">
        <v>2776</v>
      </c>
      <c r="AI2" s="13" t="s">
        <v>2798</v>
      </c>
      <c r="AJ2" s="13" t="s">
        <v>2843</v>
      </c>
      <c r="AK2" s="13" t="s">
        <v>2859</v>
      </c>
      <c r="AL2" s="13" t="s">
        <v>2974</v>
      </c>
      <c r="AM2" s="13" t="s">
        <v>3017</v>
      </c>
      <c r="AN2" s="13" t="s">
        <v>3018</v>
      </c>
      <c r="AO2" s="13" t="s">
        <v>3037</v>
      </c>
    </row>
    <row r="3" spans="1:41" ht="15">
      <c r="A3" s="91" t="s">
        <v>2227</v>
      </c>
      <c r="B3" s="67" t="s">
        <v>2246</v>
      </c>
      <c r="C3" s="67" t="s">
        <v>56</v>
      </c>
      <c r="D3" s="107"/>
      <c r="E3" s="106"/>
      <c r="F3" s="108" t="s">
        <v>3153</v>
      </c>
      <c r="G3" s="109"/>
      <c r="H3" s="109"/>
      <c r="I3" s="110">
        <v>3</v>
      </c>
      <c r="J3" s="111"/>
      <c r="K3" s="48">
        <v>48</v>
      </c>
      <c r="L3" s="48">
        <v>37</v>
      </c>
      <c r="M3" s="48">
        <v>72</v>
      </c>
      <c r="N3" s="48">
        <v>109</v>
      </c>
      <c r="O3" s="48">
        <v>1</v>
      </c>
      <c r="P3" s="49">
        <v>0.0196078431372549</v>
      </c>
      <c r="Q3" s="49">
        <v>0.038461538461538464</v>
      </c>
      <c r="R3" s="48">
        <v>1</v>
      </c>
      <c r="S3" s="48">
        <v>0</v>
      </c>
      <c r="T3" s="48">
        <v>48</v>
      </c>
      <c r="U3" s="48">
        <v>109</v>
      </c>
      <c r="V3" s="48">
        <v>3</v>
      </c>
      <c r="W3" s="49">
        <v>1.952257</v>
      </c>
      <c r="X3" s="49">
        <v>0.02304964539007092</v>
      </c>
      <c r="Y3" s="48">
        <v>0</v>
      </c>
      <c r="Z3" s="49">
        <v>0</v>
      </c>
      <c r="AA3" s="48">
        <v>0</v>
      </c>
      <c r="AB3" s="49">
        <v>0</v>
      </c>
      <c r="AC3" s="48">
        <v>0</v>
      </c>
      <c r="AD3" s="49">
        <v>0</v>
      </c>
      <c r="AE3" s="48">
        <v>1209</v>
      </c>
      <c r="AF3" s="49">
        <v>100</v>
      </c>
      <c r="AG3" s="48">
        <v>1209</v>
      </c>
      <c r="AH3" s="80" t="s">
        <v>2777</v>
      </c>
      <c r="AI3" s="80" t="s">
        <v>676</v>
      </c>
      <c r="AJ3" s="80" t="s">
        <v>2844</v>
      </c>
      <c r="AK3" s="88" t="s">
        <v>2860</v>
      </c>
      <c r="AL3" s="88" t="s">
        <v>2975</v>
      </c>
      <c r="AM3" s="88"/>
      <c r="AN3" s="88" t="s">
        <v>3019</v>
      </c>
      <c r="AO3" s="88" t="s">
        <v>3038</v>
      </c>
    </row>
    <row r="4" spans="1:41" ht="15">
      <c r="A4" s="91" t="s">
        <v>2228</v>
      </c>
      <c r="B4" s="67" t="s">
        <v>2247</v>
      </c>
      <c r="C4" s="67" t="s">
        <v>56</v>
      </c>
      <c r="D4" s="113"/>
      <c r="E4" s="112"/>
      <c r="F4" s="114" t="s">
        <v>3154</v>
      </c>
      <c r="G4" s="115"/>
      <c r="H4" s="115"/>
      <c r="I4" s="116">
        <v>4</v>
      </c>
      <c r="J4" s="117"/>
      <c r="K4" s="48">
        <v>40</v>
      </c>
      <c r="L4" s="48">
        <v>76</v>
      </c>
      <c r="M4" s="48">
        <v>2</v>
      </c>
      <c r="N4" s="48">
        <v>78</v>
      </c>
      <c r="O4" s="48">
        <v>2</v>
      </c>
      <c r="P4" s="49">
        <v>0.013333333333333334</v>
      </c>
      <c r="Q4" s="49">
        <v>0.02631578947368421</v>
      </c>
      <c r="R4" s="48">
        <v>1</v>
      </c>
      <c r="S4" s="48">
        <v>0</v>
      </c>
      <c r="T4" s="48">
        <v>40</v>
      </c>
      <c r="U4" s="48">
        <v>78</v>
      </c>
      <c r="V4" s="48">
        <v>2</v>
      </c>
      <c r="W4" s="49">
        <v>1.85625</v>
      </c>
      <c r="X4" s="49">
        <v>0.04871794871794872</v>
      </c>
      <c r="Y4" s="48">
        <v>118</v>
      </c>
      <c r="Z4" s="49">
        <v>7.338308457711443</v>
      </c>
      <c r="AA4" s="48">
        <v>4</v>
      </c>
      <c r="AB4" s="49">
        <v>0.24875621890547264</v>
      </c>
      <c r="AC4" s="48">
        <v>0</v>
      </c>
      <c r="AD4" s="49">
        <v>0</v>
      </c>
      <c r="AE4" s="48">
        <v>1486</v>
      </c>
      <c r="AF4" s="49">
        <v>92.41293532338308</v>
      </c>
      <c r="AG4" s="48">
        <v>1608</v>
      </c>
      <c r="AH4" s="80" t="s">
        <v>2778</v>
      </c>
      <c r="AI4" s="80" t="s">
        <v>2799</v>
      </c>
      <c r="AJ4" s="80" t="s">
        <v>2845</v>
      </c>
      <c r="AK4" s="88" t="s">
        <v>2861</v>
      </c>
      <c r="AL4" s="88" t="s">
        <v>2976</v>
      </c>
      <c r="AM4" s="88"/>
      <c r="AN4" s="88" t="s">
        <v>513</v>
      </c>
      <c r="AO4" s="88" t="s">
        <v>3039</v>
      </c>
    </row>
    <row r="5" spans="1:41" ht="15">
      <c r="A5" s="91" t="s">
        <v>2229</v>
      </c>
      <c r="B5" s="67" t="s">
        <v>2248</v>
      </c>
      <c r="C5" s="67" t="s">
        <v>56</v>
      </c>
      <c r="D5" s="113"/>
      <c r="E5" s="112"/>
      <c r="F5" s="114" t="s">
        <v>3155</v>
      </c>
      <c r="G5" s="115"/>
      <c r="H5" s="115"/>
      <c r="I5" s="116">
        <v>5</v>
      </c>
      <c r="J5" s="117"/>
      <c r="K5" s="48">
        <v>26</v>
      </c>
      <c r="L5" s="48">
        <v>57</v>
      </c>
      <c r="M5" s="48">
        <v>0</v>
      </c>
      <c r="N5" s="48">
        <v>57</v>
      </c>
      <c r="O5" s="48">
        <v>0</v>
      </c>
      <c r="P5" s="49">
        <v>0</v>
      </c>
      <c r="Q5" s="49">
        <v>0</v>
      </c>
      <c r="R5" s="48">
        <v>1</v>
      </c>
      <c r="S5" s="48">
        <v>0</v>
      </c>
      <c r="T5" s="48">
        <v>26</v>
      </c>
      <c r="U5" s="48">
        <v>57</v>
      </c>
      <c r="V5" s="48">
        <v>3</v>
      </c>
      <c r="W5" s="49">
        <v>1.878698</v>
      </c>
      <c r="X5" s="49">
        <v>0.0876923076923077</v>
      </c>
      <c r="Y5" s="48">
        <v>22</v>
      </c>
      <c r="Z5" s="49">
        <v>4.814004376367615</v>
      </c>
      <c r="AA5" s="48">
        <v>0</v>
      </c>
      <c r="AB5" s="49">
        <v>0</v>
      </c>
      <c r="AC5" s="48">
        <v>0</v>
      </c>
      <c r="AD5" s="49">
        <v>0</v>
      </c>
      <c r="AE5" s="48">
        <v>435</v>
      </c>
      <c r="AF5" s="49">
        <v>95.18599562363238</v>
      </c>
      <c r="AG5" s="48">
        <v>457</v>
      </c>
      <c r="AH5" s="80" t="s">
        <v>2724</v>
      </c>
      <c r="AI5" s="80" t="s">
        <v>678</v>
      </c>
      <c r="AJ5" s="80" t="s">
        <v>703</v>
      </c>
      <c r="AK5" s="88" t="s">
        <v>2862</v>
      </c>
      <c r="AL5" s="88" t="s">
        <v>2977</v>
      </c>
      <c r="AM5" s="88"/>
      <c r="AN5" s="88" t="s">
        <v>3020</v>
      </c>
      <c r="AO5" s="88" t="s">
        <v>3040</v>
      </c>
    </row>
    <row r="6" spans="1:41" ht="15">
      <c r="A6" s="91" t="s">
        <v>2230</v>
      </c>
      <c r="B6" s="67" t="s">
        <v>2249</v>
      </c>
      <c r="C6" s="67" t="s">
        <v>56</v>
      </c>
      <c r="D6" s="113"/>
      <c r="E6" s="112"/>
      <c r="F6" s="114" t="s">
        <v>3156</v>
      </c>
      <c r="G6" s="115"/>
      <c r="H6" s="115"/>
      <c r="I6" s="116">
        <v>6</v>
      </c>
      <c r="J6" s="117"/>
      <c r="K6" s="48">
        <v>21</v>
      </c>
      <c r="L6" s="48">
        <v>39</v>
      </c>
      <c r="M6" s="48">
        <v>0</v>
      </c>
      <c r="N6" s="48">
        <v>39</v>
      </c>
      <c r="O6" s="48">
        <v>0</v>
      </c>
      <c r="P6" s="49">
        <v>0</v>
      </c>
      <c r="Q6" s="49">
        <v>0</v>
      </c>
      <c r="R6" s="48">
        <v>1</v>
      </c>
      <c r="S6" s="48">
        <v>0</v>
      </c>
      <c r="T6" s="48">
        <v>21</v>
      </c>
      <c r="U6" s="48">
        <v>39</v>
      </c>
      <c r="V6" s="48">
        <v>2</v>
      </c>
      <c r="W6" s="49">
        <v>1.727891</v>
      </c>
      <c r="X6" s="49">
        <v>0.09285714285714286</v>
      </c>
      <c r="Y6" s="48">
        <v>20</v>
      </c>
      <c r="Z6" s="49">
        <v>3.125</v>
      </c>
      <c r="AA6" s="48">
        <v>20</v>
      </c>
      <c r="AB6" s="49">
        <v>3.125</v>
      </c>
      <c r="AC6" s="48">
        <v>0</v>
      </c>
      <c r="AD6" s="49">
        <v>0</v>
      </c>
      <c r="AE6" s="48">
        <v>600</v>
      </c>
      <c r="AF6" s="49">
        <v>93.75</v>
      </c>
      <c r="AG6" s="48">
        <v>640</v>
      </c>
      <c r="AH6" s="80" t="s">
        <v>2752</v>
      </c>
      <c r="AI6" s="80" t="s">
        <v>689</v>
      </c>
      <c r="AJ6" s="80" t="s">
        <v>727</v>
      </c>
      <c r="AK6" s="88" t="s">
        <v>2863</v>
      </c>
      <c r="AL6" s="88" t="s">
        <v>2978</v>
      </c>
      <c r="AM6" s="88"/>
      <c r="AN6" s="88" t="s">
        <v>534</v>
      </c>
      <c r="AO6" s="88" t="s">
        <v>3041</v>
      </c>
    </row>
    <row r="7" spans="1:41" ht="15">
      <c r="A7" s="91" t="s">
        <v>2231</v>
      </c>
      <c r="B7" s="67" t="s">
        <v>2250</v>
      </c>
      <c r="C7" s="67" t="s">
        <v>56</v>
      </c>
      <c r="D7" s="113"/>
      <c r="E7" s="112"/>
      <c r="F7" s="114" t="s">
        <v>3157</v>
      </c>
      <c r="G7" s="115"/>
      <c r="H7" s="115"/>
      <c r="I7" s="116">
        <v>7</v>
      </c>
      <c r="J7" s="117"/>
      <c r="K7" s="48">
        <v>20</v>
      </c>
      <c r="L7" s="48">
        <v>42</v>
      </c>
      <c r="M7" s="48">
        <v>0</v>
      </c>
      <c r="N7" s="48">
        <v>42</v>
      </c>
      <c r="O7" s="48">
        <v>1</v>
      </c>
      <c r="P7" s="49">
        <v>0.07894736842105263</v>
      </c>
      <c r="Q7" s="49">
        <v>0.14634146341463414</v>
      </c>
      <c r="R7" s="48">
        <v>1</v>
      </c>
      <c r="S7" s="48">
        <v>0</v>
      </c>
      <c r="T7" s="48">
        <v>20</v>
      </c>
      <c r="U7" s="48">
        <v>42</v>
      </c>
      <c r="V7" s="48">
        <v>2</v>
      </c>
      <c r="W7" s="49">
        <v>1.71</v>
      </c>
      <c r="X7" s="49">
        <v>0.10789473684210527</v>
      </c>
      <c r="Y7" s="48">
        <v>26</v>
      </c>
      <c r="Z7" s="49">
        <v>4.3844856661045535</v>
      </c>
      <c r="AA7" s="48">
        <v>0</v>
      </c>
      <c r="AB7" s="49">
        <v>0</v>
      </c>
      <c r="AC7" s="48">
        <v>0</v>
      </c>
      <c r="AD7" s="49">
        <v>0</v>
      </c>
      <c r="AE7" s="48">
        <v>567</v>
      </c>
      <c r="AF7" s="49">
        <v>95.61551433389545</v>
      </c>
      <c r="AG7" s="48">
        <v>593</v>
      </c>
      <c r="AH7" s="80" t="s">
        <v>2779</v>
      </c>
      <c r="AI7" s="80" t="s">
        <v>2800</v>
      </c>
      <c r="AJ7" s="80" t="s">
        <v>2846</v>
      </c>
      <c r="AK7" s="88" t="s">
        <v>2864</v>
      </c>
      <c r="AL7" s="88" t="s">
        <v>2979</v>
      </c>
      <c r="AM7" s="88"/>
      <c r="AN7" s="88" t="s">
        <v>3021</v>
      </c>
      <c r="AO7" s="88" t="s">
        <v>3042</v>
      </c>
    </row>
    <row r="8" spans="1:41" ht="15">
      <c r="A8" s="91" t="s">
        <v>2232</v>
      </c>
      <c r="B8" s="67" t="s">
        <v>2251</v>
      </c>
      <c r="C8" s="67" t="s">
        <v>56</v>
      </c>
      <c r="D8" s="113"/>
      <c r="E8" s="112"/>
      <c r="F8" s="114" t="s">
        <v>3158</v>
      </c>
      <c r="G8" s="115"/>
      <c r="H8" s="115"/>
      <c r="I8" s="116">
        <v>8</v>
      </c>
      <c r="J8" s="117"/>
      <c r="K8" s="48">
        <v>9</v>
      </c>
      <c r="L8" s="48">
        <v>9</v>
      </c>
      <c r="M8" s="48">
        <v>0</v>
      </c>
      <c r="N8" s="48">
        <v>9</v>
      </c>
      <c r="O8" s="48">
        <v>1</v>
      </c>
      <c r="P8" s="49">
        <v>0</v>
      </c>
      <c r="Q8" s="49">
        <v>0</v>
      </c>
      <c r="R8" s="48">
        <v>1</v>
      </c>
      <c r="S8" s="48">
        <v>0</v>
      </c>
      <c r="T8" s="48">
        <v>9</v>
      </c>
      <c r="U8" s="48">
        <v>9</v>
      </c>
      <c r="V8" s="48">
        <v>2</v>
      </c>
      <c r="W8" s="49">
        <v>1.580247</v>
      </c>
      <c r="X8" s="49">
        <v>0.1111111111111111</v>
      </c>
      <c r="Y8" s="48">
        <v>18</v>
      </c>
      <c r="Z8" s="49">
        <v>5.714285714285714</v>
      </c>
      <c r="AA8" s="48">
        <v>0</v>
      </c>
      <c r="AB8" s="49">
        <v>0</v>
      </c>
      <c r="AC8" s="48">
        <v>0</v>
      </c>
      <c r="AD8" s="49">
        <v>0</v>
      </c>
      <c r="AE8" s="48">
        <v>297</v>
      </c>
      <c r="AF8" s="49">
        <v>94.28571428571429</v>
      </c>
      <c r="AG8" s="48">
        <v>315</v>
      </c>
      <c r="AH8" s="80"/>
      <c r="AI8" s="80"/>
      <c r="AJ8" s="80" t="s">
        <v>693</v>
      </c>
      <c r="AK8" s="88" t="s">
        <v>2865</v>
      </c>
      <c r="AL8" s="88" t="s">
        <v>2980</v>
      </c>
      <c r="AM8" s="88"/>
      <c r="AN8" s="88"/>
      <c r="AO8" s="88" t="s">
        <v>3043</v>
      </c>
    </row>
    <row r="9" spans="1:41" ht="15">
      <c r="A9" s="91" t="s">
        <v>2233</v>
      </c>
      <c r="B9" s="67" t="s">
        <v>2252</v>
      </c>
      <c r="C9" s="67" t="s">
        <v>56</v>
      </c>
      <c r="D9" s="113"/>
      <c r="E9" s="112"/>
      <c r="F9" s="114" t="s">
        <v>3159</v>
      </c>
      <c r="G9" s="115"/>
      <c r="H9" s="115"/>
      <c r="I9" s="116">
        <v>9</v>
      </c>
      <c r="J9" s="117"/>
      <c r="K9" s="48">
        <v>8</v>
      </c>
      <c r="L9" s="48">
        <v>17</v>
      </c>
      <c r="M9" s="48">
        <v>0</v>
      </c>
      <c r="N9" s="48">
        <v>17</v>
      </c>
      <c r="O9" s="48">
        <v>0</v>
      </c>
      <c r="P9" s="49">
        <v>0</v>
      </c>
      <c r="Q9" s="49">
        <v>0</v>
      </c>
      <c r="R9" s="48">
        <v>1</v>
      </c>
      <c r="S9" s="48">
        <v>0</v>
      </c>
      <c r="T9" s="48">
        <v>8</v>
      </c>
      <c r="U9" s="48">
        <v>17</v>
      </c>
      <c r="V9" s="48">
        <v>2</v>
      </c>
      <c r="W9" s="49">
        <v>1.21875</v>
      </c>
      <c r="X9" s="49">
        <v>0.30357142857142855</v>
      </c>
      <c r="Y9" s="48">
        <v>12</v>
      </c>
      <c r="Z9" s="49">
        <v>5.2631578947368425</v>
      </c>
      <c r="AA9" s="48">
        <v>6</v>
      </c>
      <c r="AB9" s="49">
        <v>2.6315789473684212</v>
      </c>
      <c r="AC9" s="48">
        <v>0</v>
      </c>
      <c r="AD9" s="49">
        <v>0</v>
      </c>
      <c r="AE9" s="48">
        <v>210</v>
      </c>
      <c r="AF9" s="49">
        <v>92.10526315789474</v>
      </c>
      <c r="AG9" s="48">
        <v>228</v>
      </c>
      <c r="AH9" s="80"/>
      <c r="AI9" s="80"/>
      <c r="AJ9" s="80" t="s">
        <v>707</v>
      </c>
      <c r="AK9" s="88" t="s">
        <v>2866</v>
      </c>
      <c r="AL9" s="88" t="s">
        <v>2981</v>
      </c>
      <c r="AM9" s="88"/>
      <c r="AN9" s="88" t="s">
        <v>3022</v>
      </c>
      <c r="AO9" s="88" t="s">
        <v>3044</v>
      </c>
    </row>
    <row r="10" spans="1:41" ht="14.25" customHeight="1">
      <c r="A10" s="91" t="s">
        <v>2234</v>
      </c>
      <c r="B10" s="67" t="s">
        <v>2253</v>
      </c>
      <c r="C10" s="67" t="s">
        <v>56</v>
      </c>
      <c r="D10" s="113"/>
      <c r="E10" s="112"/>
      <c r="F10" s="114" t="s">
        <v>3160</v>
      </c>
      <c r="G10" s="115"/>
      <c r="H10" s="115"/>
      <c r="I10" s="116">
        <v>10</v>
      </c>
      <c r="J10" s="117"/>
      <c r="K10" s="48">
        <v>7</v>
      </c>
      <c r="L10" s="48">
        <v>6</v>
      </c>
      <c r="M10" s="48">
        <v>2</v>
      </c>
      <c r="N10" s="48">
        <v>8</v>
      </c>
      <c r="O10" s="48">
        <v>8</v>
      </c>
      <c r="P10" s="49" t="s">
        <v>2261</v>
      </c>
      <c r="Q10" s="49" t="s">
        <v>2261</v>
      </c>
      <c r="R10" s="48">
        <v>7</v>
      </c>
      <c r="S10" s="48">
        <v>7</v>
      </c>
      <c r="T10" s="48">
        <v>1</v>
      </c>
      <c r="U10" s="48">
        <v>2</v>
      </c>
      <c r="V10" s="48">
        <v>0</v>
      </c>
      <c r="W10" s="49">
        <v>0</v>
      </c>
      <c r="X10" s="49">
        <v>0</v>
      </c>
      <c r="Y10" s="48">
        <v>2</v>
      </c>
      <c r="Z10" s="49">
        <v>1.1299435028248588</v>
      </c>
      <c r="AA10" s="48">
        <v>2</v>
      </c>
      <c r="AB10" s="49">
        <v>1.1299435028248588</v>
      </c>
      <c r="AC10" s="48">
        <v>0</v>
      </c>
      <c r="AD10" s="49">
        <v>0</v>
      </c>
      <c r="AE10" s="48">
        <v>173</v>
      </c>
      <c r="AF10" s="49">
        <v>97.74011299435028</v>
      </c>
      <c r="AG10" s="48">
        <v>177</v>
      </c>
      <c r="AH10" s="80" t="s">
        <v>2780</v>
      </c>
      <c r="AI10" s="80" t="s">
        <v>2801</v>
      </c>
      <c r="AJ10" s="80" t="s">
        <v>2847</v>
      </c>
      <c r="AK10" s="88" t="s">
        <v>2867</v>
      </c>
      <c r="AL10" s="88" t="s">
        <v>2982</v>
      </c>
      <c r="AM10" s="88"/>
      <c r="AN10" s="88" t="s">
        <v>3013</v>
      </c>
      <c r="AO10" s="88" t="s">
        <v>3045</v>
      </c>
    </row>
    <row r="11" spans="1:41" ht="15">
      <c r="A11" s="91" t="s">
        <v>2235</v>
      </c>
      <c r="B11" s="67" t="s">
        <v>2254</v>
      </c>
      <c r="C11" s="67" t="s">
        <v>56</v>
      </c>
      <c r="D11" s="113"/>
      <c r="E11" s="112"/>
      <c r="F11" s="114" t="s">
        <v>3161</v>
      </c>
      <c r="G11" s="115"/>
      <c r="H11" s="115"/>
      <c r="I11" s="116">
        <v>11</v>
      </c>
      <c r="J11" s="117"/>
      <c r="K11" s="48">
        <v>6</v>
      </c>
      <c r="L11" s="48">
        <v>6</v>
      </c>
      <c r="M11" s="48">
        <v>0</v>
      </c>
      <c r="N11" s="48">
        <v>6</v>
      </c>
      <c r="O11" s="48">
        <v>1</v>
      </c>
      <c r="P11" s="49">
        <v>0</v>
      </c>
      <c r="Q11" s="49">
        <v>0</v>
      </c>
      <c r="R11" s="48">
        <v>1</v>
      </c>
      <c r="S11" s="48">
        <v>0</v>
      </c>
      <c r="T11" s="48">
        <v>6</v>
      </c>
      <c r="U11" s="48">
        <v>6</v>
      </c>
      <c r="V11" s="48">
        <v>2</v>
      </c>
      <c r="W11" s="49">
        <v>1.388889</v>
      </c>
      <c r="X11" s="49">
        <v>0.16666666666666666</v>
      </c>
      <c r="Y11" s="48">
        <v>6</v>
      </c>
      <c r="Z11" s="49">
        <v>16.666666666666668</v>
      </c>
      <c r="AA11" s="48">
        <v>0</v>
      </c>
      <c r="AB11" s="49">
        <v>0</v>
      </c>
      <c r="AC11" s="48">
        <v>0</v>
      </c>
      <c r="AD11" s="49">
        <v>0</v>
      </c>
      <c r="AE11" s="48">
        <v>30</v>
      </c>
      <c r="AF11" s="49">
        <v>83.33333333333333</v>
      </c>
      <c r="AG11" s="48">
        <v>36</v>
      </c>
      <c r="AH11" s="80" t="s">
        <v>2730</v>
      </c>
      <c r="AI11" s="80" t="s">
        <v>676</v>
      </c>
      <c r="AJ11" s="80" t="s">
        <v>698</v>
      </c>
      <c r="AK11" s="88" t="s">
        <v>2868</v>
      </c>
      <c r="AL11" s="88" t="s">
        <v>2983</v>
      </c>
      <c r="AM11" s="88"/>
      <c r="AN11" s="88"/>
      <c r="AO11" s="88" t="s">
        <v>3046</v>
      </c>
    </row>
    <row r="12" spans="1:41" ht="15">
      <c r="A12" s="91" t="s">
        <v>2236</v>
      </c>
      <c r="B12" s="67" t="s">
        <v>2255</v>
      </c>
      <c r="C12" s="67" t="s">
        <v>56</v>
      </c>
      <c r="D12" s="113"/>
      <c r="E12" s="112"/>
      <c r="F12" s="114" t="s">
        <v>3162</v>
      </c>
      <c r="G12" s="115"/>
      <c r="H12" s="115"/>
      <c r="I12" s="116">
        <v>12</v>
      </c>
      <c r="J12" s="117"/>
      <c r="K12" s="48">
        <v>5</v>
      </c>
      <c r="L12" s="48">
        <v>7</v>
      </c>
      <c r="M12" s="48">
        <v>0</v>
      </c>
      <c r="N12" s="48">
        <v>7</v>
      </c>
      <c r="O12" s="48">
        <v>0</v>
      </c>
      <c r="P12" s="49">
        <v>0</v>
      </c>
      <c r="Q12" s="49">
        <v>0</v>
      </c>
      <c r="R12" s="48">
        <v>1</v>
      </c>
      <c r="S12" s="48">
        <v>0</v>
      </c>
      <c r="T12" s="48">
        <v>5</v>
      </c>
      <c r="U12" s="48">
        <v>7</v>
      </c>
      <c r="V12" s="48">
        <v>2</v>
      </c>
      <c r="W12" s="49">
        <v>1.04</v>
      </c>
      <c r="X12" s="49">
        <v>0.35</v>
      </c>
      <c r="Y12" s="48">
        <v>0</v>
      </c>
      <c r="Z12" s="49">
        <v>0</v>
      </c>
      <c r="AA12" s="48">
        <v>8</v>
      </c>
      <c r="AB12" s="49">
        <v>5.128205128205129</v>
      </c>
      <c r="AC12" s="48">
        <v>0</v>
      </c>
      <c r="AD12" s="49">
        <v>0</v>
      </c>
      <c r="AE12" s="48">
        <v>148</v>
      </c>
      <c r="AF12" s="49">
        <v>94.87179487179488</v>
      </c>
      <c r="AG12" s="48">
        <v>156</v>
      </c>
      <c r="AH12" s="80" t="s">
        <v>2774</v>
      </c>
      <c r="AI12" s="80" t="s">
        <v>692</v>
      </c>
      <c r="AJ12" s="80" t="s">
        <v>730</v>
      </c>
      <c r="AK12" s="88" t="s">
        <v>2869</v>
      </c>
      <c r="AL12" s="88" t="s">
        <v>2984</v>
      </c>
      <c r="AM12" s="88"/>
      <c r="AN12" s="88" t="s">
        <v>528</v>
      </c>
      <c r="AO12" s="88" t="s">
        <v>3047</v>
      </c>
    </row>
    <row r="13" spans="1:41" ht="15">
      <c r="A13" s="91" t="s">
        <v>2237</v>
      </c>
      <c r="B13" s="67" t="s">
        <v>2256</v>
      </c>
      <c r="C13" s="67" t="s">
        <v>56</v>
      </c>
      <c r="D13" s="113"/>
      <c r="E13" s="112"/>
      <c r="F13" s="114" t="s">
        <v>3163</v>
      </c>
      <c r="G13" s="115"/>
      <c r="H13" s="115"/>
      <c r="I13" s="116">
        <v>13</v>
      </c>
      <c r="J13" s="117"/>
      <c r="K13" s="48">
        <v>5</v>
      </c>
      <c r="L13" s="48">
        <v>7</v>
      </c>
      <c r="M13" s="48">
        <v>0</v>
      </c>
      <c r="N13" s="48">
        <v>7</v>
      </c>
      <c r="O13" s="48">
        <v>0</v>
      </c>
      <c r="P13" s="49">
        <v>0</v>
      </c>
      <c r="Q13" s="49">
        <v>0</v>
      </c>
      <c r="R13" s="48">
        <v>1</v>
      </c>
      <c r="S13" s="48">
        <v>0</v>
      </c>
      <c r="T13" s="48">
        <v>5</v>
      </c>
      <c r="U13" s="48">
        <v>7</v>
      </c>
      <c r="V13" s="48">
        <v>2</v>
      </c>
      <c r="W13" s="49">
        <v>1.04</v>
      </c>
      <c r="X13" s="49">
        <v>0.35</v>
      </c>
      <c r="Y13" s="48">
        <v>0</v>
      </c>
      <c r="Z13" s="49">
        <v>0</v>
      </c>
      <c r="AA13" s="48">
        <v>0</v>
      </c>
      <c r="AB13" s="49">
        <v>0</v>
      </c>
      <c r="AC13" s="48">
        <v>0</v>
      </c>
      <c r="AD13" s="49">
        <v>0</v>
      </c>
      <c r="AE13" s="48">
        <v>132</v>
      </c>
      <c r="AF13" s="49">
        <v>100</v>
      </c>
      <c r="AG13" s="48">
        <v>132</v>
      </c>
      <c r="AH13" s="80" t="s">
        <v>2781</v>
      </c>
      <c r="AI13" s="80" t="s">
        <v>686</v>
      </c>
      <c r="AJ13" s="80" t="s">
        <v>707</v>
      </c>
      <c r="AK13" s="88" t="s">
        <v>2870</v>
      </c>
      <c r="AL13" s="88" t="s">
        <v>2985</v>
      </c>
      <c r="AM13" s="88"/>
      <c r="AN13" s="88" t="s">
        <v>529</v>
      </c>
      <c r="AO13" s="88" t="s">
        <v>3048</v>
      </c>
    </row>
    <row r="14" spans="1:41" ht="15">
      <c r="A14" s="91" t="s">
        <v>2238</v>
      </c>
      <c r="B14" s="67" t="s">
        <v>2257</v>
      </c>
      <c r="C14" s="67" t="s">
        <v>56</v>
      </c>
      <c r="D14" s="113"/>
      <c r="E14" s="112"/>
      <c r="F14" s="114" t="s">
        <v>3164</v>
      </c>
      <c r="G14" s="115"/>
      <c r="H14" s="115"/>
      <c r="I14" s="116">
        <v>14</v>
      </c>
      <c r="J14" s="117"/>
      <c r="K14" s="48">
        <v>5</v>
      </c>
      <c r="L14" s="48">
        <v>7</v>
      </c>
      <c r="M14" s="48">
        <v>0</v>
      </c>
      <c r="N14" s="48">
        <v>7</v>
      </c>
      <c r="O14" s="48">
        <v>0</v>
      </c>
      <c r="P14" s="49">
        <v>0</v>
      </c>
      <c r="Q14" s="49">
        <v>0</v>
      </c>
      <c r="R14" s="48">
        <v>1</v>
      </c>
      <c r="S14" s="48">
        <v>0</v>
      </c>
      <c r="T14" s="48">
        <v>5</v>
      </c>
      <c r="U14" s="48">
        <v>7</v>
      </c>
      <c r="V14" s="48">
        <v>2</v>
      </c>
      <c r="W14" s="49">
        <v>1.04</v>
      </c>
      <c r="X14" s="49">
        <v>0.35</v>
      </c>
      <c r="Y14" s="48">
        <v>0</v>
      </c>
      <c r="Z14" s="49">
        <v>0</v>
      </c>
      <c r="AA14" s="48">
        <v>0</v>
      </c>
      <c r="AB14" s="49">
        <v>0</v>
      </c>
      <c r="AC14" s="48">
        <v>0</v>
      </c>
      <c r="AD14" s="49">
        <v>0</v>
      </c>
      <c r="AE14" s="48">
        <v>112</v>
      </c>
      <c r="AF14" s="49">
        <v>100</v>
      </c>
      <c r="AG14" s="48">
        <v>112</v>
      </c>
      <c r="AH14" s="80" t="s">
        <v>2782</v>
      </c>
      <c r="AI14" s="80" t="s">
        <v>679</v>
      </c>
      <c r="AJ14" s="80" t="s">
        <v>708</v>
      </c>
      <c r="AK14" s="88" t="s">
        <v>2871</v>
      </c>
      <c r="AL14" s="88" t="s">
        <v>2986</v>
      </c>
      <c r="AM14" s="88"/>
      <c r="AN14" s="88" t="s">
        <v>530</v>
      </c>
      <c r="AO14" s="88" t="s">
        <v>3049</v>
      </c>
    </row>
    <row r="15" spans="1:41" ht="15">
      <c r="A15" s="91" t="s">
        <v>2239</v>
      </c>
      <c r="B15" s="67" t="s">
        <v>2246</v>
      </c>
      <c r="C15" s="67" t="s">
        <v>59</v>
      </c>
      <c r="D15" s="113"/>
      <c r="E15" s="112"/>
      <c r="F15" s="114" t="s">
        <v>3165</v>
      </c>
      <c r="G15" s="115"/>
      <c r="H15" s="115"/>
      <c r="I15" s="116">
        <v>15</v>
      </c>
      <c r="J15" s="117"/>
      <c r="K15" s="48">
        <v>4</v>
      </c>
      <c r="L15" s="48">
        <v>7</v>
      </c>
      <c r="M15" s="48">
        <v>0</v>
      </c>
      <c r="N15" s="48">
        <v>7</v>
      </c>
      <c r="O15" s="48">
        <v>0</v>
      </c>
      <c r="P15" s="49">
        <v>0.16666666666666666</v>
      </c>
      <c r="Q15" s="49">
        <v>0.2857142857142857</v>
      </c>
      <c r="R15" s="48">
        <v>1</v>
      </c>
      <c r="S15" s="48">
        <v>0</v>
      </c>
      <c r="T15" s="48">
        <v>4</v>
      </c>
      <c r="U15" s="48">
        <v>7</v>
      </c>
      <c r="V15" s="48">
        <v>1</v>
      </c>
      <c r="W15" s="49">
        <v>0.75</v>
      </c>
      <c r="X15" s="49">
        <v>0.5833333333333334</v>
      </c>
      <c r="Y15" s="48">
        <v>0</v>
      </c>
      <c r="Z15" s="49">
        <v>0</v>
      </c>
      <c r="AA15" s="48">
        <v>0</v>
      </c>
      <c r="AB15" s="49">
        <v>0</v>
      </c>
      <c r="AC15" s="48">
        <v>0</v>
      </c>
      <c r="AD15" s="49">
        <v>0</v>
      </c>
      <c r="AE15" s="48">
        <v>48</v>
      </c>
      <c r="AF15" s="49">
        <v>100</v>
      </c>
      <c r="AG15" s="48">
        <v>48</v>
      </c>
      <c r="AH15" s="80" t="s">
        <v>2725</v>
      </c>
      <c r="AI15" s="80" t="s">
        <v>683</v>
      </c>
      <c r="AJ15" s="80" t="s">
        <v>707</v>
      </c>
      <c r="AK15" s="88" t="s">
        <v>2872</v>
      </c>
      <c r="AL15" s="88" t="s">
        <v>2987</v>
      </c>
      <c r="AM15" s="88"/>
      <c r="AN15" s="88" t="s">
        <v>3023</v>
      </c>
      <c r="AO15" s="88" t="s">
        <v>3050</v>
      </c>
    </row>
    <row r="16" spans="1:41" ht="15">
      <c r="A16" s="91" t="s">
        <v>2240</v>
      </c>
      <c r="B16" s="67" t="s">
        <v>2247</v>
      </c>
      <c r="C16" s="67" t="s">
        <v>59</v>
      </c>
      <c r="D16" s="113"/>
      <c r="E16" s="112"/>
      <c r="F16" s="114" t="s">
        <v>3166</v>
      </c>
      <c r="G16" s="115"/>
      <c r="H16" s="115"/>
      <c r="I16" s="116">
        <v>16</v>
      </c>
      <c r="J16" s="117"/>
      <c r="K16" s="48">
        <v>4</v>
      </c>
      <c r="L16" s="48">
        <v>5</v>
      </c>
      <c r="M16" s="48">
        <v>0</v>
      </c>
      <c r="N16" s="48">
        <v>5</v>
      </c>
      <c r="O16" s="48">
        <v>0</v>
      </c>
      <c r="P16" s="49">
        <v>0</v>
      </c>
      <c r="Q16" s="49">
        <v>0</v>
      </c>
      <c r="R16" s="48">
        <v>1</v>
      </c>
      <c r="S16" s="48">
        <v>0</v>
      </c>
      <c r="T16" s="48">
        <v>4</v>
      </c>
      <c r="U16" s="48">
        <v>5</v>
      </c>
      <c r="V16" s="48">
        <v>2</v>
      </c>
      <c r="W16" s="49">
        <v>0.875</v>
      </c>
      <c r="X16" s="49">
        <v>0.4166666666666667</v>
      </c>
      <c r="Y16" s="48">
        <v>0</v>
      </c>
      <c r="Z16" s="49">
        <v>0</v>
      </c>
      <c r="AA16" s="48">
        <v>3</v>
      </c>
      <c r="AB16" s="49">
        <v>4.166666666666667</v>
      </c>
      <c r="AC16" s="48">
        <v>0</v>
      </c>
      <c r="AD16" s="49">
        <v>0</v>
      </c>
      <c r="AE16" s="48">
        <v>69</v>
      </c>
      <c r="AF16" s="49">
        <v>95.83333333333333</v>
      </c>
      <c r="AG16" s="48">
        <v>72</v>
      </c>
      <c r="AH16" s="80" t="s">
        <v>2783</v>
      </c>
      <c r="AI16" s="80" t="s">
        <v>677</v>
      </c>
      <c r="AJ16" s="80" t="s">
        <v>702</v>
      </c>
      <c r="AK16" s="88" t="s">
        <v>2873</v>
      </c>
      <c r="AL16" s="88" t="s">
        <v>2988</v>
      </c>
      <c r="AM16" s="88"/>
      <c r="AN16" s="88" t="s">
        <v>523</v>
      </c>
      <c r="AO16" s="88" t="s">
        <v>3051</v>
      </c>
    </row>
    <row r="17" spans="1:41" ht="15">
      <c r="A17" s="91" t="s">
        <v>2241</v>
      </c>
      <c r="B17" s="67" t="s">
        <v>2248</v>
      </c>
      <c r="C17" s="67" t="s">
        <v>59</v>
      </c>
      <c r="D17" s="113"/>
      <c r="E17" s="112"/>
      <c r="F17" s="114" t="s">
        <v>3167</v>
      </c>
      <c r="G17" s="115"/>
      <c r="H17" s="115"/>
      <c r="I17" s="116">
        <v>17</v>
      </c>
      <c r="J17" s="117"/>
      <c r="K17" s="48">
        <v>4</v>
      </c>
      <c r="L17" s="48">
        <v>5</v>
      </c>
      <c r="M17" s="48">
        <v>0</v>
      </c>
      <c r="N17" s="48">
        <v>5</v>
      </c>
      <c r="O17" s="48">
        <v>0</v>
      </c>
      <c r="P17" s="49">
        <v>0</v>
      </c>
      <c r="Q17" s="49">
        <v>0</v>
      </c>
      <c r="R17" s="48">
        <v>1</v>
      </c>
      <c r="S17" s="48">
        <v>0</v>
      </c>
      <c r="T17" s="48">
        <v>4</v>
      </c>
      <c r="U17" s="48">
        <v>5</v>
      </c>
      <c r="V17" s="48">
        <v>2</v>
      </c>
      <c r="W17" s="49">
        <v>0.875</v>
      </c>
      <c r="X17" s="49">
        <v>0.4166666666666667</v>
      </c>
      <c r="Y17" s="48">
        <v>0</v>
      </c>
      <c r="Z17" s="49">
        <v>0</v>
      </c>
      <c r="AA17" s="48">
        <v>2</v>
      </c>
      <c r="AB17" s="49">
        <v>4.761904761904762</v>
      </c>
      <c r="AC17" s="48">
        <v>0</v>
      </c>
      <c r="AD17" s="49">
        <v>0</v>
      </c>
      <c r="AE17" s="48">
        <v>40</v>
      </c>
      <c r="AF17" s="49">
        <v>95.23809523809524</v>
      </c>
      <c r="AG17" s="48">
        <v>42</v>
      </c>
      <c r="AH17" s="80" t="s">
        <v>2784</v>
      </c>
      <c r="AI17" s="80" t="s">
        <v>676</v>
      </c>
      <c r="AJ17" s="80" t="s">
        <v>696</v>
      </c>
      <c r="AK17" s="88" t="s">
        <v>2874</v>
      </c>
      <c r="AL17" s="88" t="s">
        <v>2989</v>
      </c>
      <c r="AM17" s="88"/>
      <c r="AN17" s="88" t="s">
        <v>3024</v>
      </c>
      <c r="AO17" s="88" t="s">
        <v>3052</v>
      </c>
    </row>
    <row r="18" spans="1:41" ht="15">
      <c r="A18" s="91" t="s">
        <v>2242</v>
      </c>
      <c r="B18" s="67" t="s">
        <v>2249</v>
      </c>
      <c r="C18" s="67" t="s">
        <v>59</v>
      </c>
      <c r="D18" s="113"/>
      <c r="E18" s="112"/>
      <c r="F18" s="114" t="s">
        <v>3168</v>
      </c>
      <c r="G18" s="115"/>
      <c r="H18" s="115"/>
      <c r="I18" s="116">
        <v>18</v>
      </c>
      <c r="J18" s="117"/>
      <c r="K18" s="48">
        <v>3</v>
      </c>
      <c r="L18" s="48">
        <v>4</v>
      </c>
      <c r="M18" s="48">
        <v>0</v>
      </c>
      <c r="N18" s="48">
        <v>4</v>
      </c>
      <c r="O18" s="48">
        <v>0</v>
      </c>
      <c r="P18" s="49">
        <v>0.3333333333333333</v>
      </c>
      <c r="Q18" s="49">
        <v>0.5</v>
      </c>
      <c r="R18" s="48">
        <v>1</v>
      </c>
      <c r="S18" s="48">
        <v>0</v>
      </c>
      <c r="T18" s="48">
        <v>3</v>
      </c>
      <c r="U18" s="48">
        <v>4</v>
      </c>
      <c r="V18" s="48">
        <v>1</v>
      </c>
      <c r="W18" s="49">
        <v>0.666667</v>
      </c>
      <c r="X18" s="49">
        <v>0.6666666666666666</v>
      </c>
      <c r="Y18" s="48">
        <v>8</v>
      </c>
      <c r="Z18" s="49">
        <v>7.6923076923076925</v>
      </c>
      <c r="AA18" s="48">
        <v>4</v>
      </c>
      <c r="AB18" s="49">
        <v>3.8461538461538463</v>
      </c>
      <c r="AC18" s="48">
        <v>0</v>
      </c>
      <c r="AD18" s="49">
        <v>0</v>
      </c>
      <c r="AE18" s="48">
        <v>92</v>
      </c>
      <c r="AF18" s="49">
        <v>88.46153846153847</v>
      </c>
      <c r="AG18" s="48">
        <v>104</v>
      </c>
      <c r="AH18" s="80" t="s">
        <v>2732</v>
      </c>
      <c r="AI18" s="80" t="s">
        <v>676</v>
      </c>
      <c r="AJ18" s="80" t="s">
        <v>707</v>
      </c>
      <c r="AK18" s="88" t="s">
        <v>2875</v>
      </c>
      <c r="AL18" s="88" t="s">
        <v>2990</v>
      </c>
      <c r="AM18" s="88"/>
      <c r="AN18" s="88" t="s">
        <v>3025</v>
      </c>
      <c r="AO18" s="88" t="s">
        <v>3053</v>
      </c>
    </row>
    <row r="19" spans="1:41" ht="15">
      <c r="A19" s="91" t="s">
        <v>2243</v>
      </c>
      <c r="B19" s="67" t="s">
        <v>2250</v>
      </c>
      <c r="C19" s="67" t="s">
        <v>59</v>
      </c>
      <c r="D19" s="113"/>
      <c r="E19" s="112"/>
      <c r="F19" s="114" t="s">
        <v>3169</v>
      </c>
      <c r="G19" s="115"/>
      <c r="H19" s="115"/>
      <c r="I19" s="116">
        <v>19</v>
      </c>
      <c r="J19" s="117"/>
      <c r="K19" s="48">
        <v>3</v>
      </c>
      <c r="L19" s="48">
        <v>2</v>
      </c>
      <c r="M19" s="48">
        <v>5</v>
      </c>
      <c r="N19" s="48">
        <v>7</v>
      </c>
      <c r="O19" s="48">
        <v>2</v>
      </c>
      <c r="P19" s="49">
        <v>0</v>
      </c>
      <c r="Q19" s="49">
        <v>0</v>
      </c>
      <c r="R19" s="48">
        <v>1</v>
      </c>
      <c r="S19" s="48">
        <v>0</v>
      </c>
      <c r="T19" s="48">
        <v>3</v>
      </c>
      <c r="U19" s="48">
        <v>7</v>
      </c>
      <c r="V19" s="48">
        <v>1</v>
      </c>
      <c r="W19" s="49">
        <v>0.666667</v>
      </c>
      <c r="X19" s="49">
        <v>0.5</v>
      </c>
      <c r="Y19" s="48">
        <v>2</v>
      </c>
      <c r="Z19" s="49">
        <v>1.4492753623188406</v>
      </c>
      <c r="AA19" s="48">
        <v>0</v>
      </c>
      <c r="AB19" s="49">
        <v>0</v>
      </c>
      <c r="AC19" s="48">
        <v>0</v>
      </c>
      <c r="AD19" s="49">
        <v>0</v>
      </c>
      <c r="AE19" s="48">
        <v>136</v>
      </c>
      <c r="AF19" s="49">
        <v>98.55072463768116</v>
      </c>
      <c r="AG19" s="48">
        <v>138</v>
      </c>
      <c r="AH19" s="80" t="s">
        <v>2785</v>
      </c>
      <c r="AI19" s="80" t="s">
        <v>2802</v>
      </c>
      <c r="AJ19" s="80" t="s">
        <v>726</v>
      </c>
      <c r="AK19" s="88" t="s">
        <v>2876</v>
      </c>
      <c r="AL19" s="88" t="s">
        <v>2991</v>
      </c>
      <c r="AM19" s="88"/>
      <c r="AN19" s="88" t="s">
        <v>584</v>
      </c>
      <c r="AO19" s="88" t="s">
        <v>3054</v>
      </c>
    </row>
    <row r="20" spans="1:41" ht="15">
      <c r="A20" s="91" t="s">
        <v>2244</v>
      </c>
      <c r="B20" s="67" t="s">
        <v>2251</v>
      </c>
      <c r="C20" s="67" t="s">
        <v>59</v>
      </c>
      <c r="D20" s="113"/>
      <c r="E20" s="112"/>
      <c r="F20" s="114" t="s">
        <v>3170</v>
      </c>
      <c r="G20" s="115"/>
      <c r="H20" s="115"/>
      <c r="I20" s="116">
        <v>20</v>
      </c>
      <c r="J20" s="117"/>
      <c r="K20" s="48">
        <v>3</v>
      </c>
      <c r="L20" s="48">
        <v>3</v>
      </c>
      <c r="M20" s="48">
        <v>0</v>
      </c>
      <c r="N20" s="48">
        <v>3</v>
      </c>
      <c r="O20" s="48">
        <v>0</v>
      </c>
      <c r="P20" s="49">
        <v>0</v>
      </c>
      <c r="Q20" s="49">
        <v>0</v>
      </c>
      <c r="R20" s="48">
        <v>1</v>
      </c>
      <c r="S20" s="48">
        <v>0</v>
      </c>
      <c r="T20" s="48">
        <v>3</v>
      </c>
      <c r="U20" s="48">
        <v>3</v>
      </c>
      <c r="V20" s="48">
        <v>1</v>
      </c>
      <c r="W20" s="49">
        <v>0.666667</v>
      </c>
      <c r="X20" s="49">
        <v>0.5</v>
      </c>
      <c r="Y20" s="48">
        <v>0</v>
      </c>
      <c r="Z20" s="49">
        <v>0</v>
      </c>
      <c r="AA20" s="48">
        <v>0</v>
      </c>
      <c r="AB20" s="49">
        <v>0</v>
      </c>
      <c r="AC20" s="48">
        <v>0</v>
      </c>
      <c r="AD20" s="49">
        <v>0</v>
      </c>
      <c r="AE20" s="48">
        <v>26</v>
      </c>
      <c r="AF20" s="49">
        <v>100</v>
      </c>
      <c r="AG20" s="48">
        <v>26</v>
      </c>
      <c r="AH20" s="80" t="s">
        <v>2729</v>
      </c>
      <c r="AI20" s="80" t="s">
        <v>680</v>
      </c>
      <c r="AJ20" s="80" t="s">
        <v>709</v>
      </c>
      <c r="AK20" s="88" t="s">
        <v>2877</v>
      </c>
      <c r="AL20" s="88" t="s">
        <v>2992</v>
      </c>
      <c r="AM20" s="88"/>
      <c r="AN20" s="88" t="s">
        <v>533</v>
      </c>
      <c r="AO20" s="88" t="s">
        <v>3055</v>
      </c>
    </row>
    <row r="21" spans="1:41" ht="15">
      <c r="A21" s="91" t="s">
        <v>2245</v>
      </c>
      <c r="B21" s="67" t="s">
        <v>2252</v>
      </c>
      <c r="C21" s="67" t="s">
        <v>59</v>
      </c>
      <c r="D21" s="113"/>
      <c r="E21" s="112"/>
      <c r="F21" s="114" t="s">
        <v>3171</v>
      </c>
      <c r="G21" s="115"/>
      <c r="H21" s="115"/>
      <c r="I21" s="116">
        <v>21</v>
      </c>
      <c r="J21" s="117"/>
      <c r="K21" s="48">
        <v>2</v>
      </c>
      <c r="L21" s="48">
        <v>2</v>
      </c>
      <c r="M21" s="48">
        <v>0</v>
      </c>
      <c r="N21" s="48">
        <v>2</v>
      </c>
      <c r="O21" s="48">
        <v>1</v>
      </c>
      <c r="P21" s="49">
        <v>0</v>
      </c>
      <c r="Q21" s="49">
        <v>0</v>
      </c>
      <c r="R21" s="48">
        <v>1</v>
      </c>
      <c r="S21" s="48">
        <v>0</v>
      </c>
      <c r="T21" s="48">
        <v>2</v>
      </c>
      <c r="U21" s="48">
        <v>2</v>
      </c>
      <c r="V21" s="48">
        <v>1</v>
      </c>
      <c r="W21" s="49">
        <v>0.5</v>
      </c>
      <c r="X21" s="49">
        <v>0.5</v>
      </c>
      <c r="Y21" s="48">
        <v>2</v>
      </c>
      <c r="Z21" s="49">
        <v>4.3478260869565215</v>
      </c>
      <c r="AA21" s="48">
        <v>0</v>
      </c>
      <c r="AB21" s="49">
        <v>0</v>
      </c>
      <c r="AC21" s="48">
        <v>0</v>
      </c>
      <c r="AD21" s="49">
        <v>0</v>
      </c>
      <c r="AE21" s="48">
        <v>44</v>
      </c>
      <c r="AF21" s="49">
        <v>95.65217391304348</v>
      </c>
      <c r="AG21" s="48">
        <v>46</v>
      </c>
      <c r="AH21" s="80" t="s">
        <v>2786</v>
      </c>
      <c r="AI21" s="80" t="s">
        <v>682</v>
      </c>
      <c r="AJ21" s="80" t="s">
        <v>715</v>
      </c>
      <c r="AK21" s="88" t="s">
        <v>2878</v>
      </c>
      <c r="AL21" s="88" t="s">
        <v>2993</v>
      </c>
      <c r="AM21" s="88"/>
      <c r="AN21" s="88"/>
      <c r="AO21" s="88" t="s">
        <v>3056</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2227</v>
      </c>
      <c r="B2" s="88" t="s">
        <v>473</v>
      </c>
      <c r="C2" s="80">
        <f>VLOOKUP(GroupVertices[[#This Row],[Vertex]],Vertices[],MATCH("ID",Vertices[[#Headers],[Vertex]:[Top Word Pairs in Tweet by Salience]],0),FALSE)</f>
        <v>140</v>
      </c>
    </row>
    <row r="3" spans="1:3" ht="15">
      <c r="A3" s="80" t="s">
        <v>2227</v>
      </c>
      <c r="B3" s="88" t="s">
        <v>579</v>
      </c>
      <c r="C3" s="80">
        <f>VLOOKUP(GroupVertices[[#This Row],[Vertex]],Vertices[],MATCH("ID",Vertices[[#Headers],[Vertex]:[Top Word Pairs in Tweet by Salience]],0),FALSE)</f>
        <v>185</v>
      </c>
    </row>
    <row r="4" spans="1:3" ht="15">
      <c r="A4" s="80" t="s">
        <v>2227</v>
      </c>
      <c r="B4" s="88" t="s">
        <v>578</v>
      </c>
      <c r="C4" s="80">
        <f>VLOOKUP(GroupVertices[[#This Row],[Vertex]],Vertices[],MATCH("ID",Vertices[[#Headers],[Vertex]:[Top Word Pairs in Tweet by Salience]],0),FALSE)</f>
        <v>184</v>
      </c>
    </row>
    <row r="5" spans="1:3" ht="15">
      <c r="A5" s="80" t="s">
        <v>2227</v>
      </c>
      <c r="B5" s="88" t="s">
        <v>577</v>
      </c>
      <c r="C5" s="80">
        <f>VLOOKUP(GroupVertices[[#This Row],[Vertex]],Vertices[],MATCH("ID",Vertices[[#Headers],[Vertex]:[Top Word Pairs in Tweet by Salience]],0),FALSE)</f>
        <v>183</v>
      </c>
    </row>
    <row r="6" spans="1:3" ht="15">
      <c r="A6" s="80" t="s">
        <v>2227</v>
      </c>
      <c r="B6" s="88" t="s">
        <v>576</v>
      </c>
      <c r="C6" s="80">
        <f>VLOOKUP(GroupVertices[[#This Row],[Vertex]],Vertices[],MATCH("ID",Vertices[[#Headers],[Vertex]:[Top Word Pairs in Tweet by Salience]],0),FALSE)</f>
        <v>182</v>
      </c>
    </row>
    <row r="7" spans="1:3" ht="15">
      <c r="A7" s="80" t="s">
        <v>2227</v>
      </c>
      <c r="B7" s="88" t="s">
        <v>575</v>
      </c>
      <c r="C7" s="80">
        <f>VLOOKUP(GroupVertices[[#This Row],[Vertex]],Vertices[],MATCH("ID",Vertices[[#Headers],[Vertex]:[Top Word Pairs in Tweet by Salience]],0),FALSE)</f>
        <v>181</v>
      </c>
    </row>
    <row r="8" spans="1:3" ht="15">
      <c r="A8" s="80" t="s">
        <v>2227</v>
      </c>
      <c r="B8" s="88" t="s">
        <v>574</v>
      </c>
      <c r="C8" s="80">
        <f>VLOOKUP(GroupVertices[[#This Row],[Vertex]],Vertices[],MATCH("ID",Vertices[[#Headers],[Vertex]:[Top Word Pairs in Tweet by Salience]],0),FALSE)</f>
        <v>180</v>
      </c>
    </row>
    <row r="9" spans="1:3" ht="15">
      <c r="A9" s="80" t="s">
        <v>2227</v>
      </c>
      <c r="B9" s="88" t="s">
        <v>573</v>
      </c>
      <c r="C9" s="80">
        <f>VLOOKUP(GroupVertices[[#This Row],[Vertex]],Vertices[],MATCH("ID",Vertices[[#Headers],[Vertex]:[Top Word Pairs in Tweet by Salience]],0),FALSE)</f>
        <v>179</v>
      </c>
    </row>
    <row r="10" spans="1:3" ht="15">
      <c r="A10" s="80" t="s">
        <v>2227</v>
      </c>
      <c r="B10" s="88" t="s">
        <v>572</v>
      </c>
      <c r="C10" s="80">
        <f>VLOOKUP(GroupVertices[[#This Row],[Vertex]],Vertices[],MATCH("ID",Vertices[[#Headers],[Vertex]:[Top Word Pairs in Tweet by Salience]],0),FALSE)</f>
        <v>178</v>
      </c>
    </row>
    <row r="11" spans="1:3" ht="15">
      <c r="A11" s="80" t="s">
        <v>2227</v>
      </c>
      <c r="B11" s="88" t="s">
        <v>571</v>
      </c>
      <c r="C11" s="80">
        <f>VLOOKUP(GroupVertices[[#This Row],[Vertex]],Vertices[],MATCH("ID",Vertices[[#Headers],[Vertex]:[Top Word Pairs in Tweet by Salience]],0),FALSE)</f>
        <v>177</v>
      </c>
    </row>
    <row r="12" spans="1:3" ht="15">
      <c r="A12" s="80" t="s">
        <v>2227</v>
      </c>
      <c r="B12" s="88" t="s">
        <v>570</v>
      </c>
      <c r="C12" s="80">
        <f>VLOOKUP(GroupVertices[[#This Row],[Vertex]],Vertices[],MATCH("ID",Vertices[[#Headers],[Vertex]:[Top Word Pairs in Tweet by Salience]],0),FALSE)</f>
        <v>176</v>
      </c>
    </row>
    <row r="13" spans="1:3" ht="15">
      <c r="A13" s="80" t="s">
        <v>2227</v>
      </c>
      <c r="B13" s="88" t="s">
        <v>569</v>
      </c>
      <c r="C13" s="80">
        <f>VLOOKUP(GroupVertices[[#This Row],[Vertex]],Vertices[],MATCH("ID",Vertices[[#Headers],[Vertex]:[Top Word Pairs in Tweet by Salience]],0),FALSE)</f>
        <v>175</v>
      </c>
    </row>
    <row r="14" spans="1:3" ht="15">
      <c r="A14" s="80" t="s">
        <v>2227</v>
      </c>
      <c r="B14" s="88" t="s">
        <v>474</v>
      </c>
      <c r="C14" s="80">
        <f>VLOOKUP(GroupVertices[[#This Row],[Vertex]],Vertices[],MATCH("ID",Vertices[[#Headers],[Vertex]:[Top Word Pairs in Tweet by Salience]],0),FALSE)</f>
        <v>172</v>
      </c>
    </row>
    <row r="15" spans="1:3" ht="15">
      <c r="A15" s="80" t="s">
        <v>2227</v>
      </c>
      <c r="B15" s="88" t="s">
        <v>568</v>
      </c>
      <c r="C15" s="80">
        <f>VLOOKUP(GroupVertices[[#This Row],[Vertex]],Vertices[],MATCH("ID",Vertices[[#Headers],[Vertex]:[Top Word Pairs in Tweet by Salience]],0),FALSE)</f>
        <v>174</v>
      </c>
    </row>
    <row r="16" spans="1:3" ht="15">
      <c r="A16" s="80" t="s">
        <v>2227</v>
      </c>
      <c r="B16" s="88" t="s">
        <v>567</v>
      </c>
      <c r="C16" s="80">
        <f>VLOOKUP(GroupVertices[[#This Row],[Vertex]],Vertices[],MATCH("ID",Vertices[[#Headers],[Vertex]:[Top Word Pairs in Tweet by Salience]],0),FALSE)</f>
        <v>173</v>
      </c>
    </row>
    <row r="17" spans="1:3" ht="15">
      <c r="A17" s="80" t="s">
        <v>2227</v>
      </c>
      <c r="B17" s="88" t="s">
        <v>475</v>
      </c>
      <c r="C17" s="80">
        <f>VLOOKUP(GroupVertices[[#This Row],[Vertex]],Vertices[],MATCH("ID",Vertices[[#Headers],[Vertex]:[Top Word Pairs in Tweet by Salience]],0),FALSE)</f>
        <v>114</v>
      </c>
    </row>
    <row r="18" spans="1:3" ht="15">
      <c r="A18" s="80" t="s">
        <v>2227</v>
      </c>
      <c r="B18" s="88" t="s">
        <v>566</v>
      </c>
      <c r="C18" s="80">
        <f>VLOOKUP(GroupVertices[[#This Row],[Vertex]],Vertices[],MATCH("ID",Vertices[[#Headers],[Vertex]:[Top Word Pairs in Tweet by Salience]],0),FALSE)</f>
        <v>171</v>
      </c>
    </row>
    <row r="19" spans="1:3" ht="15">
      <c r="A19" s="80" t="s">
        <v>2227</v>
      </c>
      <c r="B19" s="88" t="s">
        <v>565</v>
      </c>
      <c r="C19" s="80">
        <f>VLOOKUP(GroupVertices[[#This Row],[Vertex]],Vertices[],MATCH("ID",Vertices[[#Headers],[Vertex]:[Top Word Pairs in Tweet by Salience]],0),FALSE)</f>
        <v>170</v>
      </c>
    </row>
    <row r="20" spans="1:3" ht="15">
      <c r="A20" s="80" t="s">
        <v>2227</v>
      </c>
      <c r="B20" s="88" t="s">
        <v>564</v>
      </c>
      <c r="C20" s="80">
        <f>VLOOKUP(GroupVertices[[#This Row],[Vertex]],Vertices[],MATCH("ID",Vertices[[#Headers],[Vertex]:[Top Word Pairs in Tweet by Salience]],0),FALSE)</f>
        <v>169</v>
      </c>
    </row>
    <row r="21" spans="1:3" ht="15">
      <c r="A21" s="80" t="s">
        <v>2227</v>
      </c>
      <c r="B21" s="88" t="s">
        <v>563</v>
      </c>
      <c r="C21" s="80">
        <f>VLOOKUP(GroupVertices[[#This Row],[Vertex]],Vertices[],MATCH("ID",Vertices[[#Headers],[Vertex]:[Top Word Pairs in Tweet by Salience]],0),FALSE)</f>
        <v>168</v>
      </c>
    </row>
    <row r="22" spans="1:3" ht="15">
      <c r="A22" s="80" t="s">
        <v>2227</v>
      </c>
      <c r="B22" s="88" t="s">
        <v>562</v>
      </c>
      <c r="C22" s="80">
        <f>VLOOKUP(GroupVertices[[#This Row],[Vertex]],Vertices[],MATCH("ID",Vertices[[#Headers],[Vertex]:[Top Word Pairs in Tweet by Salience]],0),FALSE)</f>
        <v>167</v>
      </c>
    </row>
    <row r="23" spans="1:3" ht="15">
      <c r="A23" s="80" t="s">
        <v>2227</v>
      </c>
      <c r="B23" s="88" t="s">
        <v>561</v>
      </c>
      <c r="C23" s="80">
        <f>VLOOKUP(GroupVertices[[#This Row],[Vertex]],Vertices[],MATCH("ID",Vertices[[#Headers],[Vertex]:[Top Word Pairs in Tweet by Salience]],0),FALSE)</f>
        <v>166</v>
      </c>
    </row>
    <row r="24" spans="1:3" ht="15">
      <c r="A24" s="80" t="s">
        <v>2227</v>
      </c>
      <c r="B24" s="88" t="s">
        <v>560</v>
      </c>
      <c r="C24" s="80">
        <f>VLOOKUP(GroupVertices[[#This Row],[Vertex]],Vertices[],MATCH("ID",Vertices[[#Headers],[Vertex]:[Top Word Pairs in Tweet by Salience]],0),FALSE)</f>
        <v>165</v>
      </c>
    </row>
    <row r="25" spans="1:3" ht="15">
      <c r="A25" s="80" t="s">
        <v>2227</v>
      </c>
      <c r="B25" s="88" t="s">
        <v>559</v>
      </c>
      <c r="C25" s="80">
        <f>VLOOKUP(GroupVertices[[#This Row],[Vertex]],Vertices[],MATCH("ID",Vertices[[#Headers],[Vertex]:[Top Word Pairs in Tweet by Salience]],0),FALSE)</f>
        <v>164</v>
      </c>
    </row>
    <row r="26" spans="1:3" ht="15">
      <c r="A26" s="80" t="s">
        <v>2227</v>
      </c>
      <c r="B26" s="88" t="s">
        <v>558</v>
      </c>
      <c r="C26" s="80">
        <f>VLOOKUP(GroupVertices[[#This Row],[Vertex]],Vertices[],MATCH("ID",Vertices[[#Headers],[Vertex]:[Top Word Pairs in Tweet by Salience]],0),FALSE)</f>
        <v>163</v>
      </c>
    </row>
    <row r="27" spans="1:3" ht="15">
      <c r="A27" s="80" t="s">
        <v>2227</v>
      </c>
      <c r="B27" s="88" t="s">
        <v>557</v>
      </c>
      <c r="C27" s="80">
        <f>VLOOKUP(GroupVertices[[#This Row],[Vertex]],Vertices[],MATCH("ID",Vertices[[#Headers],[Vertex]:[Top Word Pairs in Tweet by Salience]],0),FALSE)</f>
        <v>162</v>
      </c>
    </row>
    <row r="28" spans="1:3" ht="15">
      <c r="A28" s="80" t="s">
        <v>2227</v>
      </c>
      <c r="B28" s="88" t="s">
        <v>556</v>
      </c>
      <c r="C28" s="80">
        <f>VLOOKUP(GroupVertices[[#This Row],[Vertex]],Vertices[],MATCH("ID",Vertices[[#Headers],[Vertex]:[Top Word Pairs in Tweet by Salience]],0),FALSE)</f>
        <v>161</v>
      </c>
    </row>
    <row r="29" spans="1:3" ht="15">
      <c r="A29" s="80" t="s">
        <v>2227</v>
      </c>
      <c r="B29" s="88" t="s">
        <v>555</v>
      </c>
      <c r="C29" s="80">
        <f>VLOOKUP(GroupVertices[[#This Row],[Vertex]],Vertices[],MATCH("ID",Vertices[[#Headers],[Vertex]:[Top Word Pairs in Tweet by Salience]],0),FALSE)</f>
        <v>160</v>
      </c>
    </row>
    <row r="30" spans="1:3" ht="15">
      <c r="A30" s="80" t="s">
        <v>2227</v>
      </c>
      <c r="B30" s="88" t="s">
        <v>554</v>
      </c>
      <c r="C30" s="80">
        <f>VLOOKUP(GroupVertices[[#This Row],[Vertex]],Vertices[],MATCH("ID",Vertices[[#Headers],[Vertex]:[Top Word Pairs in Tweet by Salience]],0),FALSE)</f>
        <v>159</v>
      </c>
    </row>
    <row r="31" spans="1:3" ht="15">
      <c r="A31" s="80" t="s">
        <v>2227</v>
      </c>
      <c r="B31" s="88" t="s">
        <v>553</v>
      </c>
      <c r="C31" s="80">
        <f>VLOOKUP(GroupVertices[[#This Row],[Vertex]],Vertices[],MATCH("ID",Vertices[[#Headers],[Vertex]:[Top Word Pairs in Tweet by Salience]],0),FALSE)</f>
        <v>158</v>
      </c>
    </row>
    <row r="32" spans="1:3" ht="15">
      <c r="A32" s="80" t="s">
        <v>2227</v>
      </c>
      <c r="B32" s="88" t="s">
        <v>552</v>
      </c>
      <c r="C32" s="80">
        <f>VLOOKUP(GroupVertices[[#This Row],[Vertex]],Vertices[],MATCH("ID",Vertices[[#Headers],[Vertex]:[Top Word Pairs in Tweet by Salience]],0),FALSE)</f>
        <v>157</v>
      </c>
    </row>
    <row r="33" spans="1:3" ht="15">
      <c r="A33" s="80" t="s">
        <v>2227</v>
      </c>
      <c r="B33" s="88" t="s">
        <v>551</v>
      </c>
      <c r="C33" s="80">
        <f>VLOOKUP(GroupVertices[[#This Row],[Vertex]],Vertices[],MATCH("ID",Vertices[[#Headers],[Vertex]:[Top Word Pairs in Tweet by Salience]],0),FALSE)</f>
        <v>156</v>
      </c>
    </row>
    <row r="34" spans="1:3" ht="15">
      <c r="A34" s="80" t="s">
        <v>2227</v>
      </c>
      <c r="B34" s="88" t="s">
        <v>550</v>
      </c>
      <c r="C34" s="80">
        <f>VLOOKUP(GroupVertices[[#This Row],[Vertex]],Vertices[],MATCH("ID",Vertices[[#Headers],[Vertex]:[Top Word Pairs in Tweet by Salience]],0),FALSE)</f>
        <v>155</v>
      </c>
    </row>
    <row r="35" spans="1:3" ht="15">
      <c r="A35" s="80" t="s">
        <v>2227</v>
      </c>
      <c r="B35" s="88" t="s">
        <v>549</v>
      </c>
      <c r="C35" s="80">
        <f>VLOOKUP(GroupVertices[[#This Row],[Vertex]],Vertices[],MATCH("ID",Vertices[[#Headers],[Vertex]:[Top Word Pairs in Tweet by Salience]],0),FALSE)</f>
        <v>154</v>
      </c>
    </row>
    <row r="36" spans="1:3" ht="15">
      <c r="A36" s="80" t="s">
        <v>2227</v>
      </c>
      <c r="B36" s="88" t="s">
        <v>548</v>
      </c>
      <c r="C36" s="80">
        <f>VLOOKUP(GroupVertices[[#This Row],[Vertex]],Vertices[],MATCH("ID",Vertices[[#Headers],[Vertex]:[Top Word Pairs in Tweet by Salience]],0),FALSE)</f>
        <v>153</v>
      </c>
    </row>
    <row r="37" spans="1:3" ht="15">
      <c r="A37" s="80" t="s">
        <v>2227</v>
      </c>
      <c r="B37" s="88" t="s">
        <v>547</v>
      </c>
      <c r="C37" s="80">
        <f>VLOOKUP(GroupVertices[[#This Row],[Vertex]],Vertices[],MATCH("ID",Vertices[[#Headers],[Vertex]:[Top Word Pairs in Tweet by Salience]],0),FALSE)</f>
        <v>152</v>
      </c>
    </row>
    <row r="38" spans="1:3" ht="15">
      <c r="A38" s="80" t="s">
        <v>2227</v>
      </c>
      <c r="B38" s="88" t="s">
        <v>546</v>
      </c>
      <c r="C38" s="80">
        <f>VLOOKUP(GroupVertices[[#This Row],[Vertex]],Vertices[],MATCH("ID",Vertices[[#Headers],[Vertex]:[Top Word Pairs in Tweet by Salience]],0),FALSE)</f>
        <v>151</v>
      </c>
    </row>
    <row r="39" spans="1:3" ht="15">
      <c r="A39" s="80" t="s">
        <v>2227</v>
      </c>
      <c r="B39" s="88" t="s">
        <v>545</v>
      </c>
      <c r="C39" s="80">
        <f>VLOOKUP(GroupVertices[[#This Row],[Vertex]],Vertices[],MATCH("ID",Vertices[[#Headers],[Vertex]:[Top Word Pairs in Tweet by Salience]],0),FALSE)</f>
        <v>150</v>
      </c>
    </row>
    <row r="40" spans="1:3" ht="15">
      <c r="A40" s="80" t="s">
        <v>2227</v>
      </c>
      <c r="B40" s="88" t="s">
        <v>544</v>
      </c>
      <c r="C40" s="80">
        <f>VLOOKUP(GroupVertices[[#This Row],[Vertex]],Vertices[],MATCH("ID",Vertices[[#Headers],[Vertex]:[Top Word Pairs in Tweet by Salience]],0),FALSE)</f>
        <v>149</v>
      </c>
    </row>
    <row r="41" spans="1:3" ht="15">
      <c r="A41" s="80" t="s">
        <v>2227</v>
      </c>
      <c r="B41" s="88" t="s">
        <v>543</v>
      </c>
      <c r="C41" s="80">
        <f>VLOOKUP(GroupVertices[[#This Row],[Vertex]],Vertices[],MATCH("ID",Vertices[[#Headers],[Vertex]:[Top Word Pairs in Tweet by Salience]],0),FALSE)</f>
        <v>148</v>
      </c>
    </row>
    <row r="42" spans="1:3" ht="15">
      <c r="A42" s="80" t="s">
        <v>2227</v>
      </c>
      <c r="B42" s="88" t="s">
        <v>542</v>
      </c>
      <c r="C42" s="80">
        <f>VLOOKUP(GroupVertices[[#This Row],[Vertex]],Vertices[],MATCH("ID",Vertices[[#Headers],[Vertex]:[Top Word Pairs in Tweet by Salience]],0),FALSE)</f>
        <v>147</v>
      </c>
    </row>
    <row r="43" spans="1:3" ht="15">
      <c r="A43" s="80" t="s">
        <v>2227</v>
      </c>
      <c r="B43" s="88" t="s">
        <v>541</v>
      </c>
      <c r="C43" s="80">
        <f>VLOOKUP(GroupVertices[[#This Row],[Vertex]],Vertices[],MATCH("ID",Vertices[[#Headers],[Vertex]:[Top Word Pairs in Tweet by Salience]],0),FALSE)</f>
        <v>146</v>
      </c>
    </row>
    <row r="44" spans="1:3" ht="15">
      <c r="A44" s="80" t="s">
        <v>2227</v>
      </c>
      <c r="B44" s="88" t="s">
        <v>540</v>
      </c>
      <c r="C44" s="80">
        <f>VLOOKUP(GroupVertices[[#This Row],[Vertex]],Vertices[],MATCH("ID",Vertices[[#Headers],[Vertex]:[Top Word Pairs in Tweet by Salience]],0),FALSE)</f>
        <v>145</v>
      </c>
    </row>
    <row r="45" spans="1:3" ht="15">
      <c r="A45" s="80" t="s">
        <v>2227</v>
      </c>
      <c r="B45" s="88" t="s">
        <v>539</v>
      </c>
      <c r="C45" s="80">
        <f>VLOOKUP(GroupVertices[[#This Row],[Vertex]],Vertices[],MATCH("ID",Vertices[[#Headers],[Vertex]:[Top Word Pairs in Tweet by Salience]],0),FALSE)</f>
        <v>144</v>
      </c>
    </row>
    <row r="46" spans="1:3" ht="15">
      <c r="A46" s="80" t="s">
        <v>2227</v>
      </c>
      <c r="B46" s="88" t="s">
        <v>538</v>
      </c>
      <c r="C46" s="80">
        <f>VLOOKUP(GroupVertices[[#This Row],[Vertex]],Vertices[],MATCH("ID",Vertices[[#Headers],[Vertex]:[Top Word Pairs in Tweet by Salience]],0),FALSE)</f>
        <v>143</v>
      </c>
    </row>
    <row r="47" spans="1:3" ht="15">
      <c r="A47" s="80" t="s">
        <v>2227</v>
      </c>
      <c r="B47" s="88" t="s">
        <v>537</v>
      </c>
      <c r="C47" s="80">
        <f>VLOOKUP(GroupVertices[[#This Row],[Vertex]],Vertices[],MATCH("ID",Vertices[[#Headers],[Vertex]:[Top Word Pairs in Tweet by Salience]],0),FALSE)</f>
        <v>142</v>
      </c>
    </row>
    <row r="48" spans="1:3" ht="15">
      <c r="A48" s="80" t="s">
        <v>2227</v>
      </c>
      <c r="B48" s="88" t="s">
        <v>536</v>
      </c>
      <c r="C48" s="80">
        <f>VLOOKUP(GroupVertices[[#This Row],[Vertex]],Vertices[],MATCH("ID",Vertices[[#Headers],[Vertex]:[Top Word Pairs in Tweet by Salience]],0),FALSE)</f>
        <v>141</v>
      </c>
    </row>
    <row r="49" spans="1:3" ht="15">
      <c r="A49" s="80" t="s">
        <v>2227</v>
      </c>
      <c r="B49" s="88" t="s">
        <v>448</v>
      </c>
      <c r="C49" s="80">
        <f>VLOOKUP(GroupVertices[[#This Row],[Vertex]],Vertices[],MATCH("ID",Vertices[[#Headers],[Vertex]:[Top Word Pairs in Tweet by Salience]],0),FALSE)</f>
        <v>113</v>
      </c>
    </row>
    <row r="50" spans="1:3" ht="15">
      <c r="A50" s="80" t="s">
        <v>2228</v>
      </c>
      <c r="B50" s="88" t="s">
        <v>461</v>
      </c>
      <c r="C50" s="80">
        <f>VLOOKUP(GroupVertices[[#This Row],[Vertex]],Vertices[],MATCH("ID",Vertices[[#Headers],[Vertex]:[Top Word Pairs in Tweet by Salience]],0),FALSE)</f>
        <v>127</v>
      </c>
    </row>
    <row r="51" spans="1:3" ht="15">
      <c r="A51" s="80" t="s">
        <v>2228</v>
      </c>
      <c r="B51" s="88" t="s">
        <v>514</v>
      </c>
      <c r="C51" s="80">
        <f>VLOOKUP(GroupVertices[[#This Row],[Vertex]],Vertices[],MATCH("ID",Vertices[[#Headers],[Vertex]:[Top Word Pairs in Tweet by Salience]],0),FALSE)</f>
        <v>27</v>
      </c>
    </row>
    <row r="52" spans="1:3" ht="15">
      <c r="A52" s="80" t="s">
        <v>2228</v>
      </c>
      <c r="B52" s="88" t="s">
        <v>513</v>
      </c>
      <c r="C52" s="80">
        <f>VLOOKUP(GroupVertices[[#This Row],[Vertex]],Vertices[],MATCH("ID",Vertices[[#Headers],[Vertex]:[Top Word Pairs in Tweet by Salience]],0),FALSE)</f>
        <v>26</v>
      </c>
    </row>
    <row r="53" spans="1:3" ht="15">
      <c r="A53" s="80" t="s">
        <v>2228</v>
      </c>
      <c r="B53" s="88" t="s">
        <v>460</v>
      </c>
      <c r="C53" s="80">
        <f>VLOOKUP(GroupVertices[[#This Row],[Vertex]],Vertices[],MATCH("ID",Vertices[[#Headers],[Vertex]:[Top Word Pairs in Tweet by Salience]],0),FALSE)</f>
        <v>126</v>
      </c>
    </row>
    <row r="54" spans="1:3" ht="15">
      <c r="A54" s="80" t="s">
        <v>2228</v>
      </c>
      <c r="B54" s="88" t="s">
        <v>457</v>
      </c>
      <c r="C54" s="80">
        <f>VLOOKUP(GroupVertices[[#This Row],[Vertex]],Vertices[],MATCH("ID",Vertices[[#Headers],[Vertex]:[Top Word Pairs in Tweet by Salience]],0),FALSE)</f>
        <v>123</v>
      </c>
    </row>
    <row r="55" spans="1:3" ht="15">
      <c r="A55" s="80" t="s">
        <v>2228</v>
      </c>
      <c r="B55" s="88" t="s">
        <v>454</v>
      </c>
      <c r="C55" s="80">
        <f>VLOOKUP(GroupVertices[[#This Row],[Vertex]],Vertices[],MATCH("ID",Vertices[[#Headers],[Vertex]:[Top Word Pairs in Tweet by Salience]],0),FALSE)</f>
        <v>120</v>
      </c>
    </row>
    <row r="56" spans="1:3" ht="15">
      <c r="A56" s="80" t="s">
        <v>2228</v>
      </c>
      <c r="B56" s="88" t="s">
        <v>450</v>
      </c>
      <c r="C56" s="80">
        <f>VLOOKUP(GroupVertices[[#This Row],[Vertex]],Vertices[],MATCH("ID",Vertices[[#Headers],[Vertex]:[Top Word Pairs in Tweet by Salience]],0),FALSE)</f>
        <v>116</v>
      </c>
    </row>
    <row r="57" spans="1:3" ht="15">
      <c r="A57" s="80" t="s">
        <v>2228</v>
      </c>
      <c r="B57" s="88" t="s">
        <v>449</v>
      </c>
      <c r="C57" s="80">
        <f>VLOOKUP(GroupVertices[[#This Row],[Vertex]],Vertices[],MATCH("ID",Vertices[[#Headers],[Vertex]:[Top Word Pairs in Tweet by Salience]],0),FALSE)</f>
        <v>115</v>
      </c>
    </row>
    <row r="58" spans="1:3" ht="15">
      <c r="A58" s="80" t="s">
        <v>2228</v>
      </c>
      <c r="B58" s="88" t="s">
        <v>445</v>
      </c>
      <c r="C58" s="80">
        <f>VLOOKUP(GroupVertices[[#This Row],[Vertex]],Vertices[],MATCH("ID",Vertices[[#Headers],[Vertex]:[Top Word Pairs in Tweet by Salience]],0),FALSE)</f>
        <v>110</v>
      </c>
    </row>
    <row r="59" spans="1:3" ht="15">
      <c r="A59" s="80" t="s">
        <v>2228</v>
      </c>
      <c r="B59" s="88" t="s">
        <v>443</v>
      </c>
      <c r="C59" s="80">
        <f>VLOOKUP(GroupVertices[[#This Row],[Vertex]],Vertices[],MATCH("ID",Vertices[[#Headers],[Vertex]:[Top Word Pairs in Tweet by Salience]],0),FALSE)</f>
        <v>108</v>
      </c>
    </row>
    <row r="60" spans="1:3" ht="15">
      <c r="A60" s="80" t="s">
        <v>2228</v>
      </c>
      <c r="B60" s="88" t="s">
        <v>442</v>
      </c>
      <c r="C60" s="80">
        <f>VLOOKUP(GroupVertices[[#This Row],[Vertex]],Vertices[],MATCH("ID",Vertices[[#Headers],[Vertex]:[Top Word Pairs in Tweet by Salience]],0),FALSE)</f>
        <v>107</v>
      </c>
    </row>
    <row r="61" spans="1:3" ht="15">
      <c r="A61" s="80" t="s">
        <v>2228</v>
      </c>
      <c r="B61" s="88" t="s">
        <v>441</v>
      </c>
      <c r="C61" s="80">
        <f>VLOOKUP(GroupVertices[[#This Row],[Vertex]],Vertices[],MATCH("ID",Vertices[[#Headers],[Vertex]:[Top Word Pairs in Tweet by Salience]],0),FALSE)</f>
        <v>106</v>
      </c>
    </row>
    <row r="62" spans="1:3" ht="15">
      <c r="A62" s="80" t="s">
        <v>2228</v>
      </c>
      <c r="B62" s="88" t="s">
        <v>440</v>
      </c>
      <c r="C62" s="80">
        <f>VLOOKUP(GroupVertices[[#This Row],[Vertex]],Vertices[],MATCH("ID",Vertices[[#Headers],[Vertex]:[Top Word Pairs in Tweet by Salience]],0),FALSE)</f>
        <v>105</v>
      </c>
    </row>
    <row r="63" spans="1:3" ht="15">
      <c r="A63" s="80" t="s">
        <v>2228</v>
      </c>
      <c r="B63" s="88" t="s">
        <v>439</v>
      </c>
      <c r="C63" s="80">
        <f>VLOOKUP(GroupVertices[[#This Row],[Vertex]],Vertices[],MATCH("ID",Vertices[[#Headers],[Vertex]:[Top Word Pairs in Tweet by Salience]],0),FALSE)</f>
        <v>104</v>
      </c>
    </row>
    <row r="64" spans="1:3" ht="15">
      <c r="A64" s="80" t="s">
        <v>2228</v>
      </c>
      <c r="B64" s="88" t="s">
        <v>438</v>
      </c>
      <c r="C64" s="80">
        <f>VLOOKUP(GroupVertices[[#This Row],[Vertex]],Vertices[],MATCH("ID",Vertices[[#Headers],[Vertex]:[Top Word Pairs in Tweet by Salience]],0),FALSE)</f>
        <v>103</v>
      </c>
    </row>
    <row r="65" spans="1:3" ht="15">
      <c r="A65" s="80" t="s">
        <v>2228</v>
      </c>
      <c r="B65" s="88" t="s">
        <v>436</v>
      </c>
      <c r="C65" s="80">
        <f>VLOOKUP(GroupVertices[[#This Row],[Vertex]],Vertices[],MATCH("ID",Vertices[[#Headers],[Vertex]:[Top Word Pairs in Tweet by Salience]],0),FALSE)</f>
        <v>100</v>
      </c>
    </row>
    <row r="66" spans="1:3" ht="15">
      <c r="A66" s="80" t="s">
        <v>2228</v>
      </c>
      <c r="B66" s="88" t="s">
        <v>434</v>
      </c>
      <c r="C66" s="80">
        <f>VLOOKUP(GroupVertices[[#This Row],[Vertex]],Vertices[],MATCH("ID",Vertices[[#Headers],[Vertex]:[Top Word Pairs in Tweet by Salience]],0),FALSE)</f>
        <v>96</v>
      </c>
    </row>
    <row r="67" spans="1:3" ht="15">
      <c r="A67" s="80" t="s">
        <v>2228</v>
      </c>
      <c r="B67" s="88" t="s">
        <v>433</v>
      </c>
      <c r="C67" s="80">
        <f>VLOOKUP(GroupVertices[[#This Row],[Vertex]],Vertices[],MATCH("ID",Vertices[[#Headers],[Vertex]:[Top Word Pairs in Tweet by Salience]],0),FALSE)</f>
        <v>95</v>
      </c>
    </row>
    <row r="68" spans="1:3" ht="15">
      <c r="A68" s="80" t="s">
        <v>2228</v>
      </c>
      <c r="B68" s="88" t="s">
        <v>432</v>
      </c>
      <c r="C68" s="80">
        <f>VLOOKUP(GroupVertices[[#This Row],[Vertex]],Vertices[],MATCH("ID",Vertices[[#Headers],[Vertex]:[Top Word Pairs in Tweet by Salience]],0),FALSE)</f>
        <v>94</v>
      </c>
    </row>
    <row r="69" spans="1:3" ht="15">
      <c r="A69" s="80" t="s">
        <v>2228</v>
      </c>
      <c r="B69" s="88" t="s">
        <v>431</v>
      </c>
      <c r="C69" s="80">
        <f>VLOOKUP(GroupVertices[[#This Row],[Vertex]],Vertices[],MATCH("ID",Vertices[[#Headers],[Vertex]:[Top Word Pairs in Tweet by Salience]],0),FALSE)</f>
        <v>93</v>
      </c>
    </row>
    <row r="70" spans="1:3" ht="15">
      <c r="A70" s="80" t="s">
        <v>2228</v>
      </c>
      <c r="B70" s="88" t="s">
        <v>430</v>
      </c>
      <c r="C70" s="80">
        <f>VLOOKUP(GroupVertices[[#This Row],[Vertex]],Vertices[],MATCH("ID",Vertices[[#Headers],[Vertex]:[Top Word Pairs in Tweet by Salience]],0),FALSE)</f>
        <v>92</v>
      </c>
    </row>
    <row r="71" spans="1:3" ht="15">
      <c r="A71" s="80" t="s">
        <v>2228</v>
      </c>
      <c r="B71" s="88" t="s">
        <v>429</v>
      </c>
      <c r="C71" s="80">
        <f>VLOOKUP(GroupVertices[[#This Row],[Vertex]],Vertices[],MATCH("ID",Vertices[[#Headers],[Vertex]:[Top Word Pairs in Tweet by Salience]],0),FALSE)</f>
        <v>91</v>
      </c>
    </row>
    <row r="72" spans="1:3" ht="15">
      <c r="A72" s="80" t="s">
        <v>2228</v>
      </c>
      <c r="B72" s="88" t="s">
        <v>428</v>
      </c>
      <c r="C72" s="80">
        <f>VLOOKUP(GroupVertices[[#This Row],[Vertex]],Vertices[],MATCH("ID",Vertices[[#Headers],[Vertex]:[Top Word Pairs in Tweet by Salience]],0),FALSE)</f>
        <v>90</v>
      </c>
    </row>
    <row r="73" spans="1:3" ht="15">
      <c r="A73" s="80" t="s">
        <v>2228</v>
      </c>
      <c r="B73" s="88" t="s">
        <v>427</v>
      </c>
      <c r="C73" s="80">
        <f>VLOOKUP(GroupVertices[[#This Row],[Vertex]],Vertices[],MATCH("ID",Vertices[[#Headers],[Vertex]:[Top Word Pairs in Tweet by Salience]],0),FALSE)</f>
        <v>89</v>
      </c>
    </row>
    <row r="74" spans="1:3" ht="15">
      <c r="A74" s="80" t="s">
        <v>2228</v>
      </c>
      <c r="B74" s="88" t="s">
        <v>426</v>
      </c>
      <c r="C74" s="80">
        <f>VLOOKUP(GroupVertices[[#This Row],[Vertex]],Vertices[],MATCH("ID",Vertices[[#Headers],[Vertex]:[Top Word Pairs in Tweet by Salience]],0),FALSE)</f>
        <v>88</v>
      </c>
    </row>
    <row r="75" spans="1:3" ht="15">
      <c r="A75" s="80" t="s">
        <v>2228</v>
      </c>
      <c r="B75" s="88" t="s">
        <v>412</v>
      </c>
      <c r="C75" s="80">
        <f>VLOOKUP(GroupVertices[[#This Row],[Vertex]],Vertices[],MATCH("ID",Vertices[[#Headers],[Vertex]:[Top Word Pairs in Tweet by Salience]],0),FALSE)</f>
        <v>75</v>
      </c>
    </row>
    <row r="76" spans="1:3" ht="15">
      <c r="A76" s="80" t="s">
        <v>2228</v>
      </c>
      <c r="B76" s="88" t="s">
        <v>411</v>
      </c>
      <c r="C76" s="80">
        <f>VLOOKUP(GroupVertices[[#This Row],[Vertex]],Vertices[],MATCH("ID",Vertices[[#Headers],[Vertex]:[Top Word Pairs in Tweet by Salience]],0),FALSE)</f>
        <v>74</v>
      </c>
    </row>
    <row r="77" spans="1:3" ht="15">
      <c r="A77" s="80" t="s">
        <v>2228</v>
      </c>
      <c r="B77" s="88" t="s">
        <v>396</v>
      </c>
      <c r="C77" s="80">
        <f>VLOOKUP(GroupVertices[[#This Row],[Vertex]],Vertices[],MATCH("ID",Vertices[[#Headers],[Vertex]:[Top Word Pairs in Tweet by Salience]],0),FALSE)</f>
        <v>48</v>
      </c>
    </row>
    <row r="78" spans="1:3" ht="15">
      <c r="A78" s="80" t="s">
        <v>2228</v>
      </c>
      <c r="B78" s="88" t="s">
        <v>395</v>
      </c>
      <c r="C78" s="80">
        <f>VLOOKUP(GroupVertices[[#This Row],[Vertex]],Vertices[],MATCH("ID",Vertices[[#Headers],[Vertex]:[Top Word Pairs in Tweet by Salience]],0),FALSE)</f>
        <v>47</v>
      </c>
    </row>
    <row r="79" spans="1:3" ht="15">
      <c r="A79" s="80" t="s">
        <v>2228</v>
      </c>
      <c r="B79" s="88" t="s">
        <v>391</v>
      </c>
      <c r="C79" s="80">
        <f>VLOOKUP(GroupVertices[[#This Row],[Vertex]],Vertices[],MATCH("ID",Vertices[[#Headers],[Vertex]:[Top Word Pairs in Tweet by Salience]],0),FALSE)</f>
        <v>44</v>
      </c>
    </row>
    <row r="80" spans="1:3" ht="15">
      <c r="A80" s="80" t="s">
        <v>2228</v>
      </c>
      <c r="B80" s="88" t="s">
        <v>389</v>
      </c>
      <c r="C80" s="80">
        <f>VLOOKUP(GroupVertices[[#This Row],[Vertex]],Vertices[],MATCH("ID",Vertices[[#Headers],[Vertex]:[Top Word Pairs in Tweet by Salience]],0),FALSE)</f>
        <v>40</v>
      </c>
    </row>
    <row r="81" spans="1:3" ht="15">
      <c r="A81" s="80" t="s">
        <v>2228</v>
      </c>
      <c r="B81" s="88" t="s">
        <v>386</v>
      </c>
      <c r="C81" s="80">
        <f>VLOOKUP(GroupVertices[[#This Row],[Vertex]],Vertices[],MATCH("ID",Vertices[[#Headers],[Vertex]:[Top Word Pairs in Tweet by Salience]],0),FALSE)</f>
        <v>35</v>
      </c>
    </row>
    <row r="82" spans="1:3" ht="15">
      <c r="A82" s="80" t="s">
        <v>2228</v>
      </c>
      <c r="B82" s="88" t="s">
        <v>385</v>
      </c>
      <c r="C82" s="80">
        <f>VLOOKUP(GroupVertices[[#This Row],[Vertex]],Vertices[],MATCH("ID",Vertices[[#Headers],[Vertex]:[Top Word Pairs in Tweet by Salience]],0),FALSE)</f>
        <v>34</v>
      </c>
    </row>
    <row r="83" spans="1:3" ht="15">
      <c r="A83" s="80" t="s">
        <v>2228</v>
      </c>
      <c r="B83" s="88" t="s">
        <v>384</v>
      </c>
      <c r="C83" s="80">
        <f>VLOOKUP(GroupVertices[[#This Row],[Vertex]],Vertices[],MATCH("ID",Vertices[[#Headers],[Vertex]:[Top Word Pairs in Tweet by Salience]],0),FALSE)</f>
        <v>33</v>
      </c>
    </row>
    <row r="84" spans="1:3" ht="15">
      <c r="A84" s="80" t="s">
        <v>2228</v>
      </c>
      <c r="B84" s="88" t="s">
        <v>383</v>
      </c>
      <c r="C84" s="80">
        <f>VLOOKUP(GroupVertices[[#This Row],[Vertex]],Vertices[],MATCH("ID",Vertices[[#Headers],[Vertex]:[Top Word Pairs in Tweet by Salience]],0),FALSE)</f>
        <v>32</v>
      </c>
    </row>
    <row r="85" spans="1:3" ht="15">
      <c r="A85" s="80" t="s">
        <v>2228</v>
      </c>
      <c r="B85" s="88" t="s">
        <v>382</v>
      </c>
      <c r="C85" s="80">
        <f>VLOOKUP(GroupVertices[[#This Row],[Vertex]],Vertices[],MATCH("ID",Vertices[[#Headers],[Vertex]:[Top Word Pairs in Tweet by Salience]],0),FALSE)</f>
        <v>31</v>
      </c>
    </row>
    <row r="86" spans="1:3" ht="15">
      <c r="A86" s="80" t="s">
        <v>2228</v>
      </c>
      <c r="B86" s="88" t="s">
        <v>381</v>
      </c>
      <c r="C86" s="80">
        <f>VLOOKUP(GroupVertices[[#This Row],[Vertex]],Vertices[],MATCH("ID",Vertices[[#Headers],[Vertex]:[Top Word Pairs in Tweet by Salience]],0),FALSE)</f>
        <v>30</v>
      </c>
    </row>
    <row r="87" spans="1:3" ht="15">
      <c r="A87" s="80" t="s">
        <v>2228</v>
      </c>
      <c r="B87" s="88" t="s">
        <v>380</v>
      </c>
      <c r="C87" s="80">
        <f>VLOOKUP(GroupVertices[[#This Row],[Vertex]],Vertices[],MATCH("ID",Vertices[[#Headers],[Vertex]:[Top Word Pairs in Tweet by Salience]],0),FALSE)</f>
        <v>29</v>
      </c>
    </row>
    <row r="88" spans="1:3" ht="15">
      <c r="A88" s="80" t="s">
        <v>2228</v>
      </c>
      <c r="B88" s="88" t="s">
        <v>379</v>
      </c>
      <c r="C88" s="80">
        <f>VLOOKUP(GroupVertices[[#This Row],[Vertex]],Vertices[],MATCH("ID",Vertices[[#Headers],[Vertex]:[Top Word Pairs in Tweet by Salience]],0),FALSE)</f>
        <v>28</v>
      </c>
    </row>
    <row r="89" spans="1:3" ht="15">
      <c r="A89" s="80" t="s">
        <v>2228</v>
      </c>
      <c r="B89" s="88" t="s">
        <v>378</v>
      </c>
      <c r="C89" s="80">
        <f>VLOOKUP(GroupVertices[[#This Row],[Vertex]],Vertices[],MATCH("ID",Vertices[[#Headers],[Vertex]:[Top Word Pairs in Tweet by Salience]],0),FALSE)</f>
        <v>25</v>
      </c>
    </row>
    <row r="90" spans="1:3" ht="15">
      <c r="A90" s="80" t="s">
        <v>2229</v>
      </c>
      <c r="B90" s="88" t="s">
        <v>510</v>
      </c>
      <c r="C90" s="80">
        <f>VLOOKUP(GroupVertices[[#This Row],[Vertex]],Vertices[],MATCH("ID",Vertices[[#Headers],[Vertex]:[Top Word Pairs in Tweet by Salience]],0),FALSE)</f>
        <v>222</v>
      </c>
    </row>
    <row r="91" spans="1:3" ht="15">
      <c r="A91" s="80" t="s">
        <v>2229</v>
      </c>
      <c r="B91" s="88" t="s">
        <v>509</v>
      </c>
      <c r="C91" s="80">
        <f>VLOOKUP(GroupVertices[[#This Row],[Vertex]],Vertices[],MATCH("ID",Vertices[[#Headers],[Vertex]:[Top Word Pairs in Tweet by Salience]],0),FALSE)</f>
        <v>102</v>
      </c>
    </row>
    <row r="92" spans="1:3" ht="15">
      <c r="A92" s="80" t="s">
        <v>2229</v>
      </c>
      <c r="B92" s="88" t="s">
        <v>527</v>
      </c>
      <c r="C92" s="80">
        <f>VLOOKUP(GroupVertices[[#This Row],[Vertex]],Vertices[],MATCH("ID",Vertices[[#Headers],[Vertex]:[Top Word Pairs in Tweet by Salience]],0),FALSE)</f>
        <v>52</v>
      </c>
    </row>
    <row r="93" spans="1:3" ht="15">
      <c r="A93" s="80" t="s">
        <v>2229</v>
      </c>
      <c r="B93" s="88" t="s">
        <v>526</v>
      </c>
      <c r="C93" s="80">
        <f>VLOOKUP(GroupVertices[[#This Row],[Vertex]],Vertices[],MATCH("ID",Vertices[[#Headers],[Vertex]:[Top Word Pairs in Tweet by Salience]],0),FALSE)</f>
        <v>51</v>
      </c>
    </row>
    <row r="94" spans="1:3" ht="15">
      <c r="A94" s="80" t="s">
        <v>2229</v>
      </c>
      <c r="B94" s="88" t="s">
        <v>506</v>
      </c>
      <c r="C94" s="80">
        <f>VLOOKUP(GroupVertices[[#This Row],[Vertex]],Vertices[],MATCH("ID",Vertices[[#Headers],[Vertex]:[Top Word Pairs in Tweet by Salience]],0),FALSE)</f>
        <v>218</v>
      </c>
    </row>
    <row r="95" spans="1:3" ht="15">
      <c r="A95" s="80" t="s">
        <v>2229</v>
      </c>
      <c r="B95" s="88" t="s">
        <v>501</v>
      </c>
      <c r="C95" s="80">
        <f>VLOOKUP(GroupVertices[[#This Row],[Vertex]],Vertices[],MATCH("ID",Vertices[[#Headers],[Vertex]:[Top Word Pairs in Tweet by Salience]],0),FALSE)</f>
        <v>212</v>
      </c>
    </row>
    <row r="96" spans="1:3" ht="15">
      <c r="A96" s="80" t="s">
        <v>2229</v>
      </c>
      <c r="B96" s="88" t="s">
        <v>499</v>
      </c>
      <c r="C96" s="80">
        <f>VLOOKUP(GroupVertices[[#This Row],[Vertex]],Vertices[],MATCH("ID",Vertices[[#Headers],[Vertex]:[Top Word Pairs in Tweet by Salience]],0),FALSE)</f>
        <v>210</v>
      </c>
    </row>
    <row r="97" spans="1:3" ht="15">
      <c r="A97" s="80" t="s">
        <v>2229</v>
      </c>
      <c r="B97" s="88" t="s">
        <v>493</v>
      </c>
      <c r="C97" s="80">
        <f>VLOOKUP(GroupVertices[[#This Row],[Vertex]],Vertices[],MATCH("ID",Vertices[[#Headers],[Vertex]:[Top Word Pairs in Tweet by Salience]],0),FALSE)</f>
        <v>203</v>
      </c>
    </row>
    <row r="98" spans="1:3" ht="15">
      <c r="A98" s="80" t="s">
        <v>2229</v>
      </c>
      <c r="B98" s="88" t="s">
        <v>583</v>
      </c>
      <c r="C98" s="80">
        <f>VLOOKUP(GroupVertices[[#This Row],[Vertex]],Vertices[],MATCH("ID",Vertices[[#Headers],[Vertex]:[Top Word Pairs in Tweet by Salience]],0),FALSE)</f>
        <v>205</v>
      </c>
    </row>
    <row r="99" spans="1:3" ht="15">
      <c r="A99" s="80" t="s">
        <v>2229</v>
      </c>
      <c r="B99" s="88" t="s">
        <v>582</v>
      </c>
      <c r="C99" s="80">
        <f>VLOOKUP(GroupVertices[[#This Row],[Vertex]],Vertices[],MATCH("ID",Vertices[[#Headers],[Vertex]:[Top Word Pairs in Tweet by Salience]],0),FALSE)</f>
        <v>204</v>
      </c>
    </row>
    <row r="100" spans="1:3" ht="15">
      <c r="A100" s="80" t="s">
        <v>2229</v>
      </c>
      <c r="B100" s="88" t="s">
        <v>481</v>
      </c>
      <c r="C100" s="80">
        <f>VLOOKUP(GroupVertices[[#This Row],[Vertex]],Vertices[],MATCH("ID",Vertices[[#Headers],[Vertex]:[Top Word Pairs in Tweet by Salience]],0),FALSE)</f>
        <v>191</v>
      </c>
    </row>
    <row r="101" spans="1:3" ht="15">
      <c r="A101" s="80" t="s">
        <v>2229</v>
      </c>
      <c r="B101" s="88" t="s">
        <v>480</v>
      </c>
      <c r="C101" s="80">
        <f>VLOOKUP(GroupVertices[[#This Row],[Vertex]],Vertices[],MATCH("ID",Vertices[[#Headers],[Vertex]:[Top Word Pairs in Tweet by Salience]],0),FALSE)</f>
        <v>190</v>
      </c>
    </row>
    <row r="102" spans="1:3" ht="15">
      <c r="A102" s="80" t="s">
        <v>2229</v>
      </c>
      <c r="B102" s="88" t="s">
        <v>462</v>
      </c>
      <c r="C102" s="80">
        <f>VLOOKUP(GroupVertices[[#This Row],[Vertex]],Vertices[],MATCH("ID",Vertices[[#Headers],[Vertex]:[Top Word Pairs in Tweet by Salience]],0),FALSE)</f>
        <v>128</v>
      </c>
    </row>
    <row r="103" spans="1:3" ht="15">
      <c r="A103" s="80" t="s">
        <v>2229</v>
      </c>
      <c r="B103" s="88" t="s">
        <v>453</v>
      </c>
      <c r="C103" s="80">
        <f>VLOOKUP(GroupVertices[[#This Row],[Vertex]],Vertices[],MATCH("ID",Vertices[[#Headers],[Vertex]:[Top Word Pairs in Tweet by Salience]],0),FALSE)</f>
        <v>119</v>
      </c>
    </row>
    <row r="104" spans="1:3" ht="15">
      <c r="A104" s="80" t="s">
        <v>2229</v>
      </c>
      <c r="B104" s="88" t="s">
        <v>452</v>
      </c>
      <c r="C104" s="80">
        <f>VLOOKUP(GroupVertices[[#This Row],[Vertex]],Vertices[],MATCH("ID",Vertices[[#Headers],[Vertex]:[Top Word Pairs in Tweet by Salience]],0),FALSE)</f>
        <v>118</v>
      </c>
    </row>
    <row r="105" spans="1:3" ht="15">
      <c r="A105" s="80" t="s">
        <v>2229</v>
      </c>
      <c r="B105" s="88" t="s">
        <v>447</v>
      </c>
      <c r="C105" s="80">
        <f>VLOOKUP(GroupVertices[[#This Row],[Vertex]],Vertices[],MATCH("ID",Vertices[[#Headers],[Vertex]:[Top Word Pairs in Tweet by Salience]],0),FALSE)</f>
        <v>112</v>
      </c>
    </row>
    <row r="106" spans="1:3" ht="15">
      <c r="A106" s="80" t="s">
        <v>2229</v>
      </c>
      <c r="B106" s="88" t="s">
        <v>446</v>
      </c>
      <c r="C106" s="80">
        <f>VLOOKUP(GroupVertices[[#This Row],[Vertex]],Vertices[],MATCH("ID",Vertices[[#Headers],[Vertex]:[Top Word Pairs in Tweet by Salience]],0),FALSE)</f>
        <v>111</v>
      </c>
    </row>
    <row r="107" spans="1:3" ht="15">
      <c r="A107" s="80" t="s">
        <v>2229</v>
      </c>
      <c r="B107" s="88" t="s">
        <v>444</v>
      </c>
      <c r="C107" s="80">
        <f>VLOOKUP(GroupVertices[[#This Row],[Vertex]],Vertices[],MATCH("ID",Vertices[[#Headers],[Vertex]:[Top Word Pairs in Tweet by Salience]],0),FALSE)</f>
        <v>109</v>
      </c>
    </row>
    <row r="108" spans="1:3" ht="15">
      <c r="A108" s="80" t="s">
        <v>2229</v>
      </c>
      <c r="B108" s="88" t="s">
        <v>437</v>
      </c>
      <c r="C108" s="80">
        <f>VLOOKUP(GroupVertices[[#This Row],[Vertex]],Vertices[],MATCH("ID",Vertices[[#Headers],[Vertex]:[Top Word Pairs in Tweet by Salience]],0),FALSE)</f>
        <v>101</v>
      </c>
    </row>
    <row r="109" spans="1:3" ht="15">
      <c r="A109" s="80" t="s">
        <v>2229</v>
      </c>
      <c r="B109" s="88" t="s">
        <v>425</v>
      </c>
      <c r="C109" s="80">
        <f>VLOOKUP(GroupVertices[[#This Row],[Vertex]],Vertices[],MATCH("ID",Vertices[[#Headers],[Vertex]:[Top Word Pairs in Tweet by Salience]],0),FALSE)</f>
        <v>87</v>
      </c>
    </row>
    <row r="110" spans="1:3" ht="15">
      <c r="A110" s="80" t="s">
        <v>2229</v>
      </c>
      <c r="B110" s="88" t="s">
        <v>422</v>
      </c>
      <c r="C110" s="80">
        <f>VLOOKUP(GroupVertices[[#This Row],[Vertex]],Vertices[],MATCH("ID",Vertices[[#Headers],[Vertex]:[Top Word Pairs in Tweet by Salience]],0),FALSE)</f>
        <v>83</v>
      </c>
    </row>
    <row r="111" spans="1:3" ht="15">
      <c r="A111" s="80" t="s">
        <v>2229</v>
      </c>
      <c r="B111" s="88" t="s">
        <v>415</v>
      </c>
      <c r="C111" s="80">
        <f>VLOOKUP(GroupVertices[[#This Row],[Vertex]],Vertices[],MATCH("ID",Vertices[[#Headers],[Vertex]:[Top Word Pairs in Tweet by Salience]],0),FALSE)</f>
        <v>78</v>
      </c>
    </row>
    <row r="112" spans="1:3" ht="15">
      <c r="A112" s="80" t="s">
        <v>2229</v>
      </c>
      <c r="B112" s="88" t="s">
        <v>413</v>
      </c>
      <c r="C112" s="80">
        <f>VLOOKUP(GroupVertices[[#This Row],[Vertex]],Vertices[],MATCH("ID",Vertices[[#Headers],[Vertex]:[Top Word Pairs in Tweet by Salience]],0),FALSE)</f>
        <v>76</v>
      </c>
    </row>
    <row r="113" spans="1:3" ht="15">
      <c r="A113" s="80" t="s">
        <v>2229</v>
      </c>
      <c r="B113" s="88" t="s">
        <v>401</v>
      </c>
      <c r="C113" s="80">
        <f>VLOOKUP(GroupVertices[[#This Row],[Vertex]],Vertices[],MATCH("ID",Vertices[[#Headers],[Vertex]:[Top Word Pairs in Tweet by Salience]],0),FALSE)</f>
        <v>55</v>
      </c>
    </row>
    <row r="114" spans="1:3" ht="15">
      <c r="A114" s="80" t="s">
        <v>2229</v>
      </c>
      <c r="B114" s="88" t="s">
        <v>400</v>
      </c>
      <c r="C114" s="80">
        <f>VLOOKUP(GroupVertices[[#This Row],[Vertex]],Vertices[],MATCH("ID",Vertices[[#Headers],[Vertex]:[Top Word Pairs in Tweet by Salience]],0),FALSE)</f>
        <v>54</v>
      </c>
    </row>
    <row r="115" spans="1:3" ht="15">
      <c r="A115" s="80" t="s">
        <v>2229</v>
      </c>
      <c r="B115" s="88" t="s">
        <v>398</v>
      </c>
      <c r="C115" s="80">
        <f>VLOOKUP(GroupVertices[[#This Row],[Vertex]],Vertices[],MATCH("ID",Vertices[[#Headers],[Vertex]:[Top Word Pairs in Tweet by Salience]],0),FALSE)</f>
        <v>50</v>
      </c>
    </row>
    <row r="116" spans="1:3" ht="15">
      <c r="A116" s="80" t="s">
        <v>2230</v>
      </c>
      <c r="B116" s="88" t="s">
        <v>512</v>
      </c>
      <c r="C116" s="80">
        <f>VLOOKUP(GroupVertices[[#This Row],[Vertex]],Vertices[],MATCH("ID",Vertices[[#Headers],[Vertex]:[Top Word Pairs in Tweet by Salience]],0),FALSE)</f>
        <v>223</v>
      </c>
    </row>
    <row r="117" spans="1:3" ht="15">
      <c r="A117" s="80" t="s">
        <v>2230</v>
      </c>
      <c r="B117" s="88" t="s">
        <v>511</v>
      </c>
      <c r="C117" s="80">
        <f>VLOOKUP(GroupVertices[[#This Row],[Vertex]],Vertices[],MATCH("ID",Vertices[[#Headers],[Vertex]:[Top Word Pairs in Tweet by Salience]],0),FALSE)</f>
        <v>99</v>
      </c>
    </row>
    <row r="118" spans="1:3" ht="15">
      <c r="A118" s="80" t="s">
        <v>2230</v>
      </c>
      <c r="B118" s="88" t="s">
        <v>534</v>
      </c>
      <c r="C118" s="80">
        <f>VLOOKUP(GroupVertices[[#This Row],[Vertex]],Vertices[],MATCH("ID",Vertices[[#Headers],[Vertex]:[Top Word Pairs in Tweet by Salience]],0),FALSE)</f>
        <v>98</v>
      </c>
    </row>
    <row r="119" spans="1:3" ht="15">
      <c r="A119" s="80" t="s">
        <v>2230</v>
      </c>
      <c r="B119" s="88" t="s">
        <v>503</v>
      </c>
      <c r="C119" s="80">
        <f>VLOOKUP(GroupVertices[[#This Row],[Vertex]],Vertices[],MATCH("ID",Vertices[[#Headers],[Vertex]:[Top Word Pairs in Tweet by Salience]],0),FALSE)</f>
        <v>214</v>
      </c>
    </row>
    <row r="120" spans="1:3" ht="15">
      <c r="A120" s="80" t="s">
        <v>2230</v>
      </c>
      <c r="B120" s="88" t="s">
        <v>500</v>
      </c>
      <c r="C120" s="80">
        <f>VLOOKUP(GroupVertices[[#This Row],[Vertex]],Vertices[],MATCH("ID",Vertices[[#Headers],[Vertex]:[Top Word Pairs in Tweet by Salience]],0),FALSE)</f>
        <v>211</v>
      </c>
    </row>
    <row r="121" spans="1:3" ht="15">
      <c r="A121" s="80" t="s">
        <v>2230</v>
      </c>
      <c r="B121" s="88" t="s">
        <v>496</v>
      </c>
      <c r="C121" s="80">
        <f>VLOOKUP(GroupVertices[[#This Row],[Vertex]],Vertices[],MATCH("ID",Vertices[[#Headers],[Vertex]:[Top Word Pairs in Tweet by Salience]],0),FALSE)</f>
        <v>208</v>
      </c>
    </row>
    <row r="122" spans="1:3" ht="15">
      <c r="A122" s="80" t="s">
        <v>2230</v>
      </c>
      <c r="B122" s="88" t="s">
        <v>495</v>
      </c>
      <c r="C122" s="80">
        <f>VLOOKUP(GroupVertices[[#This Row],[Vertex]],Vertices[],MATCH("ID",Vertices[[#Headers],[Vertex]:[Top Word Pairs in Tweet by Salience]],0),FALSE)</f>
        <v>207</v>
      </c>
    </row>
    <row r="123" spans="1:3" ht="15">
      <c r="A123" s="80" t="s">
        <v>2230</v>
      </c>
      <c r="B123" s="88" t="s">
        <v>492</v>
      </c>
      <c r="C123" s="80">
        <f>VLOOKUP(GroupVertices[[#This Row],[Vertex]],Vertices[],MATCH("ID",Vertices[[#Headers],[Vertex]:[Top Word Pairs in Tweet by Salience]],0),FALSE)</f>
        <v>202</v>
      </c>
    </row>
    <row r="124" spans="1:3" ht="15">
      <c r="A124" s="80" t="s">
        <v>2230</v>
      </c>
      <c r="B124" s="88" t="s">
        <v>490</v>
      </c>
      <c r="C124" s="80">
        <f>VLOOKUP(GroupVertices[[#This Row],[Vertex]],Vertices[],MATCH("ID",Vertices[[#Headers],[Vertex]:[Top Word Pairs in Tweet by Salience]],0),FALSE)</f>
        <v>200</v>
      </c>
    </row>
    <row r="125" spans="1:3" ht="15">
      <c r="A125" s="80" t="s">
        <v>2230</v>
      </c>
      <c r="B125" s="88" t="s">
        <v>479</v>
      </c>
      <c r="C125" s="80">
        <f>VLOOKUP(GroupVertices[[#This Row],[Vertex]],Vertices[],MATCH("ID",Vertices[[#Headers],[Vertex]:[Top Word Pairs in Tweet by Salience]],0),FALSE)</f>
        <v>189</v>
      </c>
    </row>
    <row r="126" spans="1:3" ht="15">
      <c r="A126" s="80" t="s">
        <v>2230</v>
      </c>
      <c r="B126" s="88" t="s">
        <v>478</v>
      </c>
      <c r="C126" s="80">
        <f>VLOOKUP(GroupVertices[[#This Row],[Vertex]],Vertices[],MATCH("ID",Vertices[[#Headers],[Vertex]:[Top Word Pairs in Tweet by Salience]],0),FALSE)</f>
        <v>188</v>
      </c>
    </row>
    <row r="127" spans="1:3" ht="15">
      <c r="A127" s="80" t="s">
        <v>2230</v>
      </c>
      <c r="B127" s="88" t="s">
        <v>477</v>
      </c>
      <c r="C127" s="80">
        <f>VLOOKUP(GroupVertices[[#This Row],[Vertex]],Vertices[],MATCH("ID",Vertices[[#Headers],[Vertex]:[Top Word Pairs in Tweet by Salience]],0),FALSE)</f>
        <v>187</v>
      </c>
    </row>
    <row r="128" spans="1:3" ht="15">
      <c r="A128" s="80" t="s">
        <v>2230</v>
      </c>
      <c r="B128" s="88" t="s">
        <v>476</v>
      </c>
      <c r="C128" s="80">
        <f>VLOOKUP(GroupVertices[[#This Row],[Vertex]],Vertices[],MATCH("ID",Vertices[[#Headers],[Vertex]:[Top Word Pairs in Tweet by Salience]],0),FALSE)</f>
        <v>186</v>
      </c>
    </row>
    <row r="129" spans="1:3" ht="15">
      <c r="A129" s="80" t="s">
        <v>2230</v>
      </c>
      <c r="B129" s="88" t="s">
        <v>472</v>
      </c>
      <c r="C129" s="80">
        <f>VLOOKUP(GroupVertices[[#This Row],[Vertex]],Vertices[],MATCH("ID",Vertices[[#Headers],[Vertex]:[Top Word Pairs in Tweet by Salience]],0),FALSE)</f>
        <v>139</v>
      </c>
    </row>
    <row r="130" spans="1:3" ht="15">
      <c r="A130" s="80" t="s">
        <v>2230</v>
      </c>
      <c r="B130" s="88" t="s">
        <v>471</v>
      </c>
      <c r="C130" s="80">
        <f>VLOOKUP(GroupVertices[[#This Row],[Vertex]],Vertices[],MATCH("ID",Vertices[[#Headers],[Vertex]:[Top Word Pairs in Tweet by Salience]],0),FALSE)</f>
        <v>138</v>
      </c>
    </row>
    <row r="131" spans="1:3" ht="15">
      <c r="A131" s="80" t="s">
        <v>2230</v>
      </c>
      <c r="B131" s="88" t="s">
        <v>467</v>
      </c>
      <c r="C131" s="80">
        <f>VLOOKUP(GroupVertices[[#This Row],[Vertex]],Vertices[],MATCH("ID",Vertices[[#Headers],[Vertex]:[Top Word Pairs in Tweet by Salience]],0),FALSE)</f>
        <v>133</v>
      </c>
    </row>
    <row r="132" spans="1:3" ht="15">
      <c r="A132" s="80" t="s">
        <v>2230</v>
      </c>
      <c r="B132" s="88" t="s">
        <v>466</v>
      </c>
      <c r="C132" s="80">
        <f>VLOOKUP(GroupVertices[[#This Row],[Vertex]],Vertices[],MATCH("ID",Vertices[[#Headers],[Vertex]:[Top Word Pairs in Tweet by Salience]],0),FALSE)</f>
        <v>132</v>
      </c>
    </row>
    <row r="133" spans="1:3" ht="15">
      <c r="A133" s="80" t="s">
        <v>2230</v>
      </c>
      <c r="B133" s="88" t="s">
        <v>465</v>
      </c>
      <c r="C133" s="80">
        <f>VLOOKUP(GroupVertices[[#This Row],[Vertex]],Vertices[],MATCH("ID",Vertices[[#Headers],[Vertex]:[Top Word Pairs in Tweet by Salience]],0),FALSE)</f>
        <v>131</v>
      </c>
    </row>
    <row r="134" spans="1:3" ht="15">
      <c r="A134" s="80" t="s">
        <v>2230</v>
      </c>
      <c r="B134" s="88" t="s">
        <v>464</v>
      </c>
      <c r="C134" s="80">
        <f>VLOOKUP(GroupVertices[[#This Row],[Vertex]],Vertices[],MATCH("ID",Vertices[[#Headers],[Vertex]:[Top Word Pairs in Tweet by Salience]],0),FALSE)</f>
        <v>130</v>
      </c>
    </row>
    <row r="135" spans="1:3" ht="15">
      <c r="A135" s="80" t="s">
        <v>2230</v>
      </c>
      <c r="B135" s="88" t="s">
        <v>463</v>
      </c>
      <c r="C135" s="80">
        <f>VLOOKUP(GroupVertices[[#This Row],[Vertex]],Vertices[],MATCH("ID",Vertices[[#Headers],[Vertex]:[Top Word Pairs in Tweet by Salience]],0),FALSE)</f>
        <v>129</v>
      </c>
    </row>
    <row r="136" spans="1:3" ht="15">
      <c r="A136" s="80" t="s">
        <v>2230</v>
      </c>
      <c r="B136" s="88" t="s">
        <v>435</v>
      </c>
      <c r="C136" s="80">
        <f>VLOOKUP(GroupVertices[[#This Row],[Vertex]],Vertices[],MATCH("ID",Vertices[[#Headers],[Vertex]:[Top Word Pairs in Tweet by Salience]],0),FALSE)</f>
        <v>97</v>
      </c>
    </row>
    <row r="137" spans="1:3" ht="15">
      <c r="A137" s="80" t="s">
        <v>2231</v>
      </c>
      <c r="B137" s="88" t="s">
        <v>502</v>
      </c>
      <c r="C137" s="80">
        <f>VLOOKUP(GroupVertices[[#This Row],[Vertex]],Vertices[],MATCH("ID",Vertices[[#Headers],[Vertex]:[Top Word Pairs in Tweet by Salience]],0),FALSE)</f>
        <v>213</v>
      </c>
    </row>
    <row r="138" spans="1:3" ht="15">
      <c r="A138" s="80" t="s">
        <v>2231</v>
      </c>
      <c r="B138" s="88" t="s">
        <v>482</v>
      </c>
      <c r="C138" s="80">
        <f>VLOOKUP(GroupVertices[[#This Row],[Vertex]],Vertices[],MATCH("ID",Vertices[[#Headers],[Vertex]:[Top Word Pairs in Tweet by Salience]],0),FALSE)</f>
        <v>23</v>
      </c>
    </row>
    <row r="139" spans="1:3" ht="15">
      <c r="A139" s="80" t="s">
        <v>2231</v>
      </c>
      <c r="B139" s="88" t="s">
        <v>525</v>
      </c>
      <c r="C139" s="80">
        <f>VLOOKUP(GroupVertices[[#This Row],[Vertex]],Vertices[],MATCH("ID",Vertices[[#Headers],[Vertex]:[Top Word Pairs in Tweet by Salience]],0),FALSE)</f>
        <v>43</v>
      </c>
    </row>
    <row r="140" spans="1:3" ht="15">
      <c r="A140" s="80" t="s">
        <v>2231</v>
      </c>
      <c r="B140" s="88" t="s">
        <v>524</v>
      </c>
      <c r="C140" s="80">
        <f>VLOOKUP(GroupVertices[[#This Row],[Vertex]],Vertices[],MATCH("ID",Vertices[[#Headers],[Vertex]:[Top Word Pairs in Tweet by Salience]],0),FALSE)</f>
        <v>42</v>
      </c>
    </row>
    <row r="141" spans="1:3" ht="15">
      <c r="A141" s="80" t="s">
        <v>2231</v>
      </c>
      <c r="B141" s="88" t="s">
        <v>494</v>
      </c>
      <c r="C141" s="80">
        <f>VLOOKUP(GroupVertices[[#This Row],[Vertex]],Vertices[],MATCH("ID",Vertices[[#Headers],[Vertex]:[Top Word Pairs in Tweet by Salience]],0),FALSE)</f>
        <v>206</v>
      </c>
    </row>
    <row r="142" spans="1:3" ht="15">
      <c r="A142" s="80" t="s">
        <v>2231</v>
      </c>
      <c r="B142" s="88" t="s">
        <v>491</v>
      </c>
      <c r="C142" s="80">
        <f>VLOOKUP(GroupVertices[[#This Row],[Vertex]],Vertices[],MATCH("ID",Vertices[[#Headers],[Vertex]:[Top Word Pairs in Tweet by Salience]],0),FALSE)</f>
        <v>201</v>
      </c>
    </row>
    <row r="143" spans="1:3" ht="15">
      <c r="A143" s="80" t="s">
        <v>2231</v>
      </c>
      <c r="B143" s="88" t="s">
        <v>486</v>
      </c>
      <c r="C143" s="80">
        <f>VLOOKUP(GroupVertices[[#This Row],[Vertex]],Vertices[],MATCH("ID",Vertices[[#Headers],[Vertex]:[Top Word Pairs in Tweet by Salience]],0),FALSE)</f>
        <v>197</v>
      </c>
    </row>
    <row r="144" spans="1:3" ht="15">
      <c r="A144" s="80" t="s">
        <v>2231</v>
      </c>
      <c r="B144" s="88" t="s">
        <v>485</v>
      </c>
      <c r="C144" s="80">
        <f>VLOOKUP(GroupVertices[[#This Row],[Vertex]],Vertices[],MATCH("ID",Vertices[[#Headers],[Vertex]:[Top Word Pairs in Tweet by Salience]],0),FALSE)</f>
        <v>196</v>
      </c>
    </row>
    <row r="145" spans="1:3" ht="15">
      <c r="A145" s="80" t="s">
        <v>2231</v>
      </c>
      <c r="B145" s="88" t="s">
        <v>581</v>
      </c>
      <c r="C145" s="80">
        <f>VLOOKUP(GroupVertices[[#This Row],[Vertex]],Vertices[],MATCH("ID",Vertices[[#Headers],[Vertex]:[Top Word Pairs in Tweet by Salience]],0),FALSE)</f>
        <v>195</v>
      </c>
    </row>
    <row r="146" spans="1:3" ht="15">
      <c r="A146" s="80" t="s">
        <v>2231</v>
      </c>
      <c r="B146" s="88" t="s">
        <v>484</v>
      </c>
      <c r="C146" s="80">
        <f>VLOOKUP(GroupVertices[[#This Row],[Vertex]],Vertices[],MATCH("ID",Vertices[[#Headers],[Vertex]:[Top Word Pairs in Tweet by Salience]],0),FALSE)</f>
        <v>193</v>
      </c>
    </row>
    <row r="147" spans="1:3" ht="15">
      <c r="A147" s="80" t="s">
        <v>2231</v>
      </c>
      <c r="B147" s="88" t="s">
        <v>483</v>
      </c>
      <c r="C147" s="80">
        <f>VLOOKUP(GroupVertices[[#This Row],[Vertex]],Vertices[],MATCH("ID",Vertices[[#Headers],[Vertex]:[Top Word Pairs in Tweet by Salience]],0),FALSE)</f>
        <v>192</v>
      </c>
    </row>
    <row r="148" spans="1:3" ht="15">
      <c r="A148" s="80" t="s">
        <v>2231</v>
      </c>
      <c r="B148" s="88" t="s">
        <v>580</v>
      </c>
      <c r="C148" s="80">
        <f>VLOOKUP(GroupVertices[[#This Row],[Vertex]],Vertices[],MATCH("ID",Vertices[[#Headers],[Vertex]:[Top Word Pairs in Tweet by Salience]],0),FALSE)</f>
        <v>194</v>
      </c>
    </row>
    <row r="149" spans="1:3" ht="15">
      <c r="A149" s="80" t="s">
        <v>2231</v>
      </c>
      <c r="B149" s="88" t="s">
        <v>451</v>
      </c>
      <c r="C149" s="80">
        <f>VLOOKUP(GroupVertices[[#This Row],[Vertex]],Vertices[],MATCH("ID",Vertices[[#Headers],[Vertex]:[Top Word Pairs in Tweet by Salience]],0),FALSE)</f>
        <v>117</v>
      </c>
    </row>
    <row r="150" spans="1:3" ht="15">
      <c r="A150" s="80" t="s">
        <v>2231</v>
      </c>
      <c r="B150" s="88" t="s">
        <v>408</v>
      </c>
      <c r="C150" s="80">
        <f>VLOOKUP(GroupVertices[[#This Row],[Vertex]],Vertices[],MATCH("ID",Vertices[[#Headers],[Vertex]:[Top Word Pairs in Tweet by Salience]],0),FALSE)</f>
        <v>68</v>
      </c>
    </row>
    <row r="151" spans="1:3" ht="15">
      <c r="A151" s="80" t="s">
        <v>2231</v>
      </c>
      <c r="B151" s="88" t="s">
        <v>397</v>
      </c>
      <c r="C151" s="80">
        <f>VLOOKUP(GroupVertices[[#This Row],[Vertex]],Vertices[],MATCH("ID",Vertices[[#Headers],[Vertex]:[Top Word Pairs in Tweet by Salience]],0),FALSE)</f>
        <v>49</v>
      </c>
    </row>
    <row r="152" spans="1:3" ht="15">
      <c r="A152" s="80" t="s">
        <v>2231</v>
      </c>
      <c r="B152" s="88" t="s">
        <v>394</v>
      </c>
      <c r="C152" s="80">
        <f>VLOOKUP(GroupVertices[[#This Row],[Vertex]],Vertices[],MATCH("ID",Vertices[[#Headers],[Vertex]:[Top Word Pairs in Tweet by Salience]],0),FALSE)</f>
        <v>46</v>
      </c>
    </row>
    <row r="153" spans="1:3" ht="15">
      <c r="A153" s="80" t="s">
        <v>2231</v>
      </c>
      <c r="B153" s="88" t="s">
        <v>390</v>
      </c>
      <c r="C153" s="80">
        <f>VLOOKUP(GroupVertices[[#This Row],[Vertex]],Vertices[],MATCH("ID",Vertices[[#Headers],[Vertex]:[Top Word Pairs in Tweet by Salience]],0),FALSE)</f>
        <v>41</v>
      </c>
    </row>
    <row r="154" spans="1:3" ht="15">
      <c r="A154" s="80" t="s">
        <v>2231</v>
      </c>
      <c r="B154" s="88" t="s">
        <v>522</v>
      </c>
      <c r="C154" s="80">
        <f>VLOOKUP(GroupVertices[[#This Row],[Vertex]],Vertices[],MATCH("ID",Vertices[[#Headers],[Vertex]:[Top Word Pairs in Tweet by Salience]],0),FALSE)</f>
        <v>22</v>
      </c>
    </row>
    <row r="155" spans="1:3" ht="15">
      <c r="A155" s="80" t="s">
        <v>2231</v>
      </c>
      <c r="B155" s="88" t="s">
        <v>521</v>
      </c>
      <c r="C155" s="80">
        <f>VLOOKUP(GroupVertices[[#This Row],[Vertex]],Vertices[],MATCH("ID",Vertices[[#Headers],[Vertex]:[Top Word Pairs in Tweet by Salience]],0),FALSE)</f>
        <v>21</v>
      </c>
    </row>
    <row r="156" spans="1:3" ht="15">
      <c r="A156" s="80" t="s">
        <v>2231</v>
      </c>
      <c r="B156" s="88" t="s">
        <v>376</v>
      </c>
      <c r="C156" s="80">
        <f>VLOOKUP(GroupVertices[[#This Row],[Vertex]],Vertices[],MATCH("ID",Vertices[[#Headers],[Vertex]:[Top Word Pairs in Tweet by Salience]],0),FALSE)</f>
        <v>20</v>
      </c>
    </row>
    <row r="157" spans="1:3" ht="15">
      <c r="A157" s="80" t="s">
        <v>2232</v>
      </c>
      <c r="B157" s="88" t="s">
        <v>371</v>
      </c>
      <c r="C157" s="80">
        <f>VLOOKUP(GroupVertices[[#This Row],[Vertex]],Vertices[],MATCH("ID",Vertices[[#Headers],[Vertex]:[Top Word Pairs in Tweet by Salience]],0),FALSE)</f>
        <v>13</v>
      </c>
    </row>
    <row r="158" spans="1:3" ht="15">
      <c r="A158" s="80" t="s">
        <v>2232</v>
      </c>
      <c r="B158" s="88" t="s">
        <v>370</v>
      </c>
      <c r="C158" s="80">
        <f>VLOOKUP(GroupVertices[[#This Row],[Vertex]],Vertices[],MATCH("ID",Vertices[[#Headers],[Vertex]:[Top Word Pairs in Tweet by Salience]],0),FALSE)</f>
        <v>6</v>
      </c>
    </row>
    <row r="159" spans="1:3" ht="15">
      <c r="A159" s="80" t="s">
        <v>2232</v>
      </c>
      <c r="B159" s="88" t="s">
        <v>369</v>
      </c>
      <c r="C159" s="80">
        <f>VLOOKUP(GroupVertices[[#This Row],[Vertex]],Vertices[],MATCH("ID",Vertices[[#Headers],[Vertex]:[Top Word Pairs in Tweet by Salience]],0),FALSE)</f>
        <v>12</v>
      </c>
    </row>
    <row r="160" spans="1:3" ht="15">
      <c r="A160" s="80" t="s">
        <v>2232</v>
      </c>
      <c r="B160" s="88" t="s">
        <v>368</v>
      </c>
      <c r="C160" s="80">
        <f>VLOOKUP(GroupVertices[[#This Row],[Vertex]],Vertices[],MATCH("ID",Vertices[[#Headers],[Vertex]:[Top Word Pairs in Tweet by Salience]],0),FALSE)</f>
        <v>11</v>
      </c>
    </row>
    <row r="161" spans="1:3" ht="15">
      <c r="A161" s="80" t="s">
        <v>2232</v>
      </c>
      <c r="B161" s="88" t="s">
        <v>367</v>
      </c>
      <c r="C161" s="80">
        <f>VLOOKUP(GroupVertices[[#This Row],[Vertex]],Vertices[],MATCH("ID",Vertices[[#Headers],[Vertex]:[Top Word Pairs in Tweet by Salience]],0),FALSE)</f>
        <v>10</v>
      </c>
    </row>
    <row r="162" spans="1:3" ht="15">
      <c r="A162" s="80" t="s">
        <v>2232</v>
      </c>
      <c r="B162" s="88" t="s">
        <v>366</v>
      </c>
      <c r="C162" s="80">
        <f>VLOOKUP(GroupVertices[[#This Row],[Vertex]],Vertices[],MATCH("ID",Vertices[[#Headers],[Vertex]:[Top Word Pairs in Tweet by Salience]],0),FALSE)</f>
        <v>9</v>
      </c>
    </row>
    <row r="163" spans="1:3" ht="15">
      <c r="A163" s="80" t="s">
        <v>2232</v>
      </c>
      <c r="B163" s="88" t="s">
        <v>365</v>
      </c>
      <c r="C163" s="80">
        <f>VLOOKUP(GroupVertices[[#This Row],[Vertex]],Vertices[],MATCH("ID",Vertices[[#Headers],[Vertex]:[Top Word Pairs in Tweet by Salience]],0),FALSE)</f>
        <v>8</v>
      </c>
    </row>
    <row r="164" spans="1:3" ht="15">
      <c r="A164" s="80" t="s">
        <v>2232</v>
      </c>
      <c r="B164" s="88" t="s">
        <v>364</v>
      </c>
      <c r="C164" s="80">
        <f>VLOOKUP(GroupVertices[[#This Row],[Vertex]],Vertices[],MATCH("ID",Vertices[[#Headers],[Vertex]:[Top Word Pairs in Tweet by Salience]],0),FALSE)</f>
        <v>7</v>
      </c>
    </row>
    <row r="165" spans="1:3" ht="15">
      <c r="A165" s="80" t="s">
        <v>2232</v>
      </c>
      <c r="B165" s="88" t="s">
        <v>363</v>
      </c>
      <c r="C165" s="80">
        <f>VLOOKUP(GroupVertices[[#This Row],[Vertex]],Vertices[],MATCH("ID",Vertices[[#Headers],[Vertex]:[Top Word Pairs in Tweet by Salience]],0),FALSE)</f>
        <v>5</v>
      </c>
    </row>
    <row r="166" spans="1:3" ht="15">
      <c r="A166" s="80" t="s">
        <v>2233</v>
      </c>
      <c r="B166" s="88" t="s">
        <v>419</v>
      </c>
      <c r="C166" s="80">
        <f>VLOOKUP(GroupVertices[[#This Row],[Vertex]],Vertices[],MATCH("ID",Vertices[[#Headers],[Vertex]:[Top Word Pairs in Tweet by Salience]],0),FALSE)</f>
        <v>81</v>
      </c>
    </row>
    <row r="167" spans="1:3" ht="15">
      <c r="A167" s="80" t="s">
        <v>2233</v>
      </c>
      <c r="B167" s="88" t="s">
        <v>418</v>
      </c>
      <c r="C167" s="80">
        <f>VLOOKUP(GroupVertices[[#This Row],[Vertex]],Vertices[],MATCH("ID",Vertices[[#Headers],[Vertex]:[Top Word Pairs in Tweet by Salience]],0),FALSE)</f>
        <v>72</v>
      </c>
    </row>
    <row r="168" spans="1:3" ht="15">
      <c r="A168" s="80" t="s">
        <v>2233</v>
      </c>
      <c r="B168" s="88" t="s">
        <v>532</v>
      </c>
      <c r="C168" s="80">
        <f>VLOOKUP(GroupVertices[[#This Row],[Vertex]],Vertices[],MATCH("ID",Vertices[[#Headers],[Vertex]:[Top Word Pairs in Tweet by Salience]],0),FALSE)</f>
        <v>71</v>
      </c>
    </row>
    <row r="169" spans="1:3" ht="15">
      <c r="A169" s="80" t="s">
        <v>2233</v>
      </c>
      <c r="B169" s="88" t="s">
        <v>531</v>
      </c>
      <c r="C169" s="80">
        <f>VLOOKUP(GroupVertices[[#This Row],[Vertex]],Vertices[],MATCH("ID",Vertices[[#Headers],[Vertex]:[Top Word Pairs in Tweet by Salience]],0),FALSE)</f>
        <v>70</v>
      </c>
    </row>
    <row r="170" spans="1:3" ht="15">
      <c r="A170" s="80" t="s">
        <v>2233</v>
      </c>
      <c r="B170" s="88" t="s">
        <v>417</v>
      </c>
      <c r="C170" s="80">
        <f>VLOOKUP(GroupVertices[[#This Row],[Vertex]],Vertices[],MATCH("ID",Vertices[[#Headers],[Vertex]:[Top Word Pairs in Tweet by Salience]],0),FALSE)</f>
        <v>80</v>
      </c>
    </row>
    <row r="171" spans="1:3" ht="15">
      <c r="A171" s="80" t="s">
        <v>2233</v>
      </c>
      <c r="B171" s="88" t="s">
        <v>416</v>
      </c>
      <c r="C171" s="80">
        <f>VLOOKUP(GroupVertices[[#This Row],[Vertex]],Vertices[],MATCH("ID",Vertices[[#Headers],[Vertex]:[Top Word Pairs in Tweet by Salience]],0),FALSE)</f>
        <v>79</v>
      </c>
    </row>
    <row r="172" spans="1:3" ht="15">
      <c r="A172" s="80" t="s">
        <v>2233</v>
      </c>
      <c r="B172" s="88" t="s">
        <v>414</v>
      </c>
      <c r="C172" s="80">
        <f>VLOOKUP(GroupVertices[[#This Row],[Vertex]],Vertices[],MATCH("ID",Vertices[[#Headers],[Vertex]:[Top Word Pairs in Tweet by Salience]],0),FALSE)</f>
        <v>77</v>
      </c>
    </row>
    <row r="173" spans="1:3" ht="15">
      <c r="A173" s="80" t="s">
        <v>2233</v>
      </c>
      <c r="B173" s="88" t="s">
        <v>409</v>
      </c>
      <c r="C173" s="80">
        <f>VLOOKUP(GroupVertices[[#This Row],[Vertex]],Vertices[],MATCH("ID",Vertices[[#Headers],[Vertex]:[Top Word Pairs in Tweet by Salience]],0),FALSE)</f>
        <v>69</v>
      </c>
    </row>
    <row r="174" spans="1:3" ht="15">
      <c r="A174" s="80" t="s">
        <v>2234</v>
      </c>
      <c r="B174" s="88" t="s">
        <v>372</v>
      </c>
      <c r="C174" s="80">
        <f>VLOOKUP(GroupVertices[[#This Row],[Vertex]],Vertices[],MATCH("ID",Vertices[[#Headers],[Vertex]:[Top Word Pairs in Tweet by Salience]],0),FALSE)</f>
        <v>14</v>
      </c>
    </row>
    <row r="175" spans="1:3" ht="15">
      <c r="A175" s="80" t="s">
        <v>2234</v>
      </c>
      <c r="B175" s="88" t="s">
        <v>377</v>
      </c>
      <c r="C175" s="80">
        <f>VLOOKUP(GroupVertices[[#This Row],[Vertex]],Vertices[],MATCH("ID",Vertices[[#Headers],[Vertex]:[Top Word Pairs in Tweet by Salience]],0),FALSE)</f>
        <v>24</v>
      </c>
    </row>
    <row r="176" spans="1:3" ht="15">
      <c r="A176" s="80" t="s">
        <v>2234</v>
      </c>
      <c r="B176" s="88" t="s">
        <v>405</v>
      </c>
      <c r="C176" s="80">
        <f>VLOOKUP(GroupVertices[[#This Row],[Vertex]],Vertices[],MATCH("ID",Vertices[[#Headers],[Vertex]:[Top Word Pairs in Tweet by Salience]],0),FALSE)</f>
        <v>63</v>
      </c>
    </row>
    <row r="177" spans="1:3" ht="15">
      <c r="A177" s="80" t="s">
        <v>2234</v>
      </c>
      <c r="B177" s="88" t="s">
        <v>455</v>
      </c>
      <c r="C177" s="80">
        <f>VLOOKUP(GroupVertices[[#This Row],[Vertex]],Vertices[],MATCH("ID",Vertices[[#Headers],[Vertex]:[Top Word Pairs in Tweet by Salience]],0),FALSE)</f>
        <v>121</v>
      </c>
    </row>
    <row r="178" spans="1:3" ht="15">
      <c r="A178" s="80" t="s">
        <v>2234</v>
      </c>
      <c r="B178" s="88" t="s">
        <v>456</v>
      </c>
      <c r="C178" s="80">
        <f>VLOOKUP(GroupVertices[[#This Row],[Vertex]],Vertices[],MATCH("ID",Vertices[[#Headers],[Vertex]:[Top Word Pairs in Tweet by Salience]],0),FALSE)</f>
        <v>122</v>
      </c>
    </row>
    <row r="179" spans="1:3" ht="15">
      <c r="A179" s="80" t="s">
        <v>2234</v>
      </c>
      <c r="B179" s="88" t="s">
        <v>489</v>
      </c>
      <c r="C179" s="80">
        <f>VLOOKUP(GroupVertices[[#This Row],[Vertex]],Vertices[],MATCH("ID",Vertices[[#Headers],[Vertex]:[Top Word Pairs in Tweet by Salience]],0),FALSE)</f>
        <v>199</v>
      </c>
    </row>
    <row r="180" spans="1:3" ht="15">
      <c r="A180" s="80" t="s">
        <v>2234</v>
      </c>
      <c r="B180" s="88" t="s">
        <v>515</v>
      </c>
      <c r="C180" s="80">
        <f>VLOOKUP(GroupVertices[[#This Row],[Vertex]],Vertices[],MATCH("ID",Vertices[[#Headers],[Vertex]:[Top Word Pairs in Tweet by Salience]],0),FALSE)</f>
        <v>224</v>
      </c>
    </row>
    <row r="181" spans="1:3" ht="15">
      <c r="A181" s="80" t="s">
        <v>2235</v>
      </c>
      <c r="B181" s="88" t="s">
        <v>498</v>
      </c>
      <c r="C181" s="80">
        <f>VLOOKUP(GroupVertices[[#This Row],[Vertex]],Vertices[],MATCH("ID",Vertices[[#Headers],[Vertex]:[Top Word Pairs in Tweet by Salience]],0),FALSE)</f>
        <v>209</v>
      </c>
    </row>
    <row r="182" spans="1:3" ht="15">
      <c r="A182" s="80" t="s">
        <v>2235</v>
      </c>
      <c r="B182" s="88" t="s">
        <v>497</v>
      </c>
      <c r="C182" s="80">
        <f>VLOOKUP(GroupVertices[[#This Row],[Vertex]],Vertices[],MATCH("ID",Vertices[[#Headers],[Vertex]:[Top Word Pairs in Tweet by Salience]],0),FALSE)</f>
        <v>4</v>
      </c>
    </row>
    <row r="183" spans="1:3" ht="15">
      <c r="A183" s="80" t="s">
        <v>2235</v>
      </c>
      <c r="B183" s="88" t="s">
        <v>399</v>
      </c>
      <c r="C183" s="80">
        <f>VLOOKUP(GroupVertices[[#This Row],[Vertex]],Vertices[],MATCH("ID",Vertices[[#Headers],[Vertex]:[Top Word Pairs in Tweet by Salience]],0),FALSE)</f>
        <v>53</v>
      </c>
    </row>
    <row r="184" spans="1:3" ht="15">
      <c r="A184" s="80" t="s">
        <v>2235</v>
      </c>
      <c r="B184" s="88" t="s">
        <v>388</v>
      </c>
      <c r="C184" s="80">
        <f>VLOOKUP(GroupVertices[[#This Row],[Vertex]],Vertices[],MATCH("ID",Vertices[[#Headers],[Vertex]:[Top Word Pairs in Tweet by Salience]],0),FALSE)</f>
        <v>39</v>
      </c>
    </row>
    <row r="185" spans="1:3" ht="15">
      <c r="A185" s="80" t="s">
        <v>2235</v>
      </c>
      <c r="B185" s="88" t="s">
        <v>375</v>
      </c>
      <c r="C185" s="80">
        <f>VLOOKUP(GroupVertices[[#This Row],[Vertex]],Vertices[],MATCH("ID",Vertices[[#Headers],[Vertex]:[Top Word Pairs in Tweet by Salience]],0),FALSE)</f>
        <v>19</v>
      </c>
    </row>
    <row r="186" spans="1:3" ht="15">
      <c r="A186" s="80" t="s">
        <v>2235</v>
      </c>
      <c r="B186" s="88" t="s">
        <v>518</v>
      </c>
      <c r="C186" s="80">
        <f>VLOOKUP(GroupVertices[[#This Row],[Vertex]],Vertices[],MATCH("ID",Vertices[[#Headers],[Vertex]:[Top Word Pairs in Tweet by Salience]],0),FALSE)</f>
        <v>3</v>
      </c>
    </row>
    <row r="187" spans="1:3" ht="15">
      <c r="A187" s="80" t="s">
        <v>2236</v>
      </c>
      <c r="B187" s="88" t="s">
        <v>517</v>
      </c>
      <c r="C187" s="80">
        <f>VLOOKUP(GroupVertices[[#This Row],[Vertex]],Vertices[],MATCH("ID",Vertices[[#Headers],[Vertex]:[Top Word Pairs in Tweet by Salience]],0),FALSE)</f>
        <v>225</v>
      </c>
    </row>
    <row r="188" spans="1:3" ht="15">
      <c r="A188" s="80" t="s">
        <v>2236</v>
      </c>
      <c r="B188" s="88" t="s">
        <v>516</v>
      </c>
      <c r="C188" s="80">
        <f>VLOOKUP(GroupVertices[[#This Row],[Vertex]],Vertices[],MATCH("ID",Vertices[[#Headers],[Vertex]:[Top Word Pairs in Tweet by Salience]],0),FALSE)</f>
        <v>58</v>
      </c>
    </row>
    <row r="189" spans="1:3" ht="15">
      <c r="A189" s="80" t="s">
        <v>2236</v>
      </c>
      <c r="B189" s="88" t="s">
        <v>528</v>
      </c>
      <c r="C189" s="80">
        <f>VLOOKUP(GroupVertices[[#This Row],[Vertex]],Vertices[],MATCH("ID",Vertices[[#Headers],[Vertex]:[Top Word Pairs in Tweet by Salience]],0),FALSE)</f>
        <v>57</v>
      </c>
    </row>
    <row r="190" spans="1:3" ht="15">
      <c r="A190" s="80" t="s">
        <v>2236</v>
      </c>
      <c r="B190" s="88" t="s">
        <v>403</v>
      </c>
      <c r="C190" s="80">
        <f>VLOOKUP(GroupVertices[[#This Row],[Vertex]],Vertices[],MATCH("ID",Vertices[[#Headers],[Vertex]:[Top Word Pairs in Tweet by Salience]],0),FALSE)</f>
        <v>59</v>
      </c>
    </row>
    <row r="191" spans="1:3" ht="15">
      <c r="A191" s="80" t="s">
        <v>2236</v>
      </c>
      <c r="B191" s="88" t="s">
        <v>402</v>
      </c>
      <c r="C191" s="80">
        <f>VLOOKUP(GroupVertices[[#This Row],[Vertex]],Vertices[],MATCH("ID",Vertices[[#Headers],[Vertex]:[Top Word Pairs in Tweet by Salience]],0),FALSE)</f>
        <v>56</v>
      </c>
    </row>
    <row r="192" spans="1:3" ht="15">
      <c r="A192" s="80" t="s">
        <v>2237</v>
      </c>
      <c r="B192" s="88" t="s">
        <v>488</v>
      </c>
      <c r="C192" s="80">
        <f>VLOOKUP(GroupVertices[[#This Row],[Vertex]],Vertices[],MATCH("ID",Vertices[[#Headers],[Vertex]:[Top Word Pairs in Tweet by Salience]],0),FALSE)</f>
        <v>198</v>
      </c>
    </row>
    <row r="193" spans="1:3" ht="15">
      <c r="A193" s="80" t="s">
        <v>2237</v>
      </c>
      <c r="B193" s="88" t="s">
        <v>487</v>
      </c>
      <c r="C193" s="80">
        <f>VLOOKUP(GroupVertices[[#This Row],[Vertex]],Vertices[],MATCH("ID",Vertices[[#Headers],[Vertex]:[Top Word Pairs in Tweet by Salience]],0),FALSE)</f>
        <v>62</v>
      </c>
    </row>
    <row r="194" spans="1:3" ht="15">
      <c r="A194" s="80" t="s">
        <v>2237</v>
      </c>
      <c r="B194" s="88" t="s">
        <v>529</v>
      </c>
      <c r="C194" s="80">
        <f>VLOOKUP(GroupVertices[[#This Row],[Vertex]],Vertices[],MATCH("ID",Vertices[[#Headers],[Vertex]:[Top Word Pairs in Tweet by Salience]],0),FALSE)</f>
        <v>61</v>
      </c>
    </row>
    <row r="195" spans="1:3" ht="15">
      <c r="A195" s="80" t="s">
        <v>2237</v>
      </c>
      <c r="B195" s="88" t="s">
        <v>406</v>
      </c>
      <c r="C195" s="80">
        <f>VLOOKUP(GroupVertices[[#This Row],[Vertex]],Vertices[],MATCH("ID",Vertices[[#Headers],[Vertex]:[Top Word Pairs in Tweet by Salience]],0),FALSE)</f>
        <v>64</v>
      </c>
    </row>
    <row r="196" spans="1:3" ht="15">
      <c r="A196" s="80" t="s">
        <v>2237</v>
      </c>
      <c r="B196" s="88" t="s">
        <v>404</v>
      </c>
      <c r="C196" s="80">
        <f>VLOOKUP(GroupVertices[[#This Row],[Vertex]],Vertices[],MATCH("ID",Vertices[[#Headers],[Vertex]:[Top Word Pairs in Tweet by Salience]],0),FALSE)</f>
        <v>60</v>
      </c>
    </row>
    <row r="197" spans="1:3" ht="15">
      <c r="A197" s="80" t="s">
        <v>2238</v>
      </c>
      <c r="B197" s="88" t="s">
        <v>421</v>
      </c>
      <c r="C197" s="80">
        <f>VLOOKUP(GroupVertices[[#This Row],[Vertex]],Vertices[],MATCH("ID",Vertices[[#Headers],[Vertex]:[Top Word Pairs in Tweet by Salience]],0),FALSE)</f>
        <v>82</v>
      </c>
    </row>
    <row r="198" spans="1:3" ht="15">
      <c r="A198" s="80" t="s">
        <v>2238</v>
      </c>
      <c r="B198" s="88" t="s">
        <v>420</v>
      </c>
      <c r="C198" s="80">
        <f>VLOOKUP(GroupVertices[[#This Row],[Vertex]],Vertices[],MATCH("ID",Vertices[[#Headers],[Vertex]:[Top Word Pairs in Tweet by Salience]],0),FALSE)</f>
        <v>67</v>
      </c>
    </row>
    <row r="199" spans="1:3" ht="15">
      <c r="A199" s="80" t="s">
        <v>2238</v>
      </c>
      <c r="B199" s="88" t="s">
        <v>530</v>
      </c>
      <c r="C199" s="80">
        <f>VLOOKUP(GroupVertices[[#This Row],[Vertex]],Vertices[],MATCH("ID",Vertices[[#Headers],[Vertex]:[Top Word Pairs in Tweet by Salience]],0),FALSE)</f>
        <v>66</v>
      </c>
    </row>
    <row r="200" spans="1:3" ht="15">
      <c r="A200" s="80" t="s">
        <v>2238</v>
      </c>
      <c r="B200" s="88" t="s">
        <v>410</v>
      </c>
      <c r="C200" s="80">
        <f>VLOOKUP(GroupVertices[[#This Row],[Vertex]],Vertices[],MATCH("ID",Vertices[[#Headers],[Vertex]:[Top Word Pairs in Tweet by Salience]],0),FALSE)</f>
        <v>73</v>
      </c>
    </row>
    <row r="201" spans="1:3" ht="15">
      <c r="A201" s="80" t="s">
        <v>2238</v>
      </c>
      <c r="B201" s="88" t="s">
        <v>407</v>
      </c>
      <c r="C201" s="80">
        <f>VLOOKUP(GroupVertices[[#This Row],[Vertex]],Vertices[],MATCH("ID",Vertices[[#Headers],[Vertex]:[Top Word Pairs in Tweet by Salience]],0),FALSE)</f>
        <v>65</v>
      </c>
    </row>
    <row r="202" spans="1:3" ht="15">
      <c r="A202" s="80" t="s">
        <v>2239</v>
      </c>
      <c r="B202" s="88" t="s">
        <v>470</v>
      </c>
      <c r="C202" s="80">
        <f>VLOOKUP(GroupVertices[[#This Row],[Vertex]],Vertices[],MATCH("ID",Vertices[[#Headers],[Vertex]:[Top Word Pairs in Tweet by Salience]],0),FALSE)</f>
        <v>137</v>
      </c>
    </row>
    <row r="203" spans="1:3" ht="15">
      <c r="A203" s="80" t="s">
        <v>2239</v>
      </c>
      <c r="B203" s="88" t="s">
        <v>468</v>
      </c>
      <c r="C203" s="80">
        <f>VLOOKUP(GroupVertices[[#This Row],[Vertex]],Vertices[],MATCH("ID",Vertices[[#Headers],[Vertex]:[Top Word Pairs in Tweet by Salience]],0),FALSE)</f>
        <v>134</v>
      </c>
    </row>
    <row r="204" spans="1:3" ht="15">
      <c r="A204" s="80" t="s">
        <v>2239</v>
      </c>
      <c r="B204" s="88" t="s">
        <v>535</v>
      </c>
      <c r="C204" s="80">
        <f>VLOOKUP(GroupVertices[[#This Row],[Vertex]],Vertices[],MATCH("ID",Vertices[[#Headers],[Vertex]:[Top Word Pairs in Tweet by Salience]],0),FALSE)</f>
        <v>136</v>
      </c>
    </row>
    <row r="205" spans="1:3" ht="15">
      <c r="A205" s="80" t="s">
        <v>2239</v>
      </c>
      <c r="B205" s="88" t="s">
        <v>469</v>
      </c>
      <c r="C205" s="80">
        <f>VLOOKUP(GroupVertices[[#This Row],[Vertex]],Vertices[],MATCH("ID",Vertices[[#Headers],[Vertex]:[Top Word Pairs in Tweet by Salience]],0),FALSE)</f>
        <v>135</v>
      </c>
    </row>
    <row r="206" spans="1:3" ht="15">
      <c r="A206" s="80" t="s">
        <v>2240</v>
      </c>
      <c r="B206" s="88" t="s">
        <v>393</v>
      </c>
      <c r="C206" s="80">
        <f>VLOOKUP(GroupVertices[[#This Row],[Vertex]],Vertices[],MATCH("ID",Vertices[[#Headers],[Vertex]:[Top Word Pairs in Tweet by Salience]],0),FALSE)</f>
        <v>45</v>
      </c>
    </row>
    <row r="207" spans="1:3" ht="15">
      <c r="A207" s="80" t="s">
        <v>2240</v>
      </c>
      <c r="B207" s="88" t="s">
        <v>392</v>
      </c>
      <c r="C207" s="80">
        <f>VLOOKUP(GroupVertices[[#This Row],[Vertex]],Vertices[],MATCH("ID",Vertices[[#Headers],[Vertex]:[Top Word Pairs in Tweet by Salience]],0),FALSE)</f>
        <v>38</v>
      </c>
    </row>
    <row r="208" spans="1:3" ht="15">
      <c r="A208" s="80" t="s">
        <v>2240</v>
      </c>
      <c r="B208" s="88" t="s">
        <v>523</v>
      </c>
      <c r="C208" s="80">
        <f>VLOOKUP(GroupVertices[[#This Row],[Vertex]],Vertices[],MATCH("ID",Vertices[[#Headers],[Vertex]:[Top Word Pairs in Tweet by Salience]],0),FALSE)</f>
        <v>37</v>
      </c>
    </row>
    <row r="209" spans="1:3" ht="15">
      <c r="A209" s="80" t="s">
        <v>2240</v>
      </c>
      <c r="B209" s="88" t="s">
        <v>387</v>
      </c>
      <c r="C209" s="80">
        <f>VLOOKUP(GroupVertices[[#This Row],[Vertex]],Vertices[],MATCH("ID",Vertices[[#Headers],[Vertex]:[Top Word Pairs in Tweet by Salience]],0),FALSE)</f>
        <v>36</v>
      </c>
    </row>
    <row r="210" spans="1:3" ht="15">
      <c r="A210" s="80" t="s">
        <v>2241</v>
      </c>
      <c r="B210" s="88" t="s">
        <v>374</v>
      </c>
      <c r="C210" s="80">
        <f>VLOOKUP(GroupVertices[[#This Row],[Vertex]],Vertices[],MATCH("ID",Vertices[[#Headers],[Vertex]:[Top Word Pairs in Tweet by Salience]],0),FALSE)</f>
        <v>17</v>
      </c>
    </row>
    <row r="211" spans="1:3" ht="15">
      <c r="A211" s="80" t="s">
        <v>2241</v>
      </c>
      <c r="B211" s="88" t="s">
        <v>520</v>
      </c>
      <c r="C211" s="80">
        <f>VLOOKUP(GroupVertices[[#This Row],[Vertex]],Vertices[],MATCH("ID",Vertices[[#Headers],[Vertex]:[Top Word Pairs in Tweet by Salience]],0),FALSE)</f>
        <v>18</v>
      </c>
    </row>
    <row r="212" spans="1:3" ht="15">
      <c r="A212" s="80" t="s">
        <v>2241</v>
      </c>
      <c r="B212" s="88" t="s">
        <v>373</v>
      </c>
      <c r="C212" s="80">
        <f>VLOOKUP(GroupVertices[[#This Row],[Vertex]],Vertices[],MATCH("ID",Vertices[[#Headers],[Vertex]:[Top Word Pairs in Tweet by Salience]],0),FALSE)</f>
        <v>15</v>
      </c>
    </row>
    <row r="213" spans="1:3" ht="15">
      <c r="A213" s="80" t="s">
        <v>2241</v>
      </c>
      <c r="B213" s="88" t="s">
        <v>519</v>
      </c>
      <c r="C213" s="80">
        <f>VLOOKUP(GroupVertices[[#This Row],[Vertex]],Vertices[],MATCH("ID",Vertices[[#Headers],[Vertex]:[Top Word Pairs in Tweet by Salience]],0),FALSE)</f>
        <v>16</v>
      </c>
    </row>
    <row r="214" spans="1:3" ht="15">
      <c r="A214" s="80" t="s">
        <v>2242</v>
      </c>
      <c r="B214" s="88" t="s">
        <v>508</v>
      </c>
      <c r="C214" s="80">
        <f>VLOOKUP(GroupVertices[[#This Row],[Vertex]],Vertices[],MATCH("ID",Vertices[[#Headers],[Vertex]:[Top Word Pairs in Tweet by Salience]],0),FALSE)</f>
        <v>221</v>
      </c>
    </row>
    <row r="215" spans="1:3" ht="15">
      <c r="A215" s="80" t="s">
        <v>2242</v>
      </c>
      <c r="B215" s="88" t="s">
        <v>507</v>
      </c>
      <c r="C215" s="80">
        <f>VLOOKUP(GroupVertices[[#This Row],[Vertex]],Vertices[],MATCH("ID",Vertices[[#Headers],[Vertex]:[Top Word Pairs in Tweet by Salience]],0),FALSE)</f>
        <v>219</v>
      </c>
    </row>
    <row r="216" spans="1:3" ht="15">
      <c r="A216" s="80" t="s">
        <v>2242</v>
      </c>
      <c r="B216" s="88" t="s">
        <v>585</v>
      </c>
      <c r="C216" s="80">
        <f>VLOOKUP(GroupVertices[[#This Row],[Vertex]],Vertices[],MATCH("ID",Vertices[[#Headers],[Vertex]:[Top Word Pairs in Tweet by Salience]],0),FALSE)</f>
        <v>220</v>
      </c>
    </row>
    <row r="217" spans="1:3" ht="15">
      <c r="A217" s="80" t="s">
        <v>2243</v>
      </c>
      <c r="B217" s="88" t="s">
        <v>505</v>
      </c>
      <c r="C217" s="80">
        <f>VLOOKUP(GroupVertices[[#This Row],[Vertex]],Vertices[],MATCH("ID",Vertices[[#Headers],[Vertex]:[Top Word Pairs in Tweet by Salience]],0),FALSE)</f>
        <v>217</v>
      </c>
    </row>
    <row r="218" spans="1:3" ht="15">
      <c r="A218" s="80" t="s">
        <v>2243</v>
      </c>
      <c r="B218" s="88" t="s">
        <v>504</v>
      </c>
      <c r="C218" s="80">
        <f>VLOOKUP(GroupVertices[[#This Row],[Vertex]],Vertices[],MATCH("ID",Vertices[[#Headers],[Vertex]:[Top Word Pairs in Tweet by Salience]],0),FALSE)</f>
        <v>215</v>
      </c>
    </row>
    <row r="219" spans="1:3" ht="15">
      <c r="A219" s="80" t="s">
        <v>2243</v>
      </c>
      <c r="B219" s="88" t="s">
        <v>584</v>
      </c>
      <c r="C219" s="80">
        <f>VLOOKUP(GroupVertices[[#This Row],[Vertex]],Vertices[],MATCH("ID",Vertices[[#Headers],[Vertex]:[Top Word Pairs in Tweet by Salience]],0),FALSE)</f>
        <v>216</v>
      </c>
    </row>
    <row r="220" spans="1:3" ht="15">
      <c r="A220" s="80" t="s">
        <v>2244</v>
      </c>
      <c r="B220" s="88" t="s">
        <v>424</v>
      </c>
      <c r="C220" s="80">
        <f>VLOOKUP(GroupVertices[[#This Row],[Vertex]],Vertices[],MATCH("ID",Vertices[[#Headers],[Vertex]:[Top Word Pairs in Tweet by Salience]],0),FALSE)</f>
        <v>86</v>
      </c>
    </row>
    <row r="221" spans="1:3" ht="15">
      <c r="A221" s="80" t="s">
        <v>2244</v>
      </c>
      <c r="B221" s="88" t="s">
        <v>423</v>
      </c>
      <c r="C221" s="80">
        <f>VLOOKUP(GroupVertices[[#This Row],[Vertex]],Vertices[],MATCH("ID",Vertices[[#Headers],[Vertex]:[Top Word Pairs in Tweet by Salience]],0),FALSE)</f>
        <v>84</v>
      </c>
    </row>
    <row r="222" spans="1:3" ht="15">
      <c r="A222" s="80" t="s">
        <v>2244</v>
      </c>
      <c r="B222" s="88" t="s">
        <v>533</v>
      </c>
      <c r="C222" s="80">
        <f>VLOOKUP(GroupVertices[[#This Row],[Vertex]],Vertices[],MATCH("ID",Vertices[[#Headers],[Vertex]:[Top Word Pairs in Tweet by Salience]],0),FALSE)</f>
        <v>85</v>
      </c>
    </row>
    <row r="223" spans="1:3" ht="15">
      <c r="A223" s="80" t="s">
        <v>2245</v>
      </c>
      <c r="B223" s="88" t="s">
        <v>459</v>
      </c>
      <c r="C223" s="80">
        <f>VLOOKUP(GroupVertices[[#This Row],[Vertex]],Vertices[],MATCH("ID",Vertices[[#Headers],[Vertex]:[Top Word Pairs in Tweet by Salience]],0),FALSE)</f>
        <v>125</v>
      </c>
    </row>
    <row r="224" spans="1:3" ht="15">
      <c r="A224" s="80" t="s">
        <v>2245</v>
      </c>
      <c r="B224" s="88" t="s">
        <v>458</v>
      </c>
      <c r="C224" s="80">
        <f>VLOOKUP(GroupVertices[[#This Row],[Vertex]],Vertices[],MATCH("ID",Vertices[[#Headers],[Vertex]:[Top Word Pairs in Tweet by Salience]],0),FALSE)</f>
        <v>124</v>
      </c>
    </row>
  </sheetData>
  <dataValidations count="3" xWindow="58" yWindow="226">
    <dataValidation allowBlank="1" showInputMessage="1" showErrorMessage="1" promptTitle="Group Name" prompt="Enter the name of the group.  The group name must also be entered on the Groups worksheet." sqref="A2:A224"/>
    <dataValidation allowBlank="1" showInputMessage="1" showErrorMessage="1" promptTitle="Vertex Name" prompt="Enter the name of a vertex to include in the group." sqref="B2:B224"/>
    <dataValidation allowBlank="1" showInputMessage="1" promptTitle="Vertex ID" prompt="This is the value of the hidden ID cell in the Vertices worksheet.  It gets filled in by the items on the NodeXL, Analysis, Groups menu." sqref="C2:C2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2692</v>
      </c>
      <c r="B2" s="34" t="s">
        <v>300</v>
      </c>
      <c r="D2" s="31">
        <f>MIN(Vertices[Degree])</f>
        <v>0</v>
      </c>
      <c r="E2" s="3">
        <f>COUNTIF(Vertices[Degree],"&gt;= "&amp;D2)-COUNTIF(Vertices[Degree],"&gt;="&amp;D3)</f>
        <v>0</v>
      </c>
      <c r="F2" s="37">
        <f>MIN(Vertices[In-Degree])</f>
        <v>0</v>
      </c>
      <c r="G2" s="38">
        <f>COUNTIF(Vertices[In-Degree],"&gt;= "&amp;F2)-COUNTIF(Vertices[In-Degree],"&gt;="&amp;F3)</f>
        <v>124</v>
      </c>
      <c r="H2" s="37">
        <f>MIN(Vertices[Out-Degree])</f>
        <v>0</v>
      </c>
      <c r="I2" s="38">
        <f>COUNTIF(Vertices[Out-Degree],"&gt;= "&amp;H2)-COUNTIF(Vertices[Out-Degree],"&gt;="&amp;H3)</f>
        <v>67</v>
      </c>
      <c r="J2" s="37">
        <f>MIN(Vertices[Betweenness Centrality])</f>
        <v>0</v>
      </c>
      <c r="K2" s="38">
        <f>COUNTIF(Vertices[Betweenness Centrality],"&gt;= "&amp;J2)-COUNTIF(Vertices[Betweenness Centrality],"&gt;="&amp;J3)</f>
        <v>212</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183</v>
      </c>
      <c r="P2" s="37">
        <f>MIN(Vertices[PageRank])</f>
        <v>0.359282</v>
      </c>
      <c r="Q2" s="38">
        <f>COUNTIF(Vertices[PageRank],"&gt;= "&amp;P2)-COUNTIF(Vertices[PageRank],"&gt;="&amp;P3)</f>
        <v>161</v>
      </c>
      <c r="R2" s="37">
        <f>MIN(Vertices[Clustering Coefficient])</f>
        <v>0</v>
      </c>
      <c r="S2" s="43">
        <f>COUNTIF(Vertices[Clustering Coefficient],"&gt;= "&amp;R2)-COUNTIF(Vertices[Clustering Coefficient],"&gt;="&amp;R3)</f>
        <v>85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0.8333333333333334</v>
      </c>
      <c r="G3" s="40">
        <f>COUNTIF(Vertices[In-Degree],"&gt;= "&amp;F3)-COUNTIF(Vertices[In-Degree],"&gt;="&amp;F4)</f>
        <v>56</v>
      </c>
      <c r="H3" s="39">
        <f aca="true" t="shared" si="3" ref="H3:H26">H2+($H$50-$H$2)/BinDivisor</f>
        <v>0.9583333333333334</v>
      </c>
      <c r="I3" s="40">
        <f>COUNTIF(Vertices[Out-Degree],"&gt;= "&amp;H3)-COUNTIF(Vertices[Out-Degree],"&gt;="&amp;H4)</f>
        <v>39</v>
      </c>
      <c r="J3" s="39">
        <f aca="true" t="shared" si="4" ref="J3:J26">J2+($J$50-$J$2)/BinDivisor</f>
        <v>44.604166666666664</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44</v>
      </c>
      <c r="N3" s="39">
        <f aca="true" t="shared" si="6" ref="N3:N26">N2+($N$50-$N$2)/BinDivisor</f>
        <v>0.0022287708333333335</v>
      </c>
      <c r="O3" s="40">
        <f>COUNTIF(Vertices[Eigenvector Centrality],"&gt;= "&amp;N3)-COUNTIF(Vertices[Eigenvector Centrality],"&gt;="&amp;N4)</f>
        <v>0</v>
      </c>
      <c r="P3" s="39">
        <f aca="true" t="shared" si="7" ref="P3:P26">P2+($P$50-$P$2)/BinDivisor</f>
        <v>0.769479625</v>
      </c>
      <c r="Q3" s="40">
        <f>COUNTIF(Vertices[PageRank],"&gt;= "&amp;P3)-COUNTIF(Vertices[PageRank],"&gt;="&amp;P4)</f>
        <v>31</v>
      </c>
      <c r="R3" s="39">
        <f aca="true" t="shared" si="8" ref="R3:R26">R2+($R$50-$R$2)/BinDivisor</f>
        <v>0.020833333333333332</v>
      </c>
      <c r="S3" s="44">
        <f>COUNTIF(Vertices[Clustering Coefficient],"&gt;= "&amp;R3)-COUNTIF(Vertices[Clustering Coefficient],"&gt;="&amp;R4)</f>
        <v>4</v>
      </c>
      <c r="T3" s="39" t="e">
        <f aca="true" t="shared" si="9" ref="T3:T26">T2+($T$50-$T$2)/BinDivisor</f>
        <v>#REF!</v>
      </c>
      <c r="U3" s="40" t="e">
        <f ca="1" t="shared" si="0"/>
        <v>#REF!</v>
      </c>
      <c r="W3" t="s">
        <v>125</v>
      </c>
      <c r="X3" t="s">
        <v>85</v>
      </c>
    </row>
    <row r="4" spans="1:24" ht="15">
      <c r="A4" s="34" t="s">
        <v>146</v>
      </c>
      <c r="B4" s="34">
        <v>223</v>
      </c>
      <c r="D4" s="32">
        <f t="shared" si="1"/>
        <v>0</v>
      </c>
      <c r="E4" s="3">
        <f>COUNTIF(Vertices[Degree],"&gt;= "&amp;D4)-COUNTIF(Vertices[Degree],"&gt;="&amp;D5)</f>
        <v>0</v>
      </c>
      <c r="F4" s="37">
        <f t="shared" si="2"/>
        <v>1.6666666666666667</v>
      </c>
      <c r="G4" s="38">
        <f>COUNTIF(Vertices[In-Degree],"&gt;= "&amp;F4)-COUNTIF(Vertices[In-Degree],"&gt;="&amp;F5)</f>
        <v>17</v>
      </c>
      <c r="H4" s="37">
        <f t="shared" si="3"/>
        <v>1.9166666666666667</v>
      </c>
      <c r="I4" s="38">
        <f>COUNTIF(Vertices[Out-Degree],"&gt;= "&amp;H4)-COUNTIF(Vertices[Out-Degree],"&gt;="&amp;H5)</f>
        <v>86</v>
      </c>
      <c r="J4" s="37">
        <f t="shared" si="4"/>
        <v>89.20833333333333</v>
      </c>
      <c r="K4" s="38">
        <f>COUNTIF(Vertices[Betweenness Centrality],"&gt;= "&amp;J4)-COUNTIF(Vertices[Betweenness Centrality],"&gt;="&amp;J5)</f>
        <v>2</v>
      </c>
      <c r="L4" s="37">
        <f t="shared" si="5"/>
        <v>0.041666666666666664</v>
      </c>
      <c r="M4" s="38">
        <f>COUNTIF(Vertices[Closeness Centrality],"&gt;= "&amp;L4)-COUNTIF(Vertices[Closeness Centrality],"&gt;="&amp;L5)</f>
        <v>3</v>
      </c>
      <c r="N4" s="37">
        <f t="shared" si="6"/>
        <v>0.004457541666666667</v>
      </c>
      <c r="O4" s="38">
        <f>COUNTIF(Vertices[Eigenvector Centrality],"&gt;= "&amp;N4)-COUNTIF(Vertices[Eigenvector Centrality],"&gt;="&amp;N5)</f>
        <v>0</v>
      </c>
      <c r="P4" s="37">
        <f t="shared" si="7"/>
        <v>1.17967725</v>
      </c>
      <c r="Q4" s="38">
        <f>COUNTIF(Vertices[PageRank],"&gt;= "&amp;P4)-COUNTIF(Vertices[PageRank],"&gt;="&amp;P5)</f>
        <v>16</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2.5</v>
      </c>
      <c r="G5" s="40">
        <f>COUNTIF(Vertices[In-Degree],"&gt;= "&amp;F5)-COUNTIF(Vertices[In-Degree],"&gt;="&amp;F6)</f>
        <v>7</v>
      </c>
      <c r="H5" s="39">
        <f t="shared" si="3"/>
        <v>2.875</v>
      </c>
      <c r="I5" s="40">
        <f>COUNTIF(Vertices[Out-Degree],"&gt;= "&amp;H5)-COUNTIF(Vertices[Out-Degree],"&gt;="&amp;H6)</f>
        <v>25</v>
      </c>
      <c r="J5" s="39">
        <f t="shared" si="4"/>
        <v>133.8125</v>
      </c>
      <c r="K5" s="40">
        <f>COUNTIF(Vertices[Betweenness Centrality],"&gt;= "&amp;J5)-COUNTIF(Vertices[Betweenness Centrality],"&gt;="&amp;J6)</f>
        <v>2</v>
      </c>
      <c r="L5" s="39">
        <f t="shared" si="5"/>
        <v>0.0625</v>
      </c>
      <c r="M5" s="40">
        <f>COUNTIF(Vertices[Closeness Centrality],"&gt;= "&amp;L5)-COUNTIF(Vertices[Closeness Centrality],"&gt;="&amp;L6)</f>
        <v>8</v>
      </c>
      <c r="N5" s="39">
        <f t="shared" si="6"/>
        <v>0.0066863125</v>
      </c>
      <c r="O5" s="40">
        <f>COUNTIF(Vertices[Eigenvector Centrality],"&gt;= "&amp;N5)-COUNTIF(Vertices[Eigenvector Centrality],"&gt;="&amp;N6)</f>
        <v>0</v>
      </c>
      <c r="P5" s="39">
        <f t="shared" si="7"/>
        <v>1.5898748749999998</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338</v>
      </c>
      <c r="D6" s="32">
        <f t="shared" si="1"/>
        <v>0</v>
      </c>
      <c r="E6" s="3">
        <f>COUNTIF(Vertices[Degree],"&gt;= "&amp;D6)-COUNTIF(Vertices[Degree],"&gt;="&amp;D7)</f>
        <v>0</v>
      </c>
      <c r="F6" s="37">
        <f t="shared" si="2"/>
        <v>3.3333333333333335</v>
      </c>
      <c r="G6" s="38">
        <f>COUNTIF(Vertices[In-Degree],"&gt;= "&amp;F6)-COUNTIF(Vertices[In-Degree],"&gt;="&amp;F7)</f>
        <v>4</v>
      </c>
      <c r="H6" s="37">
        <f t="shared" si="3"/>
        <v>3.8333333333333335</v>
      </c>
      <c r="I6" s="38">
        <f>COUNTIF(Vertices[Out-Degree],"&gt;= "&amp;H6)-COUNTIF(Vertices[Out-Degree],"&gt;="&amp;H7)</f>
        <v>3</v>
      </c>
      <c r="J6" s="37">
        <f t="shared" si="4"/>
        <v>178.41666666666666</v>
      </c>
      <c r="K6" s="38">
        <f>COUNTIF(Vertices[Betweenness Centrality],"&gt;= "&amp;J6)-COUNTIF(Vertices[Betweenness Centrality],"&gt;="&amp;J7)</f>
        <v>0</v>
      </c>
      <c r="L6" s="37">
        <f t="shared" si="5"/>
        <v>0.08333333333333333</v>
      </c>
      <c r="M6" s="38">
        <f>COUNTIF(Vertices[Closeness Centrality],"&gt;= "&amp;L6)-COUNTIF(Vertices[Closeness Centrality],"&gt;="&amp;L7)</f>
        <v>5</v>
      </c>
      <c r="N6" s="37">
        <f t="shared" si="6"/>
        <v>0.008915083333333334</v>
      </c>
      <c r="O6" s="38">
        <f>COUNTIF(Vertices[Eigenvector Centrality],"&gt;= "&amp;N6)-COUNTIF(Vertices[Eigenvector Centrality],"&gt;="&amp;N7)</f>
        <v>0</v>
      </c>
      <c r="P6" s="37">
        <f t="shared" si="7"/>
        <v>2.0000725</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81</v>
      </c>
      <c r="D7" s="32">
        <f t="shared" si="1"/>
        <v>0</v>
      </c>
      <c r="E7" s="3">
        <f>COUNTIF(Vertices[Degree],"&gt;= "&amp;D7)-COUNTIF(Vertices[Degree],"&gt;="&amp;D8)</f>
        <v>0</v>
      </c>
      <c r="F7" s="39">
        <f t="shared" si="2"/>
        <v>4.166666666666667</v>
      </c>
      <c r="G7" s="40">
        <f>COUNTIF(Vertices[In-Degree],"&gt;= "&amp;F7)-COUNTIF(Vertices[In-Degree],"&gt;="&amp;F8)</f>
        <v>0</v>
      </c>
      <c r="H7" s="39">
        <f t="shared" si="3"/>
        <v>4.791666666666667</v>
      </c>
      <c r="I7" s="40">
        <f>COUNTIF(Vertices[Out-Degree],"&gt;= "&amp;H7)-COUNTIF(Vertices[Out-Degree],"&gt;="&amp;H8)</f>
        <v>1</v>
      </c>
      <c r="J7" s="39">
        <f t="shared" si="4"/>
        <v>223.02083333333331</v>
      </c>
      <c r="K7" s="40">
        <f>COUNTIF(Vertices[Betweenness Centrality],"&gt;= "&amp;J7)-COUNTIF(Vertices[Betweenness Centrality],"&gt;="&amp;J8)</f>
        <v>2</v>
      </c>
      <c r="L7" s="39">
        <f t="shared" si="5"/>
        <v>0.10416666666666666</v>
      </c>
      <c r="M7" s="40">
        <f>COUNTIF(Vertices[Closeness Centrality],"&gt;= "&amp;L7)-COUNTIF(Vertices[Closeness Centrality],"&gt;="&amp;L8)</f>
        <v>5</v>
      </c>
      <c r="N7" s="39">
        <f t="shared" si="6"/>
        <v>0.011143854166666668</v>
      </c>
      <c r="O7" s="40">
        <f>COUNTIF(Vertices[Eigenvector Centrality],"&gt;= "&amp;N7)-COUNTIF(Vertices[Eigenvector Centrality],"&gt;="&amp;N8)</f>
        <v>2</v>
      </c>
      <c r="P7" s="39">
        <f t="shared" si="7"/>
        <v>2.410270125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419</v>
      </c>
      <c r="D8" s="32">
        <f t="shared" si="1"/>
        <v>0</v>
      </c>
      <c r="E8" s="3">
        <f>COUNTIF(Vertices[Degree],"&gt;= "&amp;D8)-COUNTIF(Vertices[Degree],"&gt;="&amp;D9)</f>
        <v>0</v>
      </c>
      <c r="F8" s="37">
        <f t="shared" si="2"/>
        <v>5</v>
      </c>
      <c r="G8" s="38">
        <f>COUNTIF(Vertices[In-Degree],"&gt;= "&amp;F8)-COUNTIF(Vertices[In-Degree],"&gt;="&amp;F9)</f>
        <v>1</v>
      </c>
      <c r="H8" s="37">
        <f t="shared" si="3"/>
        <v>5.75</v>
      </c>
      <c r="I8" s="38">
        <f>COUNTIF(Vertices[Out-Degree],"&gt;= "&amp;H8)-COUNTIF(Vertices[Out-Degree],"&gt;="&amp;H9)</f>
        <v>0</v>
      </c>
      <c r="J8" s="37">
        <f t="shared" si="4"/>
        <v>267.625</v>
      </c>
      <c r="K8" s="38">
        <f>COUNTIF(Vertices[Betweenness Centrality],"&gt;= "&amp;J8)-COUNTIF(Vertices[Betweenness Centrality],"&gt;="&amp;J9)</f>
        <v>1</v>
      </c>
      <c r="L8" s="37">
        <f t="shared" si="5"/>
        <v>0.12499999999999999</v>
      </c>
      <c r="M8" s="38">
        <f>COUNTIF(Vertices[Closeness Centrality],"&gt;= "&amp;L8)-COUNTIF(Vertices[Closeness Centrality],"&gt;="&amp;L9)</f>
        <v>4</v>
      </c>
      <c r="N8" s="37">
        <f t="shared" si="6"/>
        <v>0.013372625000000003</v>
      </c>
      <c r="O8" s="38">
        <f>COUNTIF(Vertices[Eigenvector Centrality],"&gt;= "&amp;N8)-COUNTIF(Vertices[Eigenvector Centrality],"&gt;="&amp;N9)</f>
        <v>0</v>
      </c>
      <c r="P8" s="37">
        <f t="shared" si="7"/>
        <v>2.8204677499999997</v>
      </c>
      <c r="Q8" s="38">
        <f>COUNTIF(Vertices[PageRank],"&gt;= "&amp;P8)-COUNTIF(Vertices[PageRank],"&gt;="&amp;P9)</f>
        <v>1</v>
      </c>
      <c r="R8" s="37">
        <f t="shared" si="8"/>
        <v>0.12499999999999999</v>
      </c>
      <c r="S8" s="43">
        <f>COUNTIF(Vertices[Clustering Coefficient],"&gt;= "&amp;R8)-COUNTIF(Vertices[Clustering Coefficient],"&gt;="&amp;R9)</f>
        <v>3</v>
      </c>
      <c r="T8" s="37" t="e">
        <f ca="1" t="shared" si="9"/>
        <v>#REF!</v>
      </c>
      <c r="U8" s="38" t="e">
        <f ca="1" t="shared" si="0"/>
        <v>#REF!</v>
      </c>
    </row>
    <row r="9" spans="1:21" ht="15">
      <c r="A9" s="124"/>
      <c r="B9" s="124"/>
      <c r="D9" s="32">
        <f t="shared" si="1"/>
        <v>0</v>
      </c>
      <c r="E9" s="3">
        <f>COUNTIF(Vertices[Degree],"&gt;= "&amp;D9)-COUNTIF(Vertices[Degree],"&gt;="&amp;D10)</f>
        <v>0</v>
      </c>
      <c r="F9" s="39">
        <f t="shared" si="2"/>
        <v>5.833333333333333</v>
      </c>
      <c r="G9" s="40">
        <f>COUNTIF(Vertices[In-Degree],"&gt;= "&amp;F9)-COUNTIF(Vertices[In-Degree],"&gt;="&amp;F10)</f>
        <v>3</v>
      </c>
      <c r="H9" s="39">
        <f t="shared" si="3"/>
        <v>6.708333333333333</v>
      </c>
      <c r="I9" s="40">
        <f>COUNTIF(Vertices[Out-Degree],"&gt;= "&amp;H9)-COUNTIF(Vertices[Out-Degree],"&gt;="&amp;H10)</f>
        <v>0</v>
      </c>
      <c r="J9" s="39">
        <f t="shared" si="4"/>
        <v>312.2291666666667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0.015601395833333337</v>
      </c>
      <c r="O9" s="40">
        <f>COUNTIF(Vertices[Eigenvector Centrality],"&gt;= "&amp;N9)-COUNTIF(Vertices[Eigenvector Centrality],"&gt;="&amp;N10)</f>
        <v>0</v>
      </c>
      <c r="P9" s="39">
        <f t="shared" si="7"/>
        <v>3.2306653749999996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2693</v>
      </c>
      <c r="B10" s="34">
        <v>4</v>
      </c>
      <c r="D10" s="32">
        <f t="shared" si="1"/>
        <v>0</v>
      </c>
      <c r="E10" s="3">
        <f>COUNTIF(Vertices[Degree],"&gt;= "&amp;D10)-COUNTIF(Vertices[Degree],"&gt;="&amp;D11)</f>
        <v>0</v>
      </c>
      <c r="F10" s="37">
        <f t="shared" si="2"/>
        <v>6.666666666666666</v>
      </c>
      <c r="G10" s="38">
        <f>COUNTIF(Vertices[In-Degree],"&gt;= "&amp;F10)-COUNTIF(Vertices[In-Degree],"&gt;="&amp;F11)</f>
        <v>2</v>
      </c>
      <c r="H10" s="37">
        <f t="shared" si="3"/>
        <v>7.666666666666666</v>
      </c>
      <c r="I10" s="38">
        <f>COUNTIF(Vertices[Out-Degree],"&gt;= "&amp;H10)-COUNTIF(Vertices[Out-Degree],"&gt;="&amp;H11)</f>
        <v>0</v>
      </c>
      <c r="J10" s="37">
        <f t="shared" si="4"/>
        <v>356.83333333333337</v>
      </c>
      <c r="K10" s="38">
        <f>COUNTIF(Vertices[Betweenness Centrality],"&gt;= "&amp;J10)-COUNTIF(Vertices[Betweenness Centrality],"&gt;="&amp;J11)</f>
        <v>0</v>
      </c>
      <c r="L10" s="37">
        <f t="shared" si="5"/>
        <v>0.16666666666666666</v>
      </c>
      <c r="M10" s="38">
        <f>COUNTIF(Vertices[Closeness Centrality],"&gt;= "&amp;L10)-COUNTIF(Vertices[Closeness Centrality],"&gt;="&amp;L11)</f>
        <v>9</v>
      </c>
      <c r="N10" s="37">
        <f t="shared" si="6"/>
        <v>0.01783016666666667</v>
      </c>
      <c r="O10" s="38">
        <f>COUNTIF(Vertices[Eigenvector Centrality],"&gt;= "&amp;N10)-COUNTIF(Vertices[Eigenvector Centrality],"&gt;="&amp;N11)</f>
        <v>0</v>
      </c>
      <c r="P10" s="37">
        <f t="shared" si="7"/>
        <v>3.6408629999999995</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7.499999999999999</v>
      </c>
      <c r="G11" s="40">
        <f>COUNTIF(Vertices[In-Degree],"&gt;= "&amp;F11)-COUNTIF(Vertices[In-Degree],"&gt;="&amp;F12)</f>
        <v>0</v>
      </c>
      <c r="H11" s="39">
        <f t="shared" si="3"/>
        <v>8.625</v>
      </c>
      <c r="I11" s="40">
        <f>COUNTIF(Vertices[Out-Degree],"&gt;= "&amp;H11)-COUNTIF(Vertices[Out-Degree],"&gt;="&amp;H12)</f>
        <v>1</v>
      </c>
      <c r="J11" s="39">
        <f t="shared" si="4"/>
        <v>401.43750000000006</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0.020058937500000006</v>
      </c>
      <c r="O11" s="40">
        <f>COUNTIF(Vertices[Eigenvector Centrality],"&gt;= "&amp;N11)-COUNTIF(Vertices[Eigenvector Centrality],"&gt;="&amp;N12)</f>
        <v>36</v>
      </c>
      <c r="P11" s="39">
        <f t="shared" si="7"/>
        <v>4.051060625</v>
      </c>
      <c r="Q11" s="40">
        <f>COUNTIF(Vertices[PageRank],"&gt;= "&amp;P11)-COUNTIF(Vertices[PageRank],"&gt;="&amp;P12)</f>
        <v>1</v>
      </c>
      <c r="R11" s="39">
        <f t="shared" si="8"/>
        <v>0.1875</v>
      </c>
      <c r="S11" s="44">
        <f>COUNTIF(Vertices[Clustering Coefficient],"&gt;= "&amp;R11)-COUNTIF(Vertices[Clustering Coefficient],"&gt;="&amp;R12)</f>
        <v>1</v>
      </c>
      <c r="T11" s="39" t="e">
        <f ca="1" t="shared" si="9"/>
        <v>#REF!</v>
      </c>
      <c r="U11" s="40" t="e">
        <f ca="1" t="shared" si="0"/>
        <v>#REF!</v>
      </c>
    </row>
    <row r="12" spans="1:21" ht="15">
      <c r="A12" s="34" t="s">
        <v>586</v>
      </c>
      <c r="B12" s="34">
        <v>124</v>
      </c>
      <c r="D12" s="32">
        <f t="shared" si="1"/>
        <v>0</v>
      </c>
      <c r="E12" s="3">
        <f>COUNTIF(Vertices[Degree],"&gt;= "&amp;D12)-COUNTIF(Vertices[Degree],"&gt;="&amp;D13)</f>
        <v>0</v>
      </c>
      <c r="F12" s="37">
        <f t="shared" si="2"/>
        <v>8.333333333333332</v>
      </c>
      <c r="G12" s="38">
        <f>COUNTIF(Vertices[In-Degree],"&gt;= "&amp;F12)-COUNTIF(Vertices[In-Degree],"&gt;="&amp;F13)</f>
        <v>1</v>
      </c>
      <c r="H12" s="37">
        <f t="shared" si="3"/>
        <v>9.583333333333334</v>
      </c>
      <c r="I12" s="38">
        <f>COUNTIF(Vertices[Out-Degree],"&gt;= "&amp;H12)-COUNTIF(Vertices[Out-Degree],"&gt;="&amp;H13)</f>
        <v>0</v>
      </c>
      <c r="J12" s="37">
        <f t="shared" si="4"/>
        <v>446.04166666666674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0.02228770833333334</v>
      </c>
      <c r="O12" s="38">
        <f>COUNTIF(Vertices[Eigenvector Centrality],"&gt;= "&amp;N12)-COUNTIF(Vertices[Eigenvector Centrality],"&gt;="&amp;N13)</f>
        <v>0</v>
      </c>
      <c r="P12" s="37">
        <f t="shared" si="7"/>
        <v>4.46125825</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588</v>
      </c>
      <c r="B13" s="34">
        <v>130</v>
      </c>
      <c r="D13" s="32">
        <f t="shared" si="1"/>
        <v>0</v>
      </c>
      <c r="E13" s="3">
        <f>COUNTIF(Vertices[Degree],"&gt;= "&amp;D13)-COUNTIF(Vertices[Degree],"&gt;="&amp;D14)</f>
        <v>0</v>
      </c>
      <c r="F13" s="39">
        <f t="shared" si="2"/>
        <v>9.166666666666666</v>
      </c>
      <c r="G13" s="40">
        <f>COUNTIF(Vertices[In-Degree],"&gt;= "&amp;F13)-COUNTIF(Vertices[In-Degree],"&gt;="&amp;F14)</f>
        <v>0</v>
      </c>
      <c r="H13" s="39">
        <f t="shared" si="3"/>
        <v>10.541666666666668</v>
      </c>
      <c r="I13" s="40">
        <f>COUNTIF(Vertices[Out-Degree],"&gt;= "&amp;H13)-COUNTIF(Vertices[Out-Degree],"&gt;="&amp;H14)</f>
        <v>0</v>
      </c>
      <c r="J13" s="39">
        <f t="shared" si="4"/>
        <v>490.6458333333334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0.024516479166666674</v>
      </c>
      <c r="O13" s="40">
        <f>COUNTIF(Vertices[Eigenvector Centrality],"&gt;= "&amp;N13)-COUNTIF(Vertices[Eigenvector Centrality],"&gt;="&amp;N14)</f>
        <v>0</v>
      </c>
      <c r="P13" s="39">
        <f t="shared" si="7"/>
        <v>4.8714558750000005</v>
      </c>
      <c r="Q13" s="40">
        <f>COUNTIF(Vertices[PageRank],"&gt;= "&amp;P13)-COUNTIF(Vertices[PageRank],"&gt;="&amp;P14)</f>
        <v>3</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325</v>
      </c>
      <c r="B14" s="34">
        <v>16</v>
      </c>
      <c r="D14" s="32">
        <f t="shared" si="1"/>
        <v>0</v>
      </c>
      <c r="E14" s="3">
        <f>COUNTIF(Vertices[Degree],"&gt;= "&amp;D14)-COUNTIF(Vertices[Degree],"&gt;="&amp;D15)</f>
        <v>0</v>
      </c>
      <c r="F14" s="37">
        <f t="shared" si="2"/>
        <v>10</v>
      </c>
      <c r="G14" s="38">
        <f>COUNTIF(Vertices[In-Degree],"&gt;= "&amp;F14)-COUNTIF(Vertices[In-Degree],"&gt;="&amp;F15)</f>
        <v>0</v>
      </c>
      <c r="H14" s="37">
        <f t="shared" si="3"/>
        <v>11.500000000000002</v>
      </c>
      <c r="I14" s="38">
        <f>COUNTIF(Vertices[Out-Degree],"&gt;= "&amp;H14)-COUNTIF(Vertices[Out-Degree],"&gt;="&amp;H15)</f>
        <v>0</v>
      </c>
      <c r="J14" s="37">
        <f t="shared" si="4"/>
        <v>535.2500000000001</v>
      </c>
      <c r="K14" s="38">
        <f>COUNTIF(Vertices[Betweenness Centrality],"&gt;= "&amp;J14)-COUNTIF(Vertices[Betweenness Centrality],"&gt;="&amp;J15)</f>
        <v>0</v>
      </c>
      <c r="L14" s="37">
        <f t="shared" si="5"/>
        <v>0.25</v>
      </c>
      <c r="M14" s="38">
        <f>COUNTIF(Vertices[Closeness Centrality],"&gt;= "&amp;L14)-COUNTIF(Vertices[Closeness Centrality],"&gt;="&amp;L15)</f>
        <v>10</v>
      </c>
      <c r="N14" s="37">
        <f t="shared" si="6"/>
        <v>0.02674525000000001</v>
      </c>
      <c r="O14" s="38">
        <f>COUNTIF(Vertices[Eigenvector Centrality],"&gt;= "&amp;N14)-COUNTIF(Vertices[Eigenvector Centrality],"&gt;="&amp;N15)</f>
        <v>0</v>
      </c>
      <c r="P14" s="37">
        <f t="shared" si="7"/>
        <v>5.281653500000001</v>
      </c>
      <c r="Q14" s="38">
        <f>COUNTIF(Vertices[PageRank],"&gt;= "&amp;P14)-COUNTIF(Vertices[PageRank],"&gt;="&amp;P15)</f>
        <v>0</v>
      </c>
      <c r="R14" s="37">
        <f t="shared" si="8"/>
        <v>0.25</v>
      </c>
      <c r="S14" s="43">
        <f>COUNTIF(Vertices[Clustering Coefficient],"&gt;= "&amp;R14)-COUNTIF(Vertices[Clustering Coefficient],"&gt;="&amp;R15)</f>
        <v>6</v>
      </c>
      <c r="T14" s="37" t="e">
        <f ca="1" t="shared" si="9"/>
        <v>#REF!</v>
      </c>
      <c r="U14" s="38" t="e">
        <f ca="1" t="shared" si="0"/>
        <v>#REF!</v>
      </c>
    </row>
    <row r="15" spans="1:21" ht="15">
      <c r="A15" s="34" t="s">
        <v>587</v>
      </c>
      <c r="B15" s="34">
        <v>149</v>
      </c>
      <c r="D15" s="32">
        <f t="shared" si="1"/>
        <v>0</v>
      </c>
      <c r="E15" s="3">
        <f>COUNTIF(Vertices[Degree],"&gt;= "&amp;D15)-COUNTIF(Vertices[Degree],"&gt;="&amp;D16)</f>
        <v>0</v>
      </c>
      <c r="F15" s="39">
        <f t="shared" si="2"/>
        <v>10.833333333333334</v>
      </c>
      <c r="G15" s="40">
        <f>COUNTIF(Vertices[In-Degree],"&gt;= "&amp;F15)-COUNTIF(Vertices[In-Degree],"&gt;="&amp;F16)</f>
        <v>1</v>
      </c>
      <c r="H15" s="39">
        <f t="shared" si="3"/>
        <v>12.458333333333336</v>
      </c>
      <c r="I15" s="40">
        <f>COUNTIF(Vertices[Out-Degree],"&gt;= "&amp;H15)-COUNTIF(Vertices[Out-Degree],"&gt;="&amp;H16)</f>
        <v>0</v>
      </c>
      <c r="J15" s="39">
        <f t="shared" si="4"/>
        <v>579.8541666666667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0.028974020833333343</v>
      </c>
      <c r="O15" s="40">
        <f>COUNTIF(Vertices[Eigenvector Centrality],"&gt;= "&amp;N15)-COUNTIF(Vertices[Eigenvector Centrality],"&gt;="&amp;N16)</f>
        <v>0</v>
      </c>
      <c r="P15" s="39">
        <f t="shared" si="7"/>
        <v>5.691851125000001</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11.666666666666668</v>
      </c>
      <c r="G16" s="38">
        <f>COUNTIF(Vertices[In-Degree],"&gt;= "&amp;F16)-COUNTIF(Vertices[In-Degree],"&gt;="&amp;F17)</f>
        <v>0</v>
      </c>
      <c r="H16" s="37">
        <f t="shared" si="3"/>
        <v>13.41666666666667</v>
      </c>
      <c r="I16" s="38">
        <f>COUNTIF(Vertices[Out-Degree],"&gt;= "&amp;H16)-COUNTIF(Vertices[Out-Degree],"&gt;="&amp;H17)</f>
        <v>0</v>
      </c>
      <c r="J16" s="37">
        <f t="shared" si="4"/>
        <v>624.4583333333334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0.031202791666666677</v>
      </c>
      <c r="O16" s="38">
        <f>COUNTIF(Vertices[Eigenvector Centrality],"&gt;= "&amp;N16)-COUNTIF(Vertices[Eigenvector Centrality],"&gt;="&amp;N17)</f>
        <v>0</v>
      </c>
      <c r="P16" s="37">
        <f t="shared" si="7"/>
        <v>6.102048750000002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17</v>
      </c>
      <c r="D17" s="32">
        <f t="shared" si="1"/>
        <v>0</v>
      </c>
      <c r="E17" s="3">
        <f>COUNTIF(Vertices[Degree],"&gt;= "&amp;D17)-COUNTIF(Vertices[Degree],"&gt;="&amp;D18)</f>
        <v>0</v>
      </c>
      <c r="F17" s="39">
        <f t="shared" si="2"/>
        <v>12.500000000000002</v>
      </c>
      <c r="G17" s="40">
        <f>COUNTIF(Vertices[In-Degree],"&gt;= "&amp;F17)-COUNTIF(Vertices[In-Degree],"&gt;="&amp;F18)</f>
        <v>0</v>
      </c>
      <c r="H17" s="39">
        <f t="shared" si="3"/>
        <v>14.375000000000004</v>
      </c>
      <c r="I17" s="40">
        <f>COUNTIF(Vertices[Out-Degree],"&gt;= "&amp;H17)-COUNTIF(Vertices[Out-Degree],"&gt;="&amp;H18)</f>
        <v>0</v>
      </c>
      <c r="J17" s="39">
        <f t="shared" si="4"/>
        <v>669.0625</v>
      </c>
      <c r="K17" s="40">
        <f>COUNTIF(Vertices[Betweenness Centrality],"&gt;= "&amp;J17)-COUNTIF(Vertices[Betweenness Centrality],"&gt;="&amp;J18)</f>
        <v>0</v>
      </c>
      <c r="L17" s="39">
        <f t="shared" si="5"/>
        <v>0.31249999999999994</v>
      </c>
      <c r="M17" s="40">
        <f>COUNTIF(Vertices[Closeness Centrality],"&gt;= "&amp;L17)-COUNTIF(Vertices[Closeness Centrality],"&gt;="&amp;L18)</f>
        <v>8</v>
      </c>
      <c r="N17" s="39">
        <f t="shared" si="6"/>
        <v>0.03343156250000001</v>
      </c>
      <c r="O17" s="40">
        <f>COUNTIF(Vertices[Eigenvector Centrality],"&gt;= "&amp;N17)-COUNTIF(Vertices[Eigenvector Centrality],"&gt;="&amp;N18)</f>
        <v>0</v>
      </c>
      <c r="P17" s="39">
        <f t="shared" si="7"/>
        <v>6.512246375000002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13.333333333333336</v>
      </c>
      <c r="G18" s="38">
        <f>COUNTIF(Vertices[In-Degree],"&gt;= "&amp;F18)-COUNTIF(Vertices[In-Degree],"&gt;="&amp;F19)</f>
        <v>1</v>
      </c>
      <c r="H18" s="37">
        <f t="shared" si="3"/>
        <v>15.333333333333337</v>
      </c>
      <c r="I18" s="38">
        <f>COUNTIF(Vertices[Out-Degree],"&gt;= "&amp;H18)-COUNTIF(Vertices[Out-Degree],"&gt;="&amp;H19)</f>
        <v>0</v>
      </c>
      <c r="J18" s="37">
        <f t="shared" si="4"/>
        <v>713.6666666666666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0.03566033333333334</v>
      </c>
      <c r="O18" s="38">
        <f>COUNTIF(Vertices[Eigenvector Centrality],"&gt;= "&amp;N18)-COUNTIF(Vertices[Eigenvector Centrality],"&gt;="&amp;N19)</f>
        <v>0</v>
      </c>
      <c r="P18" s="37">
        <f t="shared" si="7"/>
        <v>6.922444000000002</v>
      </c>
      <c r="Q18" s="38">
        <f>COUNTIF(Vertices[PageRank],"&gt;= "&amp;P18)-COUNTIF(Vertices[PageRank],"&gt;="&amp;P19)</f>
        <v>0</v>
      </c>
      <c r="R18" s="37">
        <f t="shared" si="8"/>
        <v>0.33333333333333326</v>
      </c>
      <c r="S18" s="43">
        <f>COUNTIF(Vertices[Clustering Coefficient],"&gt;= "&amp;R18)-COUNTIF(Vertices[Clustering Coefficient],"&gt;="&amp;R19)</f>
        <v>28</v>
      </c>
      <c r="T18" s="37" t="e">
        <f ca="1" t="shared" si="9"/>
        <v>#REF!</v>
      </c>
      <c r="U18" s="38" t="e">
        <f ca="1" t="shared" si="0"/>
        <v>#REF!</v>
      </c>
    </row>
    <row r="19" spans="1:21" ht="15">
      <c r="A19" s="34" t="s">
        <v>170</v>
      </c>
      <c r="B19" s="34">
        <v>0.020771513353115726</v>
      </c>
      <c r="D19" s="32">
        <f t="shared" si="1"/>
        <v>0</v>
      </c>
      <c r="E19" s="3">
        <f>COUNTIF(Vertices[Degree],"&gt;= "&amp;D19)-COUNTIF(Vertices[Degree],"&gt;="&amp;D20)</f>
        <v>0</v>
      </c>
      <c r="F19" s="39">
        <f t="shared" si="2"/>
        <v>14.16666666666667</v>
      </c>
      <c r="G19" s="40">
        <f>COUNTIF(Vertices[In-Degree],"&gt;= "&amp;F19)-COUNTIF(Vertices[In-Degree],"&gt;="&amp;F20)</f>
        <v>0</v>
      </c>
      <c r="H19" s="39">
        <f t="shared" si="3"/>
        <v>16.29166666666667</v>
      </c>
      <c r="I19" s="40">
        <f>COUNTIF(Vertices[Out-Degree],"&gt;= "&amp;H19)-COUNTIF(Vertices[Out-Degree],"&gt;="&amp;H20)</f>
        <v>0</v>
      </c>
      <c r="J19" s="39">
        <f t="shared" si="4"/>
        <v>758.2708333333333</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0.03788910416666667</v>
      </c>
      <c r="O19" s="40">
        <f>COUNTIF(Vertices[Eigenvector Centrality],"&gt;= "&amp;N19)-COUNTIF(Vertices[Eigenvector Centrality],"&gt;="&amp;N20)</f>
        <v>0</v>
      </c>
      <c r="P19" s="39">
        <f t="shared" si="7"/>
        <v>7.332641625000003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0.040697674418604654</v>
      </c>
      <c r="D20" s="32">
        <f t="shared" si="1"/>
        <v>0</v>
      </c>
      <c r="E20" s="3">
        <f>COUNTIF(Vertices[Degree],"&gt;= "&amp;D20)-COUNTIF(Vertices[Degree],"&gt;="&amp;D21)</f>
        <v>0</v>
      </c>
      <c r="F20" s="37">
        <f t="shared" si="2"/>
        <v>15.000000000000004</v>
      </c>
      <c r="G20" s="38">
        <f>COUNTIF(Vertices[In-Degree],"&gt;= "&amp;F20)-COUNTIF(Vertices[In-Degree],"&gt;="&amp;F21)</f>
        <v>0</v>
      </c>
      <c r="H20" s="37">
        <f t="shared" si="3"/>
        <v>17.250000000000004</v>
      </c>
      <c r="I20" s="38">
        <f>COUNTIF(Vertices[Out-Degree],"&gt;= "&amp;H20)-COUNTIF(Vertices[Out-Degree],"&gt;="&amp;H21)</f>
        <v>0</v>
      </c>
      <c r="J20" s="37">
        <f t="shared" si="4"/>
        <v>802.8749999999999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0.040117875000000004</v>
      </c>
      <c r="O20" s="38">
        <f>COUNTIF(Vertices[Eigenvector Centrality],"&gt;= "&amp;N20)-COUNTIF(Vertices[Eigenvector Centrality],"&gt;="&amp;N21)</f>
        <v>0</v>
      </c>
      <c r="P20" s="37">
        <f t="shared" si="7"/>
        <v>7.742839250000003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15.833333333333337</v>
      </c>
      <c r="G21" s="40">
        <f>COUNTIF(Vertices[In-Degree],"&gt;= "&amp;F21)-COUNTIF(Vertices[In-Degree],"&gt;="&amp;F22)</f>
        <v>0</v>
      </c>
      <c r="H21" s="39">
        <f t="shared" si="3"/>
        <v>18.208333333333336</v>
      </c>
      <c r="I21" s="40">
        <f>COUNTIF(Vertices[Out-Degree],"&gt;= "&amp;H21)-COUNTIF(Vertices[Out-Degree],"&gt;="&amp;H22)</f>
        <v>0</v>
      </c>
      <c r="J21" s="39">
        <f t="shared" si="4"/>
        <v>847.4791666666665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0.042346645833333335</v>
      </c>
      <c r="O21" s="40">
        <f>COUNTIF(Vertices[Eigenvector Centrality],"&gt;= "&amp;N21)-COUNTIF(Vertices[Eigenvector Centrality],"&gt;="&amp;N22)</f>
        <v>0</v>
      </c>
      <c r="P21" s="39">
        <f t="shared" si="7"/>
        <v>8.153036875000003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25</v>
      </c>
      <c r="D22" s="32">
        <f t="shared" si="1"/>
        <v>0</v>
      </c>
      <c r="E22" s="3">
        <f>COUNTIF(Vertices[Degree],"&gt;= "&amp;D22)-COUNTIF(Vertices[Degree],"&gt;="&amp;D23)</f>
        <v>0</v>
      </c>
      <c r="F22" s="37">
        <f t="shared" si="2"/>
        <v>16.66666666666667</v>
      </c>
      <c r="G22" s="38">
        <f>COUNTIF(Vertices[In-Degree],"&gt;= "&amp;F22)-COUNTIF(Vertices[In-Degree],"&gt;="&amp;F23)</f>
        <v>0</v>
      </c>
      <c r="H22" s="37">
        <f t="shared" si="3"/>
        <v>19.166666666666668</v>
      </c>
      <c r="I22" s="38">
        <f>COUNTIF(Vertices[Out-Degree],"&gt;= "&amp;H22)-COUNTIF(Vertices[Out-Degree],"&gt;="&amp;H23)</f>
        <v>0</v>
      </c>
      <c r="J22" s="37">
        <f t="shared" si="4"/>
        <v>892.0833333333331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0.044575416666666666</v>
      </c>
      <c r="O22" s="38">
        <f>COUNTIF(Vertices[Eigenvector Centrality],"&gt;= "&amp;N22)-COUNTIF(Vertices[Eigenvector Centrality],"&gt;="&amp;N23)</f>
        <v>0</v>
      </c>
      <c r="P22" s="37">
        <f t="shared" si="7"/>
        <v>8.563234500000004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17.500000000000004</v>
      </c>
      <c r="G23" s="40">
        <f>COUNTIF(Vertices[In-Degree],"&gt;= "&amp;F23)-COUNTIF(Vertices[In-Degree],"&gt;="&amp;F24)</f>
        <v>0</v>
      </c>
      <c r="H23" s="39">
        <f t="shared" si="3"/>
        <v>20.125</v>
      </c>
      <c r="I23" s="40">
        <f>COUNTIF(Vertices[Out-Degree],"&gt;= "&amp;H23)-COUNTIF(Vertices[Out-Degree],"&gt;="&amp;H24)</f>
        <v>0</v>
      </c>
      <c r="J23" s="39">
        <f t="shared" si="4"/>
        <v>936.6874999999998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0.0468041875</v>
      </c>
      <c r="O23" s="40">
        <f>COUNTIF(Vertices[Eigenvector Centrality],"&gt;= "&amp;N23)-COUNTIF(Vertices[Eigenvector Centrality],"&gt;="&amp;N24)</f>
        <v>0</v>
      </c>
      <c r="P23" s="39">
        <f t="shared" si="7"/>
        <v>8.973432125000004</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48</v>
      </c>
      <c r="D24" s="32">
        <f t="shared" si="1"/>
        <v>0</v>
      </c>
      <c r="E24" s="3">
        <f>COUNTIF(Vertices[Degree],"&gt;= "&amp;D24)-COUNTIF(Vertices[Degree],"&gt;="&amp;D25)</f>
        <v>0</v>
      </c>
      <c r="F24" s="37">
        <f t="shared" si="2"/>
        <v>18.333333333333336</v>
      </c>
      <c r="G24" s="38">
        <f>COUNTIF(Vertices[In-Degree],"&gt;= "&amp;F24)-COUNTIF(Vertices[In-Degree],"&gt;="&amp;F25)</f>
        <v>1</v>
      </c>
      <c r="H24" s="37">
        <f t="shared" si="3"/>
        <v>21.083333333333332</v>
      </c>
      <c r="I24" s="38">
        <f>COUNTIF(Vertices[Out-Degree],"&gt;= "&amp;H24)-COUNTIF(Vertices[Out-Degree],"&gt;="&amp;H25)</f>
        <v>0</v>
      </c>
      <c r="J24" s="37">
        <f t="shared" si="4"/>
        <v>981.2916666666664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0.04903295833333333</v>
      </c>
      <c r="O24" s="38">
        <f>COUNTIF(Vertices[Eigenvector Centrality],"&gt;= "&amp;N24)-COUNTIF(Vertices[Eigenvector Centrality],"&gt;="&amp;N25)</f>
        <v>0</v>
      </c>
      <c r="P24" s="37">
        <f t="shared" si="7"/>
        <v>9.383629750000004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109</v>
      </c>
      <c r="D25" s="32">
        <f t="shared" si="1"/>
        <v>0</v>
      </c>
      <c r="E25" s="3">
        <f>COUNTIF(Vertices[Degree],"&gt;= "&amp;D25)-COUNTIF(Vertices[Degree],"&gt;="&amp;D26)</f>
        <v>0</v>
      </c>
      <c r="F25" s="39">
        <f t="shared" si="2"/>
        <v>19.166666666666668</v>
      </c>
      <c r="G25" s="40">
        <f>COUNTIF(Vertices[In-Degree],"&gt;= "&amp;F25)-COUNTIF(Vertices[In-Degree],"&gt;="&amp;F26)</f>
        <v>0</v>
      </c>
      <c r="H25" s="39">
        <f t="shared" si="3"/>
        <v>22.041666666666664</v>
      </c>
      <c r="I25" s="40">
        <f>COUNTIF(Vertices[Out-Degree],"&gt;= "&amp;H25)-COUNTIF(Vertices[Out-Degree],"&gt;="&amp;H26)</f>
        <v>0</v>
      </c>
      <c r="J25" s="39">
        <f t="shared" si="4"/>
        <v>1025.895833333333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0.05126172916666666</v>
      </c>
      <c r="O25" s="40">
        <f>COUNTIF(Vertices[Eigenvector Centrality],"&gt;= "&amp;N25)-COUNTIF(Vertices[Eigenvector Centrality],"&gt;="&amp;N26)</f>
        <v>0</v>
      </c>
      <c r="P25" s="39">
        <f t="shared" si="7"/>
        <v>9.793827375000005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20</v>
      </c>
      <c r="G26" s="38">
        <f>COUNTIF(Vertices[In-Degree],"&gt;= "&amp;F26)-COUNTIF(Vertices[In-Degree],"&gt;="&amp;F28)</f>
        <v>1</v>
      </c>
      <c r="H26" s="37">
        <f t="shared" si="3"/>
        <v>22.999999999999996</v>
      </c>
      <c r="I26" s="38">
        <f>COUNTIF(Vertices[Out-Degree],"&gt;= "&amp;H26)-COUNTIF(Vertices[Out-Degree],"&gt;="&amp;H28)</f>
        <v>0</v>
      </c>
      <c r="J26" s="37">
        <f t="shared" si="4"/>
        <v>1070.4999999999998</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0.05349049999999999</v>
      </c>
      <c r="O26" s="38">
        <f>COUNTIF(Vertices[Eigenvector Centrality],"&gt;= "&amp;N26)-COUNTIF(Vertices[Eigenvector Centrality],"&gt;="&amp;N28)</f>
        <v>0</v>
      </c>
      <c r="P26" s="37">
        <f t="shared" si="7"/>
        <v>10.204025000000005</v>
      </c>
      <c r="Q26" s="38">
        <f>COUNTIF(Vertices[PageRank],"&gt;= "&amp;P26)-COUNTIF(Vertices[PageRank],"&gt;="&amp;P28)</f>
        <v>0</v>
      </c>
      <c r="R26" s="37">
        <f t="shared" si="8"/>
        <v>0.4999999999999998</v>
      </c>
      <c r="S26" s="43">
        <f>COUNTIF(Vertices[Clustering Coefficient],"&gt;= "&amp;R26)-COUNTIF(Vertices[Clustering Coefficient],"&gt;="&amp;R28)</f>
        <v>46</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-4</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-44</v>
      </c>
      <c r="T27" s="62"/>
      <c r="U27" s="63">
        <f ca="1">COUNTIF(Vertices[Clustering Coefficient],"&gt;= "&amp;T27)-COUNTIF(Vertices[Clustering Coefficient],"&gt;="&amp;T28)</f>
        <v>0</v>
      </c>
    </row>
    <row r="28" spans="1:21" ht="15">
      <c r="A28" s="34" t="s">
        <v>157</v>
      </c>
      <c r="B28" s="34">
        <v>1.835502</v>
      </c>
      <c r="D28" s="32">
        <f>D26+($D$50-$D$2)/BinDivisor</f>
        <v>0</v>
      </c>
      <c r="E28" s="3">
        <f>COUNTIF(Vertices[Degree],"&gt;= "&amp;D28)-COUNTIF(Vertices[Degree],"&gt;="&amp;D42)</f>
        <v>0</v>
      </c>
      <c r="F28" s="39">
        <f>F26+($F$50-$F$2)/BinDivisor</f>
        <v>20.833333333333332</v>
      </c>
      <c r="G28" s="40">
        <f>COUNTIF(Vertices[In-Degree],"&gt;= "&amp;F28)-COUNTIF(Vertices[In-Degree],"&gt;="&amp;F42)</f>
        <v>0</v>
      </c>
      <c r="H28" s="39">
        <f>H26+($H$50-$H$2)/BinDivisor</f>
        <v>23.95833333333333</v>
      </c>
      <c r="I28" s="40">
        <f>COUNTIF(Vertices[Out-Degree],"&gt;= "&amp;H28)-COUNTIF(Vertices[Out-Degree],"&gt;="&amp;H42)</f>
        <v>0</v>
      </c>
      <c r="J28" s="39">
        <f>J26+($J$50-$J$2)/BinDivisor</f>
        <v>1115.1041666666665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0.05571927083333332</v>
      </c>
      <c r="O28" s="40">
        <f>COUNTIF(Vertices[Eigenvector Centrality],"&gt;= "&amp;N28)-COUNTIF(Vertices[Eigenvector Centrality],"&gt;="&amp;N42)</f>
        <v>0</v>
      </c>
      <c r="P28" s="39">
        <f>P26+($P$50-$P$2)/BinDivisor</f>
        <v>10.614222625000005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0.006948652688563002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2694</v>
      </c>
      <c r="B31" s="34">
        <v>0.734001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4"/>
      <c r="B32" s="12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2695</v>
      </c>
      <c r="B33" s="34" t="s">
        <v>2709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4"/>
      <c r="B34" s="124"/>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2696</v>
      </c>
      <c r="B35" s="34" t="s">
        <v>3179</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4"/>
      <c r="B36" s="124"/>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2697</v>
      </c>
      <c r="B37" s="34" t="s">
        <v>3175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2698</v>
      </c>
      <c r="B38" s="34" t="s">
        <v>2271</v>
      </c>
      <c r="D38" s="32"/>
      <c r="E38" s="3">
        <f>COUNTIF(Vertices[Degree],"&gt;= "&amp;D38)-COUNTIF(Vertices[Degree],"&gt;="&amp;D42)</f>
        <v>0</v>
      </c>
      <c r="F38" s="62"/>
      <c r="G38" s="63">
        <f>COUNTIF(Vertices[In-Degree],"&gt;= "&amp;F38)-COUNTIF(Vertices[In-Degree],"&gt;="&amp;F42)</f>
        <v>-4</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-2</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-44</v>
      </c>
      <c r="T38" s="62"/>
      <c r="U38" s="63">
        <f ca="1">COUNTIF(Vertices[Clustering Coefficient],"&gt;= "&amp;T38)-COUNTIF(Vertices[Clustering Coefficient],"&gt;="&amp;T42)</f>
        <v>0</v>
      </c>
    </row>
    <row r="39" spans="1:21" ht="409.5">
      <c r="A39" s="34" t="s">
        <v>2699</v>
      </c>
      <c r="B39" s="52" t="s">
        <v>3176</v>
      </c>
      <c r="D39" s="32"/>
      <c r="E39" s="3">
        <f>COUNTIF(Vertices[Degree],"&gt;= "&amp;D39)-COUNTIF(Vertices[Degree],"&gt;="&amp;D42)</f>
        <v>0</v>
      </c>
      <c r="F39" s="62"/>
      <c r="G39" s="63">
        <f>COUNTIF(Vertices[In-Degree],"&gt;= "&amp;F39)-COUNTIF(Vertices[In-Degree],"&gt;="&amp;F42)</f>
        <v>-4</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-2</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-44</v>
      </c>
      <c r="T39" s="62"/>
      <c r="U39" s="63">
        <f ca="1">COUNTIF(Vertices[Clustering Coefficient],"&gt;= "&amp;T39)-COUNTIF(Vertices[Clustering Coefficient],"&gt;="&amp;T42)</f>
        <v>0</v>
      </c>
    </row>
    <row r="40" spans="1:21" ht="15">
      <c r="A40" s="34" t="s">
        <v>2700</v>
      </c>
      <c r="B40" s="34" t="s">
        <v>3177</v>
      </c>
      <c r="D40" s="32"/>
      <c r="E40" s="3">
        <f>COUNTIF(Vertices[Degree],"&gt;= "&amp;D40)-COUNTIF(Vertices[Degree],"&gt;="&amp;D42)</f>
        <v>0</v>
      </c>
      <c r="F40" s="62"/>
      <c r="G40" s="63">
        <f>COUNTIF(Vertices[In-Degree],"&gt;= "&amp;F40)-COUNTIF(Vertices[In-Degree],"&gt;="&amp;F42)</f>
        <v>-4</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-2</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-44</v>
      </c>
      <c r="T40" s="62"/>
      <c r="U40" s="63">
        <f ca="1">COUNTIF(Vertices[Clustering Coefficient],"&gt;= "&amp;T40)-COUNTIF(Vertices[Clustering Coefficient],"&gt;="&amp;T42)</f>
        <v>0</v>
      </c>
    </row>
    <row r="41" spans="1:21" ht="15">
      <c r="A41" s="34" t="s">
        <v>2701</v>
      </c>
      <c r="B41" s="34" t="s">
        <v>3178</v>
      </c>
      <c r="D41" s="32"/>
      <c r="E41" s="3">
        <f>COUNTIF(Vertices[Degree],"&gt;= "&amp;D41)-COUNTIF(Vertices[Degree],"&gt;="&amp;D42)</f>
        <v>0</v>
      </c>
      <c r="F41" s="62"/>
      <c r="G41" s="63">
        <f>COUNTIF(Vertices[In-Degree],"&gt;= "&amp;F41)-COUNTIF(Vertices[In-Degree],"&gt;="&amp;F42)</f>
        <v>-4</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-2</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-44</v>
      </c>
      <c r="T41" s="62"/>
      <c r="U41" s="63">
        <f ca="1">COUNTIF(Vertices[Clustering Coefficient],"&gt;= "&amp;T41)-COUNTIF(Vertices[Clustering Coefficient],"&gt;="&amp;T42)</f>
        <v>0</v>
      </c>
    </row>
    <row r="42" spans="1:21" ht="15">
      <c r="A42" s="34" t="s">
        <v>2702</v>
      </c>
      <c r="B42" s="34" t="s">
        <v>2226</v>
      </c>
      <c r="D42" s="32">
        <f>D28+($D$50-$D$2)/BinDivisor</f>
        <v>0</v>
      </c>
      <c r="E42" s="3">
        <f>COUNTIF(Vertices[Degree],"&gt;= "&amp;D42)-COUNTIF(Vertices[Degree],"&gt;="&amp;D43)</f>
        <v>0</v>
      </c>
      <c r="F42" s="37">
        <f>F28+($F$50-$F$2)/BinDivisor</f>
        <v>21.666666666666664</v>
      </c>
      <c r="G42" s="38">
        <f>COUNTIF(Vertices[In-Degree],"&gt;= "&amp;F42)-COUNTIF(Vertices[In-Degree],"&gt;="&amp;F43)</f>
        <v>2</v>
      </c>
      <c r="H42" s="37">
        <f>H28+($H$50-$H$2)/BinDivisor</f>
        <v>24.91666666666666</v>
      </c>
      <c r="I42" s="38">
        <f>COUNTIF(Vertices[Out-Degree],"&gt;= "&amp;H42)-COUNTIF(Vertices[Out-Degree],"&gt;="&amp;H43)</f>
        <v>0</v>
      </c>
      <c r="J42" s="37">
        <f>J28+($J$50-$J$2)/BinDivisor</f>
        <v>1159.7083333333333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0.05794804166666665</v>
      </c>
      <c r="O42" s="38">
        <f>COUNTIF(Vertices[Eigenvector Centrality],"&gt;= "&amp;N42)-COUNTIF(Vertices[Eigenvector Centrality],"&gt;="&amp;N43)</f>
        <v>0</v>
      </c>
      <c r="P42" s="37">
        <f>P28+($P$50-$P$2)/BinDivisor</f>
        <v>11.024420250000006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2703</v>
      </c>
      <c r="B43" s="34" t="s">
        <v>2226</v>
      </c>
      <c r="D43" s="32">
        <f aca="true" t="shared" si="10" ref="D43:D49">D42+($D$50-$D$2)/BinDivisor</f>
        <v>0</v>
      </c>
      <c r="E43" s="3">
        <f>COUNTIF(Vertices[Degree],"&gt;= "&amp;D43)-COUNTIF(Vertices[Degree],"&gt;="&amp;D44)</f>
        <v>0</v>
      </c>
      <c r="F43" s="39">
        <f aca="true" t="shared" si="11" ref="F43:F49">F42+($F$50-$F$2)/BinDivisor</f>
        <v>22.499999999999996</v>
      </c>
      <c r="G43" s="40">
        <f>COUNTIF(Vertices[In-Degree],"&gt;= "&amp;F43)-COUNTIF(Vertices[In-Degree],"&gt;="&amp;F44)</f>
        <v>0</v>
      </c>
      <c r="H43" s="39">
        <f aca="true" t="shared" si="12" ref="H43:H49">H42+($H$50-$H$2)/BinDivisor</f>
        <v>25.874999999999993</v>
      </c>
      <c r="I43" s="40">
        <f>COUNTIF(Vertices[Out-Degree],"&gt;= "&amp;H43)-COUNTIF(Vertices[Out-Degree],"&gt;="&amp;H44)</f>
        <v>0</v>
      </c>
      <c r="J43" s="39">
        <f aca="true" t="shared" si="13" ref="J43:J49">J42+($J$50-$J$2)/BinDivisor</f>
        <v>1204.3125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0.06017681249999998</v>
      </c>
      <c r="O43" s="40">
        <f>COUNTIF(Vertices[Eigenvector Centrality],"&gt;= "&amp;N43)-COUNTIF(Vertices[Eigenvector Centrality],"&gt;="&amp;N44)</f>
        <v>0</v>
      </c>
      <c r="P43" s="39">
        <f aca="true" t="shared" si="16" ref="P43:P49">P42+($P$50-$P$2)/BinDivisor</f>
        <v>11.434617875000006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2704</v>
      </c>
      <c r="B44" s="34" t="s">
        <v>2226</v>
      </c>
      <c r="D44" s="32">
        <f t="shared" si="10"/>
        <v>0</v>
      </c>
      <c r="E44" s="3">
        <f>COUNTIF(Vertices[Degree],"&gt;= "&amp;D44)-COUNTIF(Vertices[Degree],"&gt;="&amp;D45)</f>
        <v>0</v>
      </c>
      <c r="F44" s="37">
        <f t="shared" si="11"/>
        <v>23.33333333333333</v>
      </c>
      <c r="G44" s="38">
        <f>COUNTIF(Vertices[In-Degree],"&gt;= "&amp;F44)-COUNTIF(Vertices[In-Degree],"&gt;="&amp;F45)</f>
        <v>0</v>
      </c>
      <c r="H44" s="37">
        <f t="shared" si="12"/>
        <v>26.833333333333325</v>
      </c>
      <c r="I44" s="38">
        <f>COUNTIF(Vertices[Out-Degree],"&gt;= "&amp;H44)-COUNTIF(Vertices[Out-Degree],"&gt;="&amp;H45)</f>
        <v>0</v>
      </c>
      <c r="J44" s="37">
        <f t="shared" si="13"/>
        <v>1248.9166666666667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0.06240558333333331</v>
      </c>
      <c r="O44" s="38">
        <f>COUNTIF(Vertices[Eigenvector Centrality],"&gt;= "&amp;N44)-COUNTIF(Vertices[Eigenvector Centrality],"&gt;="&amp;N45)</f>
        <v>0</v>
      </c>
      <c r="P44" s="37">
        <f t="shared" si="16"/>
        <v>11.844815500000006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2705</v>
      </c>
      <c r="B45" s="34"/>
      <c r="D45" s="32">
        <f t="shared" si="10"/>
        <v>0</v>
      </c>
      <c r="E45" s="3">
        <f>COUNTIF(Vertices[Degree],"&gt;= "&amp;D45)-COUNTIF(Vertices[Degree],"&gt;="&amp;D46)</f>
        <v>0</v>
      </c>
      <c r="F45" s="39">
        <f t="shared" si="11"/>
        <v>24.16666666666666</v>
      </c>
      <c r="G45" s="40">
        <f>COUNTIF(Vertices[In-Degree],"&gt;= "&amp;F45)-COUNTIF(Vertices[In-Degree],"&gt;="&amp;F46)</f>
        <v>0</v>
      </c>
      <c r="H45" s="39">
        <f t="shared" si="12"/>
        <v>27.791666666666657</v>
      </c>
      <c r="I45" s="40">
        <f>COUNTIF(Vertices[Out-Degree],"&gt;= "&amp;H45)-COUNTIF(Vertices[Out-Degree],"&gt;="&amp;H46)</f>
        <v>0</v>
      </c>
      <c r="J45" s="39">
        <f t="shared" si="13"/>
        <v>1293.5208333333335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0.06463435416666664</v>
      </c>
      <c r="O45" s="40">
        <f>COUNTIF(Vertices[Eigenvector Centrality],"&gt;= "&amp;N45)-COUNTIF(Vertices[Eigenvector Centrality],"&gt;="&amp;N46)</f>
        <v>0</v>
      </c>
      <c r="P45" s="39">
        <f t="shared" si="16"/>
        <v>12.255013125000007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24.999999999999993</v>
      </c>
      <c r="G46" s="38">
        <f>COUNTIF(Vertices[In-Degree],"&gt;= "&amp;F46)-COUNTIF(Vertices[In-Degree],"&gt;="&amp;F47)</f>
        <v>0</v>
      </c>
      <c r="H46" s="37">
        <f t="shared" si="12"/>
        <v>28.74999999999999</v>
      </c>
      <c r="I46" s="38">
        <f>COUNTIF(Vertices[Out-Degree],"&gt;= "&amp;H46)-COUNTIF(Vertices[Out-Degree],"&gt;="&amp;H47)</f>
        <v>0</v>
      </c>
      <c r="J46" s="37">
        <f t="shared" si="13"/>
        <v>1338.1250000000002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0.06686312499999998</v>
      </c>
      <c r="O46" s="38">
        <f>COUNTIF(Vertices[Eigenvector Centrality],"&gt;= "&amp;N46)-COUNTIF(Vertices[Eigenvector Centrality],"&gt;="&amp;N47)</f>
        <v>0</v>
      </c>
      <c r="P46" s="37">
        <f t="shared" si="16"/>
        <v>12.665210750000007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2706</v>
      </c>
      <c r="B47" s="34" t="s">
        <v>34</v>
      </c>
      <c r="D47" s="32">
        <f t="shared" si="10"/>
        <v>0</v>
      </c>
      <c r="E47" s="3">
        <f>COUNTIF(Vertices[Degree],"&gt;= "&amp;D47)-COUNTIF(Vertices[Degree],"&gt;="&amp;D48)</f>
        <v>0</v>
      </c>
      <c r="F47" s="39">
        <f t="shared" si="11"/>
        <v>25.833333333333325</v>
      </c>
      <c r="G47" s="40">
        <f>COUNTIF(Vertices[In-Degree],"&gt;= "&amp;F47)-COUNTIF(Vertices[In-Degree],"&gt;="&amp;F48)</f>
        <v>0</v>
      </c>
      <c r="H47" s="39">
        <f t="shared" si="12"/>
        <v>29.70833333333332</v>
      </c>
      <c r="I47" s="40">
        <f>COUNTIF(Vertices[Out-Degree],"&gt;= "&amp;H47)-COUNTIF(Vertices[Out-Degree],"&gt;="&amp;H48)</f>
        <v>0</v>
      </c>
      <c r="J47" s="39">
        <f t="shared" si="13"/>
        <v>1382.729166666667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0.06909189583333332</v>
      </c>
      <c r="O47" s="40">
        <f>COUNTIF(Vertices[Eigenvector Centrality],"&gt;= "&amp;N47)-COUNTIF(Vertices[Eigenvector Centrality],"&gt;="&amp;N48)</f>
        <v>0</v>
      </c>
      <c r="P47" s="39">
        <f t="shared" si="16"/>
        <v>13.075408375000007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2707</v>
      </c>
      <c r="B48" s="34"/>
      <c r="D48" s="32">
        <f t="shared" si="10"/>
        <v>0</v>
      </c>
      <c r="E48" s="3">
        <f>COUNTIF(Vertices[Degree],"&gt;= "&amp;D48)-COUNTIF(Vertices[Degree],"&gt;="&amp;D49)</f>
        <v>0</v>
      </c>
      <c r="F48" s="37">
        <f t="shared" si="11"/>
        <v>26.666666666666657</v>
      </c>
      <c r="G48" s="38">
        <f>COUNTIF(Vertices[In-Degree],"&gt;= "&amp;F48)-COUNTIF(Vertices[In-Degree],"&gt;="&amp;F49)</f>
        <v>0</v>
      </c>
      <c r="H48" s="37">
        <f t="shared" si="12"/>
        <v>30.666666666666654</v>
      </c>
      <c r="I48" s="38">
        <f>COUNTIF(Vertices[Out-Degree],"&gt;= "&amp;H48)-COUNTIF(Vertices[Out-Degree],"&gt;="&amp;H49)</f>
        <v>0</v>
      </c>
      <c r="J48" s="37">
        <f t="shared" si="13"/>
        <v>1427.3333333333337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0.07132066666666666</v>
      </c>
      <c r="O48" s="38">
        <f>COUNTIF(Vertices[Eigenvector Centrality],"&gt;= "&amp;N48)-COUNTIF(Vertices[Eigenvector Centrality],"&gt;="&amp;N49)</f>
        <v>0</v>
      </c>
      <c r="P48" s="37">
        <f t="shared" si="16"/>
        <v>13.485606000000008</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2708</v>
      </c>
      <c r="B49" s="34"/>
      <c r="D49" s="32">
        <f t="shared" si="10"/>
        <v>0</v>
      </c>
      <c r="E49" s="3">
        <f>COUNTIF(Vertices[Degree],"&gt;= "&amp;D49)-COUNTIF(Vertices[Degree],"&gt;="&amp;#REF!)</f>
        <v>0</v>
      </c>
      <c r="F49" s="39">
        <f t="shared" si="11"/>
        <v>27.49999999999999</v>
      </c>
      <c r="G49" s="40">
        <f>COUNTIF(Vertices[In-Degree],"&gt;= "&amp;F49)-COUNTIF(Vertices[In-Degree],"&gt;="&amp;#REF!)</f>
        <v>2</v>
      </c>
      <c r="H49" s="39">
        <f t="shared" si="12"/>
        <v>31.624999999999986</v>
      </c>
      <c r="I49" s="40">
        <f>COUNTIF(Vertices[Out-Degree],"&gt;= "&amp;H49)-COUNTIF(Vertices[Out-Degree],"&gt;="&amp;#REF!)</f>
        <v>1</v>
      </c>
      <c r="J49" s="39">
        <f t="shared" si="13"/>
        <v>1471.9375000000005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0.0735494375</v>
      </c>
      <c r="O49" s="40">
        <f>COUNTIF(Vertices[Eigenvector Centrality],"&gt;= "&amp;N49)-COUNTIF(Vertices[Eigenvector Centrality],"&gt;="&amp;#REF!)</f>
        <v>2</v>
      </c>
      <c r="P49" s="39">
        <f t="shared" si="16"/>
        <v>13.895803625000008</v>
      </c>
      <c r="Q49" s="40">
        <f>COUNTIF(Vertices[PageRank],"&gt;= "&amp;P49)-COUNTIF(Vertices[PageRank],"&gt;="&amp;#REF!)</f>
        <v>1</v>
      </c>
      <c r="R49" s="39">
        <f t="shared" si="17"/>
        <v>0.6875000000000001</v>
      </c>
      <c r="S49" s="44">
        <f>COUNTIF(Vertices[Clustering Coefficient],"&gt;= "&amp;R49)-COUNTIF(Vertices[Clustering Coefficient],"&gt;="&amp;#REF!)</f>
        <v>42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40</v>
      </c>
      <c r="G50" s="42">
        <f>COUNTIF(Vertices[In-Degree],"&gt;= "&amp;F50)-COUNTIF(Vertices[In-Degree],"&gt;="&amp;#REF!)</f>
        <v>1</v>
      </c>
      <c r="H50" s="41">
        <f>MAX(Vertices[Out-Degree])</f>
        <v>46</v>
      </c>
      <c r="I50" s="42">
        <f>COUNTIF(Vertices[Out-Degree],"&gt;= "&amp;H50)-COUNTIF(Vertices[Out-Degree],"&gt;="&amp;#REF!)</f>
        <v>1</v>
      </c>
      <c r="J50" s="41">
        <f>MAX(Vertices[Betweenness Centrality])</f>
        <v>2141</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0.106981</v>
      </c>
      <c r="O50" s="42">
        <f>COUNTIF(Vertices[Eigenvector Centrality],"&gt;= "&amp;N50)-COUNTIF(Vertices[Eigenvector Centrality],"&gt;="&amp;#REF!)</f>
        <v>1</v>
      </c>
      <c r="P50" s="41">
        <f>MAX(Vertices[PageRank])</f>
        <v>20.048768</v>
      </c>
      <c r="Q50" s="42">
        <f>COUNTIF(Vertices[PageRank],"&gt;= "&amp;P50)-COUNTIF(Vertices[PageRank],"&gt;="&amp;#REF!)</f>
        <v>1</v>
      </c>
      <c r="R50" s="41">
        <f>MAX(Vertices[Clustering Coefficient])</f>
        <v>1</v>
      </c>
      <c r="S50" s="45">
        <f>COUNTIF(Vertices[Clustering Coefficient],"&gt;= "&amp;R50)-COUNTIF(Vertices[Clustering Coefficient],"&gt;="&amp;#REF!)</f>
        <v>42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40</v>
      </c>
    </row>
    <row r="82" spans="1:2" ht="15">
      <c r="A82" s="33" t="s">
        <v>90</v>
      </c>
      <c r="B82" s="47">
        <f>_xlfn.IFERROR(AVERAGE(Vertices[In-Degree]),NoMetricMessage)</f>
        <v>1.6053811659192825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46</v>
      </c>
    </row>
    <row r="96" spans="1:2" ht="15">
      <c r="A96" s="33" t="s">
        <v>96</v>
      </c>
      <c r="B96" s="47">
        <f>_xlfn.IFERROR(AVERAGE(Vertices[Out-Degree]),NoMetricMessage)</f>
        <v>1.6053811659192825</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2141</v>
      </c>
    </row>
    <row r="110" spans="1:2" ht="15">
      <c r="A110" s="33" t="s">
        <v>102</v>
      </c>
      <c r="B110" s="47">
        <f>_xlfn.IFERROR(AVERAGE(Vertices[Betweenness Centrality]),NoMetricMessage)</f>
        <v>22.591928237668153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0.0818164753363229</v>
      </c>
    </row>
    <row r="125" spans="1:2" ht="15">
      <c r="A125" s="33" t="s">
        <v>109</v>
      </c>
      <c r="B125" s="47">
        <f>_xlfn.IFERROR(MEDIAN(Vertices[Closeness Centrality]),NoMetricMessage)</f>
        <v>0.020408</v>
      </c>
    </row>
    <row r="136" spans="1:2" ht="15">
      <c r="A136" s="33" t="s">
        <v>112</v>
      </c>
      <c r="B136" s="47">
        <f>IF(COUNT(Vertices[Eigenvector Centrality])&gt;0,N2,NoMetricMessage)</f>
        <v>0</v>
      </c>
    </row>
    <row r="137" spans="1:2" ht="15">
      <c r="A137" s="33" t="s">
        <v>113</v>
      </c>
      <c r="B137" s="47">
        <f>IF(COUNT(Vertices[Eigenvector Centrality])&gt;0,N50,NoMetricMessage)</f>
        <v>0.106981</v>
      </c>
    </row>
    <row r="138" spans="1:2" ht="15">
      <c r="A138" s="33" t="s">
        <v>114</v>
      </c>
      <c r="B138" s="47">
        <f>_xlfn.IFERROR(AVERAGE(Vertices[Eigenvector Centrality]),NoMetricMessage)</f>
        <v>0.004484273542600895</v>
      </c>
    </row>
    <row r="139" spans="1:2" ht="15">
      <c r="A139" s="33" t="s">
        <v>115</v>
      </c>
      <c r="B139" s="47">
        <f>_xlfn.IFERROR(MEDIAN(Vertices[Eigenvector Centrality]),NoMetricMessage)</f>
        <v>0</v>
      </c>
    </row>
    <row r="150" spans="1:2" ht="15">
      <c r="A150" s="33" t="s">
        <v>140</v>
      </c>
      <c r="B150" s="47">
        <f>IF(COUNT(Vertices[PageRank])&gt;0,P2,NoMetricMessage)</f>
        <v>0.359282</v>
      </c>
    </row>
    <row r="151" spans="1:2" ht="15">
      <c r="A151" s="33" t="s">
        <v>141</v>
      </c>
      <c r="B151" s="47">
        <f>IF(COUNT(Vertices[PageRank])&gt;0,P50,NoMetricMessage)</f>
        <v>20.048768</v>
      </c>
    </row>
    <row r="152" spans="1:2" ht="15">
      <c r="A152" s="33" t="s">
        <v>142</v>
      </c>
      <c r="B152" s="47">
        <f>_xlfn.IFERROR(AVERAGE(Vertices[PageRank]),NoMetricMessage)</f>
        <v>0.9999976771300437</v>
      </c>
    </row>
    <row r="153" spans="1:2" ht="15">
      <c r="A153" s="33" t="s">
        <v>143</v>
      </c>
      <c r="B153" s="47">
        <f>_xlfn.IFERROR(MEDIAN(Vertices[PageRank]),NoMetricMessage)</f>
        <v>0.576762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0.35257481899897053</v>
      </c>
    </row>
    <row r="167" spans="1:2" ht="15">
      <c r="A167" s="33" t="s">
        <v>121</v>
      </c>
      <c r="B167"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301</v>
      </c>
    </row>
    <row r="6" spans="1:18" ht="409.5">
      <c r="A6">
        <v>0</v>
      </c>
      <c r="B6" s="1" t="s">
        <v>136</v>
      </c>
      <c r="C6">
        <v>1</v>
      </c>
      <c r="D6" t="s">
        <v>59</v>
      </c>
      <c r="E6" t="s">
        <v>59</v>
      </c>
      <c r="F6">
        <v>0</v>
      </c>
      <c r="H6" t="s">
        <v>71</v>
      </c>
      <c r="J6" t="s">
        <v>173</v>
      </c>
      <c r="K6" s="13" t="s">
        <v>302</v>
      </c>
      <c r="R6" t="s">
        <v>129</v>
      </c>
    </row>
    <row r="7" spans="1:11" ht="409.5">
      <c r="A7">
        <v>2</v>
      </c>
      <c r="B7">
        <v>1</v>
      </c>
      <c r="C7">
        <v>0</v>
      </c>
      <c r="D7" t="s">
        <v>60</v>
      </c>
      <c r="E7" t="s">
        <v>60</v>
      </c>
      <c r="F7">
        <v>2</v>
      </c>
      <c r="H7" t="s">
        <v>72</v>
      </c>
      <c r="J7" t="s">
        <v>174</v>
      </c>
      <c r="K7" s="13" t="s">
        <v>303</v>
      </c>
    </row>
    <row r="8" spans="1:11" ht="409.5">
      <c r="A8"/>
      <c r="B8">
        <v>2</v>
      </c>
      <c r="C8">
        <v>2</v>
      </c>
      <c r="D8" t="s">
        <v>61</v>
      </c>
      <c r="E8" t="s">
        <v>61</v>
      </c>
      <c r="H8" t="s">
        <v>73</v>
      </c>
      <c r="J8" t="s">
        <v>175</v>
      </c>
      <c r="K8" s="13" t="s">
        <v>304</v>
      </c>
    </row>
    <row r="9" spans="1:11" ht="409.5">
      <c r="A9"/>
      <c r="B9">
        <v>3</v>
      </c>
      <c r="C9">
        <v>4</v>
      </c>
      <c r="D9" t="s">
        <v>62</v>
      </c>
      <c r="E9" t="s">
        <v>62</v>
      </c>
      <c r="H9" t="s">
        <v>74</v>
      </c>
      <c r="J9" t="s">
        <v>176</v>
      </c>
      <c r="K9" s="13" t="s">
        <v>305</v>
      </c>
    </row>
    <row r="10" spans="1:11" ht="409.5">
      <c r="A10"/>
      <c r="B10">
        <v>4</v>
      </c>
      <c r="D10" t="s">
        <v>63</v>
      </c>
      <c r="E10" t="s">
        <v>63</v>
      </c>
      <c r="H10" t="s">
        <v>75</v>
      </c>
      <c r="J10" t="s">
        <v>177</v>
      </c>
      <c r="K10" s="13" t="s">
        <v>306</v>
      </c>
    </row>
    <row r="11" spans="1:11" ht="409.5">
      <c r="A11"/>
      <c r="B11">
        <v>5</v>
      </c>
      <c r="D11" t="s">
        <v>46</v>
      </c>
      <c r="E11">
        <v>1</v>
      </c>
      <c r="H11" t="s">
        <v>76</v>
      </c>
      <c r="J11" t="s">
        <v>178</v>
      </c>
      <c r="K11" s="13" t="s">
        <v>307</v>
      </c>
    </row>
    <row r="12" spans="1:11" ht="409.5">
      <c r="A12"/>
      <c r="B12"/>
      <c r="D12" t="s">
        <v>64</v>
      </c>
      <c r="E12">
        <v>2</v>
      </c>
      <c r="H12">
        <v>0</v>
      </c>
      <c r="J12" t="s">
        <v>179</v>
      </c>
      <c r="K12" s="13" t="s">
        <v>308</v>
      </c>
    </row>
    <row r="13" spans="1:11" ht="15">
      <c r="A13"/>
      <c r="B13"/>
      <c r="D13">
        <v>1</v>
      </c>
      <c r="E13">
        <v>3</v>
      </c>
      <c r="H13">
        <v>1</v>
      </c>
      <c r="J13" t="s">
        <v>180</v>
      </c>
      <c r="K13" t="s">
        <v>309</v>
      </c>
    </row>
    <row r="14" spans="4:11" ht="15">
      <c r="D14">
        <v>2</v>
      </c>
      <c r="E14">
        <v>4</v>
      </c>
      <c r="H14">
        <v>2</v>
      </c>
      <c r="J14" t="s">
        <v>181</v>
      </c>
      <c r="K14" t="s">
        <v>310</v>
      </c>
    </row>
    <row r="15" spans="4:11" ht="15">
      <c r="D15">
        <v>3</v>
      </c>
      <c r="E15">
        <v>5</v>
      </c>
      <c r="H15">
        <v>3</v>
      </c>
      <c r="J15" t="s">
        <v>182</v>
      </c>
      <c r="K15" t="s">
        <v>311</v>
      </c>
    </row>
    <row r="16" spans="4:11" ht="15">
      <c r="D16">
        <v>4</v>
      </c>
      <c r="E16">
        <v>6</v>
      </c>
      <c r="H16">
        <v>4</v>
      </c>
      <c r="J16" t="s">
        <v>183</v>
      </c>
      <c r="K16" t="s">
        <v>312</v>
      </c>
    </row>
    <row r="17" spans="4:11" ht="15">
      <c r="D17">
        <v>5</v>
      </c>
      <c r="E17">
        <v>7</v>
      </c>
      <c r="H17">
        <v>5</v>
      </c>
      <c r="J17" t="s">
        <v>184</v>
      </c>
      <c r="K17" t="s">
        <v>313</v>
      </c>
    </row>
    <row r="18" spans="4:11" ht="15">
      <c r="D18">
        <v>6</v>
      </c>
      <c r="E18">
        <v>8</v>
      </c>
      <c r="H18">
        <v>6</v>
      </c>
      <c r="J18" t="s">
        <v>185</v>
      </c>
      <c r="K18" t="s">
        <v>314</v>
      </c>
    </row>
    <row r="19" spans="4:11" ht="15">
      <c r="D19">
        <v>7</v>
      </c>
      <c r="E19">
        <v>9</v>
      </c>
      <c r="H19">
        <v>7</v>
      </c>
      <c r="J19" t="s">
        <v>186</v>
      </c>
      <c r="K19" t="s">
        <v>315</v>
      </c>
    </row>
    <row r="20" spans="4:11" ht="15">
      <c r="D20">
        <v>8</v>
      </c>
      <c r="H20">
        <v>8</v>
      </c>
      <c r="J20" t="s">
        <v>187</v>
      </c>
      <c r="K20" t="s">
        <v>316</v>
      </c>
    </row>
    <row r="21" spans="4:11" ht="15">
      <c r="D21">
        <v>9</v>
      </c>
      <c r="H21">
        <v>9</v>
      </c>
      <c r="J21" t="s">
        <v>188</v>
      </c>
      <c r="K21" t="s">
        <v>317</v>
      </c>
    </row>
    <row r="22" spans="4:11" ht="15">
      <c r="D22">
        <v>10</v>
      </c>
      <c r="J22" t="s">
        <v>189</v>
      </c>
      <c r="K22" t="s">
        <v>318</v>
      </c>
    </row>
    <row r="23" spans="4:11" ht="409.5">
      <c r="D23">
        <v>11</v>
      </c>
      <c r="J23" t="s">
        <v>190</v>
      </c>
      <c r="K23" s="13" t="s">
        <v>319</v>
      </c>
    </row>
    <row r="24" spans="10:11" ht="409.5">
      <c r="J24" t="s">
        <v>191</v>
      </c>
      <c r="K24" s="13" t="s">
        <v>320</v>
      </c>
    </row>
    <row r="25" spans="10:11" ht="409.5">
      <c r="J25" t="s">
        <v>192</v>
      </c>
      <c r="K25" s="65" t="s">
        <v>3174</v>
      </c>
    </row>
    <row r="26" spans="10:11" ht="15">
      <c r="J26" t="s">
        <v>193</v>
      </c>
      <c r="K26" t="s">
        <v>194</v>
      </c>
    </row>
    <row r="27" spans="10:11" ht="15">
      <c r="J27" t="s">
        <v>195</v>
      </c>
      <c r="K27" t="s">
        <v>196</v>
      </c>
    </row>
    <row r="28" spans="10:11" ht="15">
      <c r="J28" t="s">
        <v>197</v>
      </c>
      <c r="K28" t="s">
        <v>198</v>
      </c>
    </row>
    <row r="29" spans="10:11" ht="15">
      <c r="J29" t="s">
        <v>199</v>
      </c>
      <c r="K29" t="s">
        <v>200</v>
      </c>
    </row>
    <row r="30" spans="10:11" ht="15">
      <c r="J30" t="s">
        <v>201</v>
      </c>
      <c r="K30" t="s">
        <v>202</v>
      </c>
    </row>
    <row r="31" spans="10:11" ht="15">
      <c r="J31" t="s">
        <v>203</v>
      </c>
      <c r="K31" t="s">
        <v>204</v>
      </c>
    </row>
    <row r="32" spans="10:11" ht="15">
      <c r="J32" t="s">
        <v>205</v>
      </c>
      <c r="K32" t="s">
        <v>206</v>
      </c>
    </row>
    <row r="33" spans="10:11" ht="15">
      <c r="J33" t="s">
        <v>207</v>
      </c>
      <c r="K33" t="s">
        <v>208</v>
      </c>
    </row>
    <row r="34" spans="10:11" ht="15">
      <c r="J34" t="s">
        <v>209</v>
      </c>
      <c r="K34" t="s">
        <v>210</v>
      </c>
    </row>
    <row r="35" spans="10:11" ht="15">
      <c r="J35" t="s">
        <v>211</v>
      </c>
      <c r="K35" t="s">
        <v>212</v>
      </c>
    </row>
    <row r="36" spans="10:11" ht="15">
      <c r="J36" t="s">
        <v>213</v>
      </c>
      <c r="K36" t="s">
        <v>214</v>
      </c>
    </row>
    <row r="37" spans="10:11" ht="15">
      <c r="J37" t="s">
        <v>215</v>
      </c>
      <c r="K37" t="s">
        <v>216</v>
      </c>
    </row>
    <row r="38" spans="10:11" ht="15">
      <c r="J38" t="s">
        <v>217</v>
      </c>
      <c r="K38" t="s">
        <v>218</v>
      </c>
    </row>
    <row r="39" spans="10:11" ht="15">
      <c r="J39" t="s">
        <v>219</v>
      </c>
      <c r="K39" t="s">
        <v>220</v>
      </c>
    </row>
    <row r="40" spans="10:11" ht="15">
      <c r="J40" t="s">
        <v>221</v>
      </c>
      <c r="K40" t="s">
        <v>222</v>
      </c>
    </row>
    <row r="41" spans="10:11" ht="15">
      <c r="J41" t="s">
        <v>223</v>
      </c>
      <c r="K41" t="s">
        <v>224</v>
      </c>
    </row>
    <row r="42" spans="10:11" ht="15">
      <c r="J42" t="s">
        <v>225</v>
      </c>
      <c r="K42" t="s">
        <v>226</v>
      </c>
    </row>
    <row r="43" spans="10:11" ht="15">
      <c r="J43" t="s">
        <v>227</v>
      </c>
      <c r="K43" t="s">
        <v>228</v>
      </c>
    </row>
    <row r="44" spans="10:11" ht="15">
      <c r="J44" t="s">
        <v>229</v>
      </c>
      <c r="K44" t="s">
        <v>230</v>
      </c>
    </row>
    <row r="45" spans="10:11" ht="15">
      <c r="J45" t="s">
        <v>231</v>
      </c>
      <c r="K45" t="s">
        <v>232</v>
      </c>
    </row>
    <row r="46" spans="10:11" ht="15">
      <c r="J46" t="s">
        <v>233</v>
      </c>
      <c r="K46" t="s">
        <v>234</v>
      </c>
    </row>
    <row r="47" spans="10:11" ht="15">
      <c r="J47" t="s">
        <v>235</v>
      </c>
      <c r="K47" t="s">
        <v>236</v>
      </c>
    </row>
    <row r="48" spans="10:11" ht="15">
      <c r="J48" t="s">
        <v>237</v>
      </c>
      <c r="K48" t="s">
        <v>238</v>
      </c>
    </row>
    <row r="49" spans="10:11" ht="15">
      <c r="J49" t="s">
        <v>239</v>
      </c>
      <c r="K49" t="s">
        <v>240</v>
      </c>
    </row>
    <row r="50" spans="10:11" ht="15">
      <c r="J50" t="s">
        <v>241</v>
      </c>
      <c r="K50" t="s">
        <v>242</v>
      </c>
    </row>
    <row r="51" spans="10:11" ht="15">
      <c r="J51" t="s">
        <v>243</v>
      </c>
      <c r="K51" t="s">
        <v>244</v>
      </c>
    </row>
    <row r="52" spans="10:11" ht="15">
      <c r="J52" t="s">
        <v>245</v>
      </c>
      <c r="K52" t="s">
        <v>246</v>
      </c>
    </row>
    <row r="53" spans="10:11" ht="15">
      <c r="J53" t="s">
        <v>247</v>
      </c>
      <c r="K53" t="s">
        <v>248</v>
      </c>
    </row>
    <row r="54" spans="10:11" ht="15">
      <c r="J54" t="s">
        <v>249</v>
      </c>
      <c r="K54" t="s">
        <v>250</v>
      </c>
    </row>
    <row r="55" spans="10:11" ht="15">
      <c r="J55" t="s">
        <v>251</v>
      </c>
      <c r="K55" t="s">
        <v>252</v>
      </c>
    </row>
    <row r="56" spans="10:11" ht="15">
      <c r="J56" t="s">
        <v>253</v>
      </c>
      <c r="K56" t="s">
        <v>254</v>
      </c>
    </row>
    <row r="57" spans="10:11" ht="15">
      <c r="J57" t="s">
        <v>255</v>
      </c>
      <c r="K57" t="s">
        <v>256</v>
      </c>
    </row>
    <row r="58" spans="10:11" ht="15">
      <c r="J58" t="s">
        <v>257</v>
      </c>
      <c r="K58" t="s">
        <v>258</v>
      </c>
    </row>
    <row r="59" spans="10:11" ht="15">
      <c r="J59" t="s">
        <v>259</v>
      </c>
      <c r="K59" t="s">
        <v>260</v>
      </c>
    </row>
    <row r="60" spans="10:11" ht="15">
      <c r="J60" t="s">
        <v>261</v>
      </c>
      <c r="K60" t="s">
        <v>262</v>
      </c>
    </row>
    <row r="61" spans="10:11" ht="15">
      <c r="J61" t="s">
        <v>263</v>
      </c>
      <c r="K61" t="s">
        <v>264</v>
      </c>
    </row>
    <row r="62" spans="10:11" ht="15">
      <c r="J62" t="s">
        <v>265</v>
      </c>
      <c r="K62" t="s">
        <v>266</v>
      </c>
    </row>
    <row r="63" spans="10:11" ht="15">
      <c r="J63" t="s">
        <v>267</v>
      </c>
      <c r="K63" t="s">
        <v>268</v>
      </c>
    </row>
    <row r="64" spans="10:11" ht="15">
      <c r="J64" t="s">
        <v>269</v>
      </c>
      <c r="K64" t="s">
        <v>270</v>
      </c>
    </row>
    <row r="65" spans="10:11" ht="15">
      <c r="J65" t="s">
        <v>271</v>
      </c>
      <c r="K65" t="s">
        <v>272</v>
      </c>
    </row>
    <row r="66" spans="10:11" ht="15">
      <c r="J66" t="s">
        <v>273</v>
      </c>
      <c r="K66" t="s">
        <v>274</v>
      </c>
    </row>
    <row r="67" spans="10:11" ht="15">
      <c r="J67" t="s">
        <v>275</v>
      </c>
      <c r="K67" t="s">
        <v>276</v>
      </c>
    </row>
    <row r="68" spans="10:11" ht="15">
      <c r="J68" t="s">
        <v>277</v>
      </c>
      <c r="K68" t="s">
        <v>278</v>
      </c>
    </row>
    <row r="69" spans="10:11" ht="15">
      <c r="J69" t="s">
        <v>279</v>
      </c>
      <c r="K69" t="s">
        <v>280</v>
      </c>
    </row>
    <row r="70" spans="10:11" ht="15">
      <c r="J70" t="s">
        <v>281</v>
      </c>
      <c r="K70" t="s">
        <v>282</v>
      </c>
    </row>
    <row r="71" spans="10:11" ht="15">
      <c r="J71" t="s">
        <v>283</v>
      </c>
      <c r="K71" t="s">
        <v>284</v>
      </c>
    </row>
    <row r="72" spans="10:11" ht="15">
      <c r="J72" t="s">
        <v>285</v>
      </c>
      <c r="K72" t="s">
        <v>286</v>
      </c>
    </row>
    <row r="73" spans="10:11" ht="15">
      <c r="J73" t="s">
        <v>287</v>
      </c>
      <c r="K73" t="s">
        <v>288</v>
      </c>
    </row>
    <row r="74" spans="10:11" ht="15">
      <c r="J74" t="s">
        <v>289</v>
      </c>
      <c r="K74" t="s">
        <v>290</v>
      </c>
    </row>
    <row r="75" spans="10:11" ht="409.5">
      <c r="J75" t="s">
        <v>291</v>
      </c>
      <c r="K75" s="13" t="s">
        <v>292</v>
      </c>
    </row>
    <row r="76" spans="10:11" ht="409.5">
      <c r="J76" t="s">
        <v>293</v>
      </c>
      <c r="K76" s="13" t="s">
        <v>294</v>
      </c>
    </row>
    <row r="77" spans="10:11" ht="409.5">
      <c r="J77" t="s">
        <v>295</v>
      </c>
      <c r="K77" s="13" t="s">
        <v>296</v>
      </c>
    </row>
    <row r="78" spans="10:11" ht="409.5">
      <c r="J78" t="s">
        <v>297</v>
      </c>
      <c r="K78" s="13" t="s">
        <v>298</v>
      </c>
    </row>
    <row r="79" spans="10:11" ht="15">
      <c r="J79" t="s">
        <v>299</v>
      </c>
      <c r="K79">
        <v>21</v>
      </c>
    </row>
    <row r="80" spans="10:11" ht="15">
      <c r="J80" t="s">
        <v>321</v>
      </c>
      <c r="K80" t="s">
        <v>3172</v>
      </c>
    </row>
    <row r="81" spans="10:11" ht="409.5">
      <c r="J81" t="s">
        <v>322</v>
      </c>
      <c r="K81" s="13" t="s">
        <v>3173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B2A93-B2F0-44B7-90AC-84656C47C4C5}">
  <dimension ref="A1:G9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2262</v>
      </c>
      <c r="B1" s="13" t="s">
        <v>2660</v>
      </c>
      <c r="C1" s="13" t="s">
        <v>2664</v>
      </c>
      <c r="D1" s="13" t="s">
        <v>144</v>
      </c>
      <c r="E1" s="13" t="s">
        <v>2666</v>
      </c>
      <c r="F1" s="13" t="s">
        <v>2667</v>
      </c>
      <c r="G1" s="13" t="s">
        <v>2668</v>
      </c>
    </row>
    <row r="2" spans="1:7" ht="15">
      <c r="A2" s="80" t="s">
        <v>2263</v>
      </c>
      <c r="B2" s="80" t="s">
        <v>2661</v>
      </c>
      <c r="C2" s="119"/>
      <c r="D2" s="80" t="s">
        <v>2665</v>
      </c>
      <c r="E2" s="80"/>
      <c r="F2" s="80"/>
      <c r="G2" s="80"/>
    </row>
    <row r="3" spans="1:7" ht="15">
      <c r="A3" s="80" t="s">
        <v>2264</v>
      </c>
      <c r="B3" s="80" t="s">
        <v>2662</v>
      </c>
      <c r="C3" s="119"/>
      <c r="D3" s="80" t="s">
        <v>2665</v>
      </c>
      <c r="E3" s="80"/>
      <c r="F3" s="80"/>
      <c r="G3" s="80"/>
    </row>
    <row r="4" spans="1:7" ht="15">
      <c r="A4" s="80" t="s">
        <v>2265</v>
      </c>
      <c r="B4" s="80" t="s">
        <v>2663</v>
      </c>
      <c r="C4" s="119"/>
      <c r="D4" s="80" t="s">
        <v>2665</v>
      </c>
      <c r="E4" s="80"/>
      <c r="F4" s="80"/>
      <c r="G4" s="80"/>
    </row>
    <row r="5" spans="1:7" ht="15">
      <c r="A5" s="80" t="s">
        <v>2266</v>
      </c>
      <c r="B5" s="80">
        <v>236</v>
      </c>
      <c r="C5" s="119">
        <v>0.03844274311777162</v>
      </c>
      <c r="D5" s="80" t="s">
        <v>2665</v>
      </c>
      <c r="E5" s="80"/>
      <c r="F5" s="80"/>
      <c r="G5" s="80"/>
    </row>
    <row r="6" spans="1:7" ht="15">
      <c r="A6" s="80" t="s">
        <v>2267</v>
      </c>
      <c r="B6" s="80">
        <v>49</v>
      </c>
      <c r="C6" s="119">
        <v>0.00798175598631699</v>
      </c>
      <c r="D6" s="80" t="s">
        <v>2665</v>
      </c>
      <c r="E6" s="80"/>
      <c r="F6" s="80"/>
      <c r="G6" s="80"/>
    </row>
    <row r="7" spans="1:7" ht="15">
      <c r="A7" s="80" t="s">
        <v>2268</v>
      </c>
      <c r="B7" s="80">
        <v>0</v>
      </c>
      <c r="C7" s="119">
        <v>0</v>
      </c>
      <c r="D7" s="80" t="s">
        <v>2665</v>
      </c>
      <c r="E7" s="80"/>
      <c r="F7" s="80"/>
      <c r="G7" s="80"/>
    </row>
    <row r="8" spans="1:7" ht="15">
      <c r="A8" s="80" t="s">
        <v>2269</v>
      </c>
      <c r="B8" s="80">
        <v>5854</v>
      </c>
      <c r="C8" s="119">
        <v>0.9535755008959115</v>
      </c>
      <c r="D8" s="80" t="s">
        <v>2665</v>
      </c>
      <c r="E8" s="80"/>
      <c r="F8" s="80"/>
      <c r="G8" s="80"/>
    </row>
    <row r="9" spans="1:7" ht="15">
      <c r="A9" s="80" t="s">
        <v>2270</v>
      </c>
      <c r="B9" s="80">
        <v>6139</v>
      </c>
      <c r="C9" s="119">
        <v>1</v>
      </c>
      <c r="D9" s="80" t="s">
        <v>2665</v>
      </c>
      <c r="E9" s="80"/>
      <c r="F9" s="80"/>
      <c r="G9" s="80"/>
    </row>
    <row r="10" spans="1:7" ht="15">
      <c r="A10" s="88" t="s">
        <v>2271</v>
      </c>
      <c r="B10" s="88">
        <v>225</v>
      </c>
      <c r="C10" s="120">
        <v>0</v>
      </c>
      <c r="D10" s="88" t="s">
        <v>2665</v>
      </c>
      <c r="E10" s="88" t="b">
        <v>0</v>
      </c>
      <c r="F10" s="88" t="b">
        <v>0</v>
      </c>
      <c r="G10" s="88" t="b">
        <v>0</v>
      </c>
    </row>
    <row r="11" spans="1:7" ht="15">
      <c r="A11" s="88" t="s">
        <v>699</v>
      </c>
      <c r="B11" s="88">
        <v>123</v>
      </c>
      <c r="C11" s="120">
        <v>0.012344007508792557</v>
      </c>
      <c r="D11" s="88" t="s">
        <v>2665</v>
      </c>
      <c r="E11" s="88" t="b">
        <v>0</v>
      </c>
      <c r="F11" s="88" t="b">
        <v>0</v>
      </c>
      <c r="G11" s="88" t="b">
        <v>0</v>
      </c>
    </row>
    <row r="12" spans="1:7" ht="15">
      <c r="A12" s="88" t="s">
        <v>2272</v>
      </c>
      <c r="B12" s="88">
        <v>82</v>
      </c>
      <c r="C12" s="120">
        <v>0.015087650199102826</v>
      </c>
      <c r="D12" s="88" t="s">
        <v>2665</v>
      </c>
      <c r="E12" s="88" t="b">
        <v>1</v>
      </c>
      <c r="F12" s="88" t="b">
        <v>0</v>
      </c>
      <c r="G12" s="88" t="b">
        <v>0</v>
      </c>
    </row>
    <row r="13" spans="1:7" ht="15">
      <c r="A13" s="88" t="s">
        <v>2273</v>
      </c>
      <c r="B13" s="88">
        <v>63</v>
      </c>
      <c r="C13" s="120">
        <v>0.010464397168698701</v>
      </c>
      <c r="D13" s="88" t="s">
        <v>2665</v>
      </c>
      <c r="E13" s="88" t="b">
        <v>0</v>
      </c>
      <c r="F13" s="88" t="b">
        <v>0</v>
      </c>
      <c r="G13" s="88" t="b">
        <v>0</v>
      </c>
    </row>
    <row r="14" spans="1:7" ht="15">
      <c r="A14" s="88" t="s">
        <v>2274</v>
      </c>
      <c r="B14" s="88">
        <v>60</v>
      </c>
      <c r="C14" s="120">
        <v>0.010255597050974587</v>
      </c>
      <c r="D14" s="88" t="s">
        <v>2665</v>
      </c>
      <c r="E14" s="88" t="b">
        <v>0</v>
      </c>
      <c r="F14" s="88" t="b">
        <v>0</v>
      </c>
      <c r="G14" s="88" t="b">
        <v>0</v>
      </c>
    </row>
    <row r="15" spans="1:7" ht="15">
      <c r="A15" s="88" t="s">
        <v>2275</v>
      </c>
      <c r="B15" s="88">
        <v>47</v>
      </c>
      <c r="C15" s="120">
        <v>0.007806772490933951</v>
      </c>
      <c r="D15" s="88" t="s">
        <v>2665</v>
      </c>
      <c r="E15" s="88" t="b">
        <v>0</v>
      </c>
      <c r="F15" s="88" t="b">
        <v>0</v>
      </c>
      <c r="G15" s="88" t="b">
        <v>0</v>
      </c>
    </row>
    <row r="16" spans="1:7" ht="15">
      <c r="A16" s="88" t="s">
        <v>2276</v>
      </c>
      <c r="B16" s="88">
        <v>46</v>
      </c>
      <c r="C16" s="120">
        <v>0.007750441313338753</v>
      </c>
      <c r="D16" s="88" t="s">
        <v>2665</v>
      </c>
      <c r="E16" s="88" t="b">
        <v>0</v>
      </c>
      <c r="F16" s="88" t="b">
        <v>0</v>
      </c>
      <c r="G16" s="88" t="b">
        <v>0</v>
      </c>
    </row>
    <row r="17" spans="1:7" ht="15">
      <c r="A17" s="88" t="s">
        <v>2277</v>
      </c>
      <c r="B17" s="88">
        <v>45</v>
      </c>
      <c r="C17" s="120">
        <v>0.0076916977882309405</v>
      </c>
      <c r="D17" s="88" t="s">
        <v>2665</v>
      </c>
      <c r="E17" s="88" t="b">
        <v>0</v>
      </c>
      <c r="F17" s="88" t="b">
        <v>0</v>
      </c>
      <c r="G17" s="88" t="b">
        <v>0</v>
      </c>
    </row>
    <row r="18" spans="1:7" ht="15">
      <c r="A18" s="88" t="s">
        <v>2278</v>
      </c>
      <c r="B18" s="88">
        <v>38</v>
      </c>
      <c r="C18" s="120">
        <v>0.007208113573952514</v>
      </c>
      <c r="D18" s="88" t="s">
        <v>2665</v>
      </c>
      <c r="E18" s="88" t="b">
        <v>0</v>
      </c>
      <c r="F18" s="88" t="b">
        <v>0</v>
      </c>
      <c r="G18" s="88" t="b">
        <v>0</v>
      </c>
    </row>
    <row r="19" spans="1:7" ht="15">
      <c r="A19" s="88" t="s">
        <v>2279</v>
      </c>
      <c r="B19" s="88">
        <v>38</v>
      </c>
      <c r="C19" s="120">
        <v>0.007208113573952514</v>
      </c>
      <c r="D19" s="88" t="s">
        <v>2665</v>
      </c>
      <c r="E19" s="88" t="b">
        <v>0</v>
      </c>
      <c r="F19" s="88" t="b">
        <v>0</v>
      </c>
      <c r="G19" s="88" t="b">
        <v>0</v>
      </c>
    </row>
    <row r="20" spans="1:7" ht="15">
      <c r="A20" s="88" t="s">
        <v>2280</v>
      </c>
      <c r="B20" s="88">
        <v>38</v>
      </c>
      <c r="C20" s="120">
        <v>0.007208113573952514</v>
      </c>
      <c r="D20" s="88" t="s">
        <v>2665</v>
      </c>
      <c r="E20" s="88" t="b">
        <v>0</v>
      </c>
      <c r="F20" s="88" t="b">
        <v>0</v>
      </c>
      <c r="G20" s="88" t="b">
        <v>0</v>
      </c>
    </row>
    <row r="21" spans="1:7" ht="15">
      <c r="A21" s="88" t="s">
        <v>2281</v>
      </c>
      <c r="B21" s="88">
        <v>38</v>
      </c>
      <c r="C21" s="120">
        <v>0.007208113573952514</v>
      </c>
      <c r="D21" s="88" t="s">
        <v>2665</v>
      </c>
      <c r="E21" s="88" t="b">
        <v>0</v>
      </c>
      <c r="F21" s="88" t="b">
        <v>0</v>
      </c>
      <c r="G21" s="88" t="b">
        <v>0</v>
      </c>
    </row>
    <row r="22" spans="1:7" ht="15">
      <c r="A22" s="88" t="s">
        <v>2282</v>
      </c>
      <c r="B22" s="88">
        <v>38</v>
      </c>
      <c r="C22" s="120">
        <v>0.007208113573952514</v>
      </c>
      <c r="D22" s="88" t="s">
        <v>2665</v>
      </c>
      <c r="E22" s="88" t="b">
        <v>1</v>
      </c>
      <c r="F22" s="88" t="b">
        <v>0</v>
      </c>
      <c r="G22" s="88" t="b">
        <v>0</v>
      </c>
    </row>
    <row r="23" spans="1:7" ht="15">
      <c r="A23" s="88" t="s">
        <v>2283</v>
      </c>
      <c r="B23" s="88">
        <v>38</v>
      </c>
      <c r="C23" s="120">
        <v>0.007208113573952514</v>
      </c>
      <c r="D23" s="88" t="s">
        <v>2665</v>
      </c>
      <c r="E23" s="88" t="b">
        <v>0</v>
      </c>
      <c r="F23" s="88" t="b">
        <v>0</v>
      </c>
      <c r="G23" s="88" t="b">
        <v>0</v>
      </c>
    </row>
    <row r="24" spans="1:7" ht="15">
      <c r="A24" s="88" t="s">
        <v>2284</v>
      </c>
      <c r="B24" s="88">
        <v>38</v>
      </c>
      <c r="C24" s="120">
        <v>0.007208113573952514</v>
      </c>
      <c r="D24" s="88" t="s">
        <v>2665</v>
      </c>
      <c r="E24" s="88" t="b">
        <v>0</v>
      </c>
      <c r="F24" s="88" t="b">
        <v>0</v>
      </c>
      <c r="G24" s="88" t="b">
        <v>0</v>
      </c>
    </row>
    <row r="25" spans="1:7" ht="15">
      <c r="A25" s="88" t="s">
        <v>2285</v>
      </c>
      <c r="B25" s="88">
        <v>38</v>
      </c>
      <c r="C25" s="120">
        <v>0.007208113573952514</v>
      </c>
      <c r="D25" s="88" t="s">
        <v>2665</v>
      </c>
      <c r="E25" s="88" t="b">
        <v>0</v>
      </c>
      <c r="F25" s="88" t="b">
        <v>0</v>
      </c>
      <c r="G25" s="88" t="b">
        <v>0</v>
      </c>
    </row>
    <row r="26" spans="1:7" ht="15">
      <c r="A26" s="88" t="s">
        <v>2286</v>
      </c>
      <c r="B26" s="88">
        <v>38</v>
      </c>
      <c r="C26" s="120">
        <v>0.007208113573952514</v>
      </c>
      <c r="D26" s="88" t="s">
        <v>2665</v>
      </c>
      <c r="E26" s="88" t="b">
        <v>0</v>
      </c>
      <c r="F26" s="88" t="b">
        <v>0</v>
      </c>
      <c r="G26" s="88" t="b">
        <v>0</v>
      </c>
    </row>
    <row r="27" spans="1:7" ht="15">
      <c r="A27" s="88" t="s">
        <v>2287</v>
      </c>
      <c r="B27" s="88">
        <v>38</v>
      </c>
      <c r="C27" s="120">
        <v>0.007208113573952514</v>
      </c>
      <c r="D27" s="88" t="s">
        <v>2665</v>
      </c>
      <c r="E27" s="88" t="b">
        <v>0</v>
      </c>
      <c r="F27" s="88" t="b">
        <v>0</v>
      </c>
      <c r="G27" s="88" t="b">
        <v>0</v>
      </c>
    </row>
    <row r="28" spans="1:7" ht="15">
      <c r="A28" s="88" t="s">
        <v>2288</v>
      </c>
      <c r="B28" s="88">
        <v>38</v>
      </c>
      <c r="C28" s="120">
        <v>0.007208113573952514</v>
      </c>
      <c r="D28" s="88" t="s">
        <v>2665</v>
      </c>
      <c r="E28" s="88" t="b">
        <v>0</v>
      </c>
      <c r="F28" s="88" t="b">
        <v>0</v>
      </c>
      <c r="G28" s="88" t="b">
        <v>0</v>
      </c>
    </row>
    <row r="29" spans="1:7" ht="15">
      <c r="A29" s="88" t="s">
        <v>2289</v>
      </c>
      <c r="B29" s="88">
        <v>38</v>
      </c>
      <c r="C29" s="120">
        <v>0.007208113573952514</v>
      </c>
      <c r="D29" s="88" t="s">
        <v>2665</v>
      </c>
      <c r="E29" s="88" t="b">
        <v>0</v>
      </c>
      <c r="F29" s="88" t="b">
        <v>0</v>
      </c>
      <c r="G29" s="88" t="b">
        <v>0</v>
      </c>
    </row>
    <row r="30" spans="1:7" ht="15">
      <c r="A30" s="88" t="s">
        <v>2290</v>
      </c>
      <c r="B30" s="88">
        <v>38</v>
      </c>
      <c r="C30" s="120">
        <v>0.007208113573952514</v>
      </c>
      <c r="D30" s="88" t="s">
        <v>2665</v>
      </c>
      <c r="E30" s="88" t="b">
        <v>0</v>
      </c>
      <c r="F30" s="88" t="b">
        <v>0</v>
      </c>
      <c r="G30" s="88" t="b">
        <v>0</v>
      </c>
    </row>
    <row r="31" spans="1:7" ht="15">
      <c r="A31" s="88" t="s">
        <v>513</v>
      </c>
      <c r="B31" s="88">
        <v>38</v>
      </c>
      <c r="C31" s="120">
        <v>0.007208113573952514</v>
      </c>
      <c r="D31" s="88" t="s">
        <v>2665</v>
      </c>
      <c r="E31" s="88" t="b">
        <v>0</v>
      </c>
      <c r="F31" s="88" t="b">
        <v>0</v>
      </c>
      <c r="G31" s="88" t="b">
        <v>0</v>
      </c>
    </row>
    <row r="32" spans="1:7" ht="15">
      <c r="A32" s="88" t="s">
        <v>2291</v>
      </c>
      <c r="B32" s="88">
        <v>38</v>
      </c>
      <c r="C32" s="120">
        <v>0.007208113573952514</v>
      </c>
      <c r="D32" s="88" t="s">
        <v>2665</v>
      </c>
      <c r="E32" s="88" t="b">
        <v>0</v>
      </c>
      <c r="F32" s="88" t="b">
        <v>0</v>
      </c>
      <c r="G32" s="88" t="b">
        <v>0</v>
      </c>
    </row>
    <row r="33" spans="1:7" ht="15">
      <c r="A33" s="88" t="s">
        <v>2292</v>
      </c>
      <c r="B33" s="88">
        <v>29</v>
      </c>
      <c r="C33" s="120">
        <v>0.006370673890703611</v>
      </c>
      <c r="D33" s="88" t="s">
        <v>2665</v>
      </c>
      <c r="E33" s="88" t="b">
        <v>0</v>
      </c>
      <c r="F33" s="88" t="b">
        <v>0</v>
      </c>
      <c r="G33" s="88" t="b">
        <v>0</v>
      </c>
    </row>
    <row r="34" spans="1:7" ht="15">
      <c r="A34" s="88" t="s">
        <v>2293</v>
      </c>
      <c r="B34" s="88">
        <v>28</v>
      </c>
      <c r="C34" s="120">
        <v>0.006260019257784262</v>
      </c>
      <c r="D34" s="88" t="s">
        <v>2665</v>
      </c>
      <c r="E34" s="88" t="b">
        <v>0</v>
      </c>
      <c r="F34" s="88" t="b">
        <v>0</v>
      </c>
      <c r="G34" s="88" t="b">
        <v>0</v>
      </c>
    </row>
    <row r="35" spans="1:7" ht="15">
      <c r="A35" s="88" t="s">
        <v>2294</v>
      </c>
      <c r="B35" s="88">
        <v>27</v>
      </c>
      <c r="C35" s="120">
        <v>0.006145400951845468</v>
      </c>
      <c r="D35" s="88" t="s">
        <v>2665</v>
      </c>
      <c r="E35" s="88" t="b">
        <v>0</v>
      </c>
      <c r="F35" s="88" t="b">
        <v>0</v>
      </c>
      <c r="G35" s="88" t="b">
        <v>0</v>
      </c>
    </row>
    <row r="36" spans="1:7" ht="15">
      <c r="A36" s="88" t="s">
        <v>2295</v>
      </c>
      <c r="B36" s="88">
        <v>27</v>
      </c>
      <c r="C36" s="120">
        <v>0.006145400951845468</v>
      </c>
      <c r="D36" s="88" t="s">
        <v>2665</v>
      </c>
      <c r="E36" s="88" t="b">
        <v>0</v>
      </c>
      <c r="F36" s="88" t="b">
        <v>0</v>
      </c>
      <c r="G36" s="88" t="b">
        <v>0</v>
      </c>
    </row>
    <row r="37" spans="1:7" ht="15">
      <c r="A37" s="88" t="s">
        <v>2296</v>
      </c>
      <c r="B37" s="88">
        <v>25</v>
      </c>
      <c r="C37" s="120">
        <v>0.005903674540507675</v>
      </c>
      <c r="D37" s="88" t="s">
        <v>2665</v>
      </c>
      <c r="E37" s="88" t="b">
        <v>0</v>
      </c>
      <c r="F37" s="88" t="b">
        <v>0</v>
      </c>
      <c r="G37" s="88" t="b">
        <v>0</v>
      </c>
    </row>
    <row r="38" spans="1:7" ht="15">
      <c r="A38" s="88" t="s">
        <v>2297</v>
      </c>
      <c r="B38" s="88">
        <v>24</v>
      </c>
      <c r="C38" s="120">
        <v>0.005776237422722412</v>
      </c>
      <c r="D38" s="88" t="s">
        <v>2665</v>
      </c>
      <c r="E38" s="88" t="b">
        <v>0</v>
      </c>
      <c r="F38" s="88" t="b">
        <v>0</v>
      </c>
      <c r="G38" s="88" t="b">
        <v>0</v>
      </c>
    </row>
    <row r="39" spans="1:7" ht="15">
      <c r="A39" s="88" t="s">
        <v>2298</v>
      </c>
      <c r="B39" s="88">
        <v>24</v>
      </c>
      <c r="C39" s="120">
        <v>0.005776237422722412</v>
      </c>
      <c r="D39" s="88" t="s">
        <v>2665</v>
      </c>
      <c r="E39" s="88" t="b">
        <v>0</v>
      </c>
      <c r="F39" s="88" t="b">
        <v>0</v>
      </c>
      <c r="G39" s="88" t="b">
        <v>0</v>
      </c>
    </row>
    <row r="40" spans="1:7" ht="15">
      <c r="A40" s="88" t="s">
        <v>2299</v>
      </c>
      <c r="B40" s="88">
        <v>23</v>
      </c>
      <c r="C40" s="120">
        <v>0.0057576193459298415</v>
      </c>
      <c r="D40" s="88" t="s">
        <v>2665</v>
      </c>
      <c r="E40" s="88" t="b">
        <v>0</v>
      </c>
      <c r="F40" s="88" t="b">
        <v>0</v>
      </c>
      <c r="G40" s="88" t="b">
        <v>0</v>
      </c>
    </row>
    <row r="41" spans="1:7" ht="15">
      <c r="A41" s="88" t="s">
        <v>2300</v>
      </c>
      <c r="B41" s="88">
        <v>22</v>
      </c>
      <c r="C41" s="120">
        <v>0.005507288070019848</v>
      </c>
      <c r="D41" s="88" t="s">
        <v>2665</v>
      </c>
      <c r="E41" s="88" t="b">
        <v>0</v>
      </c>
      <c r="F41" s="88" t="b">
        <v>0</v>
      </c>
      <c r="G41" s="88" t="b">
        <v>0</v>
      </c>
    </row>
    <row r="42" spans="1:7" ht="15">
      <c r="A42" s="88" t="s">
        <v>2301</v>
      </c>
      <c r="B42" s="88">
        <v>22</v>
      </c>
      <c r="C42" s="120">
        <v>0.005507288070019848</v>
      </c>
      <c r="D42" s="88" t="s">
        <v>2665</v>
      </c>
      <c r="E42" s="88" t="b">
        <v>0</v>
      </c>
      <c r="F42" s="88" t="b">
        <v>0</v>
      </c>
      <c r="G42" s="88" t="b">
        <v>0</v>
      </c>
    </row>
    <row r="43" spans="1:7" ht="15">
      <c r="A43" s="88" t="s">
        <v>2302</v>
      </c>
      <c r="B43" s="88">
        <v>22</v>
      </c>
      <c r="C43" s="120">
        <v>0.005507288070019848</v>
      </c>
      <c r="D43" s="88" t="s">
        <v>2665</v>
      </c>
      <c r="E43" s="88" t="b">
        <v>0</v>
      </c>
      <c r="F43" s="88" t="b">
        <v>0</v>
      </c>
      <c r="G43" s="88" t="b">
        <v>0</v>
      </c>
    </row>
    <row r="44" spans="1:7" ht="15">
      <c r="A44" s="88" t="s">
        <v>2303</v>
      </c>
      <c r="B44" s="88">
        <v>22</v>
      </c>
      <c r="C44" s="120">
        <v>0.005507288070019848</v>
      </c>
      <c r="D44" s="88" t="s">
        <v>2665</v>
      </c>
      <c r="E44" s="88" t="b">
        <v>0</v>
      </c>
      <c r="F44" s="88" t="b">
        <v>0</v>
      </c>
      <c r="G44" s="88" t="b">
        <v>0</v>
      </c>
    </row>
    <row r="45" spans="1:7" ht="15">
      <c r="A45" s="88" t="s">
        <v>2304</v>
      </c>
      <c r="B45" s="88">
        <v>22</v>
      </c>
      <c r="C45" s="120">
        <v>0.005507288070019848</v>
      </c>
      <c r="D45" s="88" t="s">
        <v>2665</v>
      </c>
      <c r="E45" s="88" t="b">
        <v>0</v>
      </c>
      <c r="F45" s="88" t="b">
        <v>0</v>
      </c>
      <c r="G45" s="88" t="b">
        <v>0</v>
      </c>
    </row>
    <row r="46" spans="1:7" ht="15">
      <c r="A46" s="88" t="s">
        <v>2305</v>
      </c>
      <c r="B46" s="88">
        <v>22</v>
      </c>
      <c r="C46" s="120">
        <v>0.005507288070019848</v>
      </c>
      <c r="D46" s="88" t="s">
        <v>2665</v>
      </c>
      <c r="E46" s="88" t="b">
        <v>0</v>
      </c>
      <c r="F46" s="88" t="b">
        <v>0</v>
      </c>
      <c r="G46" s="88" t="b">
        <v>0</v>
      </c>
    </row>
    <row r="47" spans="1:7" ht="15">
      <c r="A47" s="88" t="s">
        <v>2306</v>
      </c>
      <c r="B47" s="88">
        <v>22</v>
      </c>
      <c r="C47" s="120">
        <v>0.005507288070019848</v>
      </c>
      <c r="D47" s="88" t="s">
        <v>2665</v>
      </c>
      <c r="E47" s="88" t="b">
        <v>1</v>
      </c>
      <c r="F47" s="88" t="b">
        <v>0</v>
      </c>
      <c r="G47" s="88" t="b">
        <v>0</v>
      </c>
    </row>
    <row r="48" spans="1:7" ht="15">
      <c r="A48" s="88" t="s">
        <v>2307</v>
      </c>
      <c r="B48" s="88">
        <v>22</v>
      </c>
      <c r="C48" s="120">
        <v>0.005507288070019848</v>
      </c>
      <c r="D48" s="88" t="s">
        <v>2665</v>
      </c>
      <c r="E48" s="88" t="b">
        <v>0</v>
      </c>
      <c r="F48" s="88" t="b">
        <v>0</v>
      </c>
      <c r="G48" s="88" t="b">
        <v>0</v>
      </c>
    </row>
    <row r="49" spans="1:7" ht="15">
      <c r="A49" s="88" t="s">
        <v>527</v>
      </c>
      <c r="B49" s="88">
        <v>22</v>
      </c>
      <c r="C49" s="120">
        <v>0.005507288070019848</v>
      </c>
      <c r="D49" s="88" t="s">
        <v>2665</v>
      </c>
      <c r="E49" s="88" t="b">
        <v>0</v>
      </c>
      <c r="F49" s="88" t="b">
        <v>0</v>
      </c>
      <c r="G49" s="88" t="b">
        <v>0</v>
      </c>
    </row>
    <row r="50" spans="1:7" ht="15">
      <c r="A50" s="88" t="s">
        <v>526</v>
      </c>
      <c r="B50" s="88">
        <v>22</v>
      </c>
      <c r="C50" s="120">
        <v>0.005507288070019848</v>
      </c>
      <c r="D50" s="88" t="s">
        <v>2665</v>
      </c>
      <c r="E50" s="88" t="b">
        <v>0</v>
      </c>
      <c r="F50" s="88" t="b">
        <v>0</v>
      </c>
      <c r="G50" s="88" t="b">
        <v>0</v>
      </c>
    </row>
    <row r="51" spans="1:7" ht="15">
      <c r="A51" s="88" t="s">
        <v>2308</v>
      </c>
      <c r="B51" s="88">
        <v>21</v>
      </c>
      <c r="C51" s="120">
        <v>0.005365355135411344</v>
      </c>
      <c r="D51" s="88" t="s">
        <v>2665</v>
      </c>
      <c r="E51" s="88" t="b">
        <v>0</v>
      </c>
      <c r="F51" s="88" t="b">
        <v>0</v>
      </c>
      <c r="G51" s="88" t="b">
        <v>0</v>
      </c>
    </row>
    <row r="52" spans="1:7" ht="15">
      <c r="A52" s="88" t="s">
        <v>2309</v>
      </c>
      <c r="B52" s="88">
        <v>20</v>
      </c>
      <c r="C52" s="120">
        <v>0.005218136428563812</v>
      </c>
      <c r="D52" s="88" t="s">
        <v>2665</v>
      </c>
      <c r="E52" s="88" t="b">
        <v>0</v>
      </c>
      <c r="F52" s="88" t="b">
        <v>0</v>
      </c>
      <c r="G52" s="88" t="b">
        <v>0</v>
      </c>
    </row>
    <row r="53" spans="1:7" ht="15">
      <c r="A53" s="88" t="s">
        <v>2310</v>
      </c>
      <c r="B53" s="88">
        <v>20</v>
      </c>
      <c r="C53" s="120">
        <v>0.005218136428563812</v>
      </c>
      <c r="D53" s="88" t="s">
        <v>2665</v>
      </c>
      <c r="E53" s="88" t="b">
        <v>0</v>
      </c>
      <c r="F53" s="88" t="b">
        <v>0</v>
      </c>
      <c r="G53" s="88" t="b">
        <v>0</v>
      </c>
    </row>
    <row r="54" spans="1:7" ht="15">
      <c r="A54" s="88" t="s">
        <v>2311</v>
      </c>
      <c r="B54" s="88">
        <v>20</v>
      </c>
      <c r="C54" s="120">
        <v>0.005218136428563812</v>
      </c>
      <c r="D54" s="88" t="s">
        <v>2665</v>
      </c>
      <c r="E54" s="88" t="b">
        <v>0</v>
      </c>
      <c r="F54" s="88" t="b">
        <v>0</v>
      </c>
      <c r="G54" s="88" t="b">
        <v>0</v>
      </c>
    </row>
    <row r="55" spans="1:7" ht="15">
      <c r="A55" s="88" t="s">
        <v>2312</v>
      </c>
      <c r="B55" s="88">
        <v>20</v>
      </c>
      <c r="C55" s="120">
        <v>0.005218136428563812</v>
      </c>
      <c r="D55" s="88" t="s">
        <v>2665</v>
      </c>
      <c r="E55" s="88" t="b">
        <v>1</v>
      </c>
      <c r="F55" s="88" t="b">
        <v>0</v>
      </c>
      <c r="G55" s="88" t="b">
        <v>0</v>
      </c>
    </row>
    <row r="56" spans="1:7" ht="15">
      <c r="A56" s="88" t="s">
        <v>2313</v>
      </c>
      <c r="B56" s="88">
        <v>20</v>
      </c>
      <c r="C56" s="120">
        <v>0.005218136428563812</v>
      </c>
      <c r="D56" s="88" t="s">
        <v>2665</v>
      </c>
      <c r="E56" s="88" t="b">
        <v>0</v>
      </c>
      <c r="F56" s="88" t="b">
        <v>0</v>
      </c>
      <c r="G56" s="88" t="b">
        <v>0</v>
      </c>
    </row>
    <row r="57" spans="1:7" ht="15">
      <c r="A57" s="88" t="s">
        <v>2314</v>
      </c>
      <c r="B57" s="88">
        <v>20</v>
      </c>
      <c r="C57" s="120">
        <v>0.005218136428563812</v>
      </c>
      <c r="D57" s="88" t="s">
        <v>2665</v>
      </c>
      <c r="E57" s="88" t="b">
        <v>0</v>
      </c>
      <c r="F57" s="88" t="b">
        <v>0</v>
      </c>
      <c r="G57" s="88" t="b">
        <v>0</v>
      </c>
    </row>
    <row r="58" spans="1:7" ht="15">
      <c r="A58" s="88" t="s">
        <v>2315</v>
      </c>
      <c r="B58" s="88">
        <v>20</v>
      </c>
      <c r="C58" s="120">
        <v>0.005218136428563812</v>
      </c>
      <c r="D58" s="88" t="s">
        <v>2665</v>
      </c>
      <c r="E58" s="88" t="b">
        <v>0</v>
      </c>
      <c r="F58" s="88" t="b">
        <v>0</v>
      </c>
      <c r="G58" s="88" t="b">
        <v>0</v>
      </c>
    </row>
    <row r="59" spans="1:7" ht="15">
      <c r="A59" s="88" t="s">
        <v>2316</v>
      </c>
      <c r="B59" s="88">
        <v>20</v>
      </c>
      <c r="C59" s="120">
        <v>0.005218136428563812</v>
      </c>
      <c r="D59" s="88" t="s">
        <v>2665</v>
      </c>
      <c r="E59" s="88" t="b">
        <v>0</v>
      </c>
      <c r="F59" s="88" t="b">
        <v>0</v>
      </c>
      <c r="G59" s="88" t="b">
        <v>0</v>
      </c>
    </row>
    <row r="60" spans="1:7" ht="15">
      <c r="A60" s="88" t="s">
        <v>2317</v>
      </c>
      <c r="B60" s="88">
        <v>20</v>
      </c>
      <c r="C60" s="120">
        <v>0.005218136428563812</v>
      </c>
      <c r="D60" s="88" t="s">
        <v>2665</v>
      </c>
      <c r="E60" s="88" t="b">
        <v>0</v>
      </c>
      <c r="F60" s="88" t="b">
        <v>0</v>
      </c>
      <c r="G60" s="88" t="b">
        <v>0</v>
      </c>
    </row>
    <row r="61" spans="1:7" ht="15">
      <c r="A61" s="88" t="s">
        <v>534</v>
      </c>
      <c r="B61" s="88">
        <v>20</v>
      </c>
      <c r="C61" s="120">
        <v>0.005218136428563812</v>
      </c>
      <c r="D61" s="88" t="s">
        <v>2665</v>
      </c>
      <c r="E61" s="88" t="b">
        <v>0</v>
      </c>
      <c r="F61" s="88" t="b">
        <v>0</v>
      </c>
      <c r="G61" s="88" t="b">
        <v>0</v>
      </c>
    </row>
    <row r="62" spans="1:7" ht="15">
      <c r="A62" s="88" t="s">
        <v>2318</v>
      </c>
      <c r="B62" s="88">
        <v>20</v>
      </c>
      <c r="C62" s="120">
        <v>0.005218136428563812</v>
      </c>
      <c r="D62" s="88" t="s">
        <v>2665</v>
      </c>
      <c r="E62" s="88" t="b">
        <v>0</v>
      </c>
      <c r="F62" s="88" t="b">
        <v>0</v>
      </c>
      <c r="G62" s="88" t="b">
        <v>0</v>
      </c>
    </row>
    <row r="63" spans="1:7" ht="15">
      <c r="A63" s="88" t="s">
        <v>2319</v>
      </c>
      <c r="B63" s="88">
        <v>20</v>
      </c>
      <c r="C63" s="120">
        <v>0.005218136428563812</v>
      </c>
      <c r="D63" s="88" t="s">
        <v>2665</v>
      </c>
      <c r="E63" s="88" t="b">
        <v>0</v>
      </c>
      <c r="F63" s="88" t="b">
        <v>0</v>
      </c>
      <c r="G63" s="88" t="b">
        <v>0</v>
      </c>
    </row>
    <row r="64" spans="1:7" ht="15">
      <c r="A64" s="88" t="s">
        <v>2320</v>
      </c>
      <c r="B64" s="88">
        <v>20</v>
      </c>
      <c r="C64" s="120">
        <v>0.005218136428563812</v>
      </c>
      <c r="D64" s="88" t="s">
        <v>2665</v>
      </c>
      <c r="E64" s="88" t="b">
        <v>0</v>
      </c>
      <c r="F64" s="88" t="b">
        <v>0</v>
      </c>
      <c r="G64" s="88" t="b">
        <v>0</v>
      </c>
    </row>
    <row r="65" spans="1:7" ht="15">
      <c r="A65" s="88" t="s">
        <v>2321</v>
      </c>
      <c r="B65" s="88">
        <v>20</v>
      </c>
      <c r="C65" s="120">
        <v>0.005218136428563812</v>
      </c>
      <c r="D65" s="88" t="s">
        <v>2665</v>
      </c>
      <c r="E65" s="88" t="b">
        <v>0</v>
      </c>
      <c r="F65" s="88" t="b">
        <v>1</v>
      </c>
      <c r="G65" s="88" t="b">
        <v>0</v>
      </c>
    </row>
    <row r="66" spans="1:7" ht="15">
      <c r="A66" s="88" t="s">
        <v>2322</v>
      </c>
      <c r="B66" s="88">
        <v>20</v>
      </c>
      <c r="C66" s="120">
        <v>0.005218136428563812</v>
      </c>
      <c r="D66" s="88" t="s">
        <v>2665</v>
      </c>
      <c r="E66" s="88" t="b">
        <v>0</v>
      </c>
      <c r="F66" s="88" t="b">
        <v>0</v>
      </c>
      <c r="G66" s="88" t="b">
        <v>0</v>
      </c>
    </row>
    <row r="67" spans="1:7" ht="15">
      <c r="A67" s="88" t="s">
        <v>2323</v>
      </c>
      <c r="B67" s="88">
        <v>18</v>
      </c>
      <c r="C67" s="120">
        <v>0.006291155374374731</v>
      </c>
      <c r="D67" s="88" t="s">
        <v>2665</v>
      </c>
      <c r="E67" s="88" t="b">
        <v>0</v>
      </c>
      <c r="F67" s="88" t="b">
        <v>0</v>
      </c>
      <c r="G67" s="88" t="b">
        <v>0</v>
      </c>
    </row>
    <row r="68" spans="1:7" ht="15">
      <c r="A68" s="88" t="s">
        <v>2324</v>
      </c>
      <c r="B68" s="88">
        <v>17</v>
      </c>
      <c r="C68" s="120">
        <v>0.004741976583302497</v>
      </c>
      <c r="D68" s="88" t="s">
        <v>2665</v>
      </c>
      <c r="E68" s="88" t="b">
        <v>0</v>
      </c>
      <c r="F68" s="88" t="b">
        <v>0</v>
      </c>
      <c r="G68" s="88" t="b">
        <v>0</v>
      </c>
    </row>
    <row r="69" spans="1:7" ht="15">
      <c r="A69" s="88" t="s">
        <v>2325</v>
      </c>
      <c r="B69" s="88">
        <v>17</v>
      </c>
      <c r="C69" s="120">
        <v>0.004741976583302497</v>
      </c>
      <c r="D69" s="88" t="s">
        <v>2665</v>
      </c>
      <c r="E69" s="88" t="b">
        <v>0</v>
      </c>
      <c r="F69" s="88" t="b">
        <v>0</v>
      </c>
      <c r="G69" s="88" t="b">
        <v>0</v>
      </c>
    </row>
    <row r="70" spans="1:7" ht="15">
      <c r="A70" s="88" t="s">
        <v>2326</v>
      </c>
      <c r="B70" s="88">
        <v>16</v>
      </c>
      <c r="C70" s="120">
        <v>0.004570666579777188</v>
      </c>
      <c r="D70" s="88" t="s">
        <v>2665</v>
      </c>
      <c r="E70" s="88" t="b">
        <v>0</v>
      </c>
      <c r="F70" s="88" t="b">
        <v>0</v>
      </c>
      <c r="G70" s="88" t="b">
        <v>0</v>
      </c>
    </row>
    <row r="71" spans="1:7" ht="15">
      <c r="A71" s="88" t="s">
        <v>564</v>
      </c>
      <c r="B71" s="88">
        <v>16</v>
      </c>
      <c r="C71" s="120">
        <v>0.004570666579777188</v>
      </c>
      <c r="D71" s="88" t="s">
        <v>2665</v>
      </c>
      <c r="E71" s="88" t="b">
        <v>0</v>
      </c>
      <c r="F71" s="88" t="b">
        <v>0</v>
      </c>
      <c r="G71" s="88" t="b">
        <v>0</v>
      </c>
    </row>
    <row r="72" spans="1:7" ht="15">
      <c r="A72" s="88" t="s">
        <v>2327</v>
      </c>
      <c r="B72" s="88">
        <v>16</v>
      </c>
      <c r="C72" s="120">
        <v>0.004570666579777188</v>
      </c>
      <c r="D72" s="88" t="s">
        <v>2665</v>
      </c>
      <c r="E72" s="88" t="b">
        <v>0</v>
      </c>
      <c r="F72" s="88" t="b">
        <v>0</v>
      </c>
      <c r="G72" s="88" t="b">
        <v>0</v>
      </c>
    </row>
    <row r="73" spans="1:7" ht="15">
      <c r="A73" s="88" t="s">
        <v>2328</v>
      </c>
      <c r="B73" s="88">
        <v>16</v>
      </c>
      <c r="C73" s="120">
        <v>0.004570666579777188</v>
      </c>
      <c r="D73" s="88" t="s">
        <v>2665</v>
      </c>
      <c r="E73" s="88" t="b">
        <v>0</v>
      </c>
      <c r="F73" s="88" t="b">
        <v>0</v>
      </c>
      <c r="G73" s="88" t="b">
        <v>0</v>
      </c>
    </row>
    <row r="74" spans="1:7" ht="15">
      <c r="A74" s="88" t="s">
        <v>2329</v>
      </c>
      <c r="B74" s="88">
        <v>16</v>
      </c>
      <c r="C74" s="120">
        <v>0.004570666579777188</v>
      </c>
      <c r="D74" s="88" t="s">
        <v>2665</v>
      </c>
      <c r="E74" s="88" t="b">
        <v>0</v>
      </c>
      <c r="F74" s="88" t="b">
        <v>0</v>
      </c>
      <c r="G74" s="88" t="b">
        <v>0</v>
      </c>
    </row>
    <row r="75" spans="1:7" ht="15">
      <c r="A75" s="88" t="s">
        <v>2330</v>
      </c>
      <c r="B75" s="88">
        <v>16</v>
      </c>
      <c r="C75" s="120">
        <v>0.004570666579777188</v>
      </c>
      <c r="D75" s="88" t="s">
        <v>2665</v>
      </c>
      <c r="E75" s="88" t="b">
        <v>0</v>
      </c>
      <c r="F75" s="88" t="b">
        <v>0</v>
      </c>
      <c r="G75" s="88" t="b">
        <v>0</v>
      </c>
    </row>
    <row r="76" spans="1:7" ht="15">
      <c r="A76" s="88" t="s">
        <v>2331</v>
      </c>
      <c r="B76" s="88">
        <v>15</v>
      </c>
      <c r="C76" s="120">
        <v>0.004392417101475107</v>
      </c>
      <c r="D76" s="88" t="s">
        <v>2665</v>
      </c>
      <c r="E76" s="88" t="b">
        <v>0</v>
      </c>
      <c r="F76" s="88" t="b">
        <v>0</v>
      </c>
      <c r="G76" s="88" t="b">
        <v>0</v>
      </c>
    </row>
    <row r="77" spans="1:7" ht="15">
      <c r="A77" s="88" t="s">
        <v>473</v>
      </c>
      <c r="B77" s="88">
        <v>15</v>
      </c>
      <c r="C77" s="120">
        <v>0.004908635448041751</v>
      </c>
      <c r="D77" s="88" t="s">
        <v>2665</v>
      </c>
      <c r="E77" s="88" t="b">
        <v>0</v>
      </c>
      <c r="F77" s="88" t="b">
        <v>0</v>
      </c>
      <c r="G77" s="88" t="b">
        <v>0</v>
      </c>
    </row>
    <row r="78" spans="1:7" ht="15">
      <c r="A78" s="88" t="s">
        <v>2332</v>
      </c>
      <c r="B78" s="88">
        <v>14</v>
      </c>
      <c r="C78" s="120">
        <v>0.0052835200730902586</v>
      </c>
      <c r="D78" s="88" t="s">
        <v>2665</v>
      </c>
      <c r="E78" s="88" t="b">
        <v>0</v>
      </c>
      <c r="F78" s="88" t="b">
        <v>0</v>
      </c>
      <c r="G78" s="88" t="b">
        <v>0</v>
      </c>
    </row>
    <row r="79" spans="1:7" ht="15">
      <c r="A79" s="88" t="s">
        <v>2333</v>
      </c>
      <c r="B79" s="88">
        <v>12</v>
      </c>
      <c r="C79" s="120">
        <v>0.003811051758874689</v>
      </c>
      <c r="D79" s="88" t="s">
        <v>2665</v>
      </c>
      <c r="E79" s="88" t="b">
        <v>0</v>
      </c>
      <c r="F79" s="88" t="b">
        <v>0</v>
      </c>
      <c r="G79" s="88" t="b">
        <v>0</v>
      </c>
    </row>
    <row r="80" spans="1:7" ht="15">
      <c r="A80" s="88" t="s">
        <v>2334</v>
      </c>
      <c r="B80" s="88">
        <v>12</v>
      </c>
      <c r="C80" s="120">
        <v>0.003811051758874689</v>
      </c>
      <c r="D80" s="88" t="s">
        <v>2665</v>
      </c>
      <c r="E80" s="88" t="b">
        <v>0</v>
      </c>
      <c r="F80" s="88" t="b">
        <v>0</v>
      </c>
      <c r="G80" s="88" t="b">
        <v>0</v>
      </c>
    </row>
    <row r="81" spans="1:7" ht="15">
      <c r="A81" s="88" t="s">
        <v>2335</v>
      </c>
      <c r="B81" s="88">
        <v>12</v>
      </c>
      <c r="C81" s="120">
        <v>0.003811051758874689</v>
      </c>
      <c r="D81" s="88" t="s">
        <v>2665</v>
      </c>
      <c r="E81" s="88" t="b">
        <v>0</v>
      </c>
      <c r="F81" s="88" t="b">
        <v>0</v>
      </c>
      <c r="G81" s="88" t="b">
        <v>0</v>
      </c>
    </row>
    <row r="82" spans="1:7" ht="15">
      <c r="A82" s="88" t="s">
        <v>2336</v>
      </c>
      <c r="B82" s="88">
        <v>11</v>
      </c>
      <c r="C82" s="120">
        <v>0.003599665995230617</v>
      </c>
      <c r="D82" s="88" t="s">
        <v>2665</v>
      </c>
      <c r="E82" s="88" t="b">
        <v>0</v>
      </c>
      <c r="F82" s="88" t="b">
        <v>0</v>
      </c>
      <c r="G82" s="88" t="b">
        <v>0</v>
      </c>
    </row>
    <row r="83" spans="1:7" ht="15">
      <c r="A83" s="88" t="s">
        <v>2337</v>
      </c>
      <c r="B83" s="88">
        <v>11</v>
      </c>
      <c r="C83" s="120">
        <v>0.003599665995230617</v>
      </c>
      <c r="D83" s="88" t="s">
        <v>2665</v>
      </c>
      <c r="E83" s="88" t="b">
        <v>0</v>
      </c>
      <c r="F83" s="88" t="b">
        <v>0</v>
      </c>
      <c r="G83" s="88" t="b">
        <v>0</v>
      </c>
    </row>
    <row r="84" spans="1:7" ht="15">
      <c r="A84" s="88" t="s">
        <v>567</v>
      </c>
      <c r="B84" s="88">
        <v>11</v>
      </c>
      <c r="C84" s="120">
        <v>0.003599665995230617</v>
      </c>
      <c r="D84" s="88" t="s">
        <v>2665</v>
      </c>
      <c r="E84" s="88" t="b">
        <v>0</v>
      </c>
      <c r="F84" s="88" t="b">
        <v>0</v>
      </c>
      <c r="G84" s="88" t="b">
        <v>0</v>
      </c>
    </row>
    <row r="85" spans="1:7" ht="15">
      <c r="A85" s="88" t="s">
        <v>2338</v>
      </c>
      <c r="B85" s="88">
        <v>10</v>
      </c>
      <c r="C85" s="120">
        <v>0.003378179087209809</v>
      </c>
      <c r="D85" s="88" t="s">
        <v>2665</v>
      </c>
      <c r="E85" s="88" t="b">
        <v>0</v>
      </c>
      <c r="F85" s="88" t="b">
        <v>0</v>
      </c>
      <c r="G85" s="88" t="b">
        <v>0</v>
      </c>
    </row>
    <row r="86" spans="1:7" ht="15">
      <c r="A86" s="88" t="s">
        <v>2339</v>
      </c>
      <c r="B86" s="88">
        <v>10</v>
      </c>
      <c r="C86" s="120">
        <v>0.003378179087209809</v>
      </c>
      <c r="D86" s="88" t="s">
        <v>2665</v>
      </c>
      <c r="E86" s="88" t="b">
        <v>0</v>
      </c>
      <c r="F86" s="88" t="b">
        <v>0</v>
      </c>
      <c r="G86" s="88" t="b">
        <v>0</v>
      </c>
    </row>
    <row r="87" spans="1:7" ht="15">
      <c r="A87" s="88" t="s">
        <v>2340</v>
      </c>
      <c r="B87" s="88">
        <v>10</v>
      </c>
      <c r="C87" s="120">
        <v>0.004147289960137712</v>
      </c>
      <c r="D87" s="88" t="s">
        <v>2665</v>
      </c>
      <c r="E87" s="88" t="b">
        <v>0</v>
      </c>
      <c r="F87" s="88" t="b">
        <v>0</v>
      </c>
      <c r="G87" s="88" t="b">
        <v>0</v>
      </c>
    </row>
    <row r="88" spans="1:7" ht="15">
      <c r="A88" s="88" t="s">
        <v>2341</v>
      </c>
      <c r="B88" s="88">
        <v>10</v>
      </c>
      <c r="C88" s="120">
        <v>0.003378179087209809</v>
      </c>
      <c r="D88" s="88" t="s">
        <v>2665</v>
      </c>
      <c r="E88" s="88" t="b">
        <v>0</v>
      </c>
      <c r="F88" s="88" t="b">
        <v>0</v>
      </c>
      <c r="G88" s="88" t="b">
        <v>0</v>
      </c>
    </row>
    <row r="89" spans="1:7" ht="15">
      <c r="A89" s="88" t="s">
        <v>2342</v>
      </c>
      <c r="B89" s="88">
        <v>9</v>
      </c>
      <c r="C89" s="120">
        <v>0.0031455776871873657</v>
      </c>
      <c r="D89" s="88" t="s">
        <v>2665</v>
      </c>
      <c r="E89" s="88" t="b">
        <v>0</v>
      </c>
      <c r="F89" s="88" t="b">
        <v>0</v>
      </c>
      <c r="G89" s="88" t="b">
        <v>0</v>
      </c>
    </row>
    <row r="90" spans="1:7" ht="15">
      <c r="A90" s="88" t="s">
        <v>2343</v>
      </c>
      <c r="B90" s="88">
        <v>9</v>
      </c>
      <c r="C90" s="120">
        <v>0.0031455776871873657</v>
      </c>
      <c r="D90" s="88" t="s">
        <v>2665</v>
      </c>
      <c r="E90" s="88" t="b">
        <v>0</v>
      </c>
      <c r="F90" s="88" t="b">
        <v>0</v>
      </c>
      <c r="G90" s="88" t="b">
        <v>0</v>
      </c>
    </row>
    <row r="91" spans="1:7" ht="15">
      <c r="A91" s="88" t="s">
        <v>569</v>
      </c>
      <c r="B91" s="88">
        <v>9</v>
      </c>
      <c r="C91" s="120">
        <v>0.0031455776871873657</v>
      </c>
      <c r="D91" s="88" t="s">
        <v>2665</v>
      </c>
      <c r="E91" s="88" t="b">
        <v>0</v>
      </c>
      <c r="F91" s="88" t="b">
        <v>0</v>
      </c>
      <c r="G91" s="88" t="b">
        <v>0</v>
      </c>
    </row>
    <row r="92" spans="1:7" ht="15">
      <c r="A92" s="88" t="s">
        <v>568</v>
      </c>
      <c r="B92" s="88">
        <v>9</v>
      </c>
      <c r="C92" s="120">
        <v>0.003263199736759781</v>
      </c>
      <c r="D92" s="88" t="s">
        <v>2665</v>
      </c>
      <c r="E92" s="88" t="b">
        <v>0</v>
      </c>
      <c r="F92" s="88" t="b">
        <v>0</v>
      </c>
      <c r="G92" s="88" t="b">
        <v>0</v>
      </c>
    </row>
    <row r="93" spans="1:7" ht="15">
      <c r="A93" s="88" t="s">
        <v>2344</v>
      </c>
      <c r="B93" s="88">
        <v>9</v>
      </c>
      <c r="C93" s="120">
        <v>0.0031455776871873657</v>
      </c>
      <c r="D93" s="88" t="s">
        <v>2665</v>
      </c>
      <c r="E93" s="88" t="b">
        <v>0</v>
      </c>
      <c r="F93" s="88" t="b">
        <v>0</v>
      </c>
      <c r="G93" s="88" t="b">
        <v>0</v>
      </c>
    </row>
    <row r="94" spans="1:7" ht="15">
      <c r="A94" s="88" t="s">
        <v>2345</v>
      </c>
      <c r="B94" s="88">
        <v>9</v>
      </c>
      <c r="C94" s="120">
        <v>0.0031455776871873657</v>
      </c>
      <c r="D94" s="88" t="s">
        <v>2665</v>
      </c>
      <c r="E94" s="88" t="b">
        <v>0</v>
      </c>
      <c r="F94" s="88" t="b">
        <v>0</v>
      </c>
      <c r="G94" s="88" t="b">
        <v>0</v>
      </c>
    </row>
    <row r="95" spans="1:7" ht="15">
      <c r="A95" s="88" t="s">
        <v>2346</v>
      </c>
      <c r="B95" s="88">
        <v>9</v>
      </c>
      <c r="C95" s="120">
        <v>0.0031455776871873657</v>
      </c>
      <c r="D95" s="88" t="s">
        <v>2665</v>
      </c>
      <c r="E95" s="88" t="b">
        <v>0</v>
      </c>
      <c r="F95" s="88" t="b">
        <v>0</v>
      </c>
      <c r="G95" s="88" t="b">
        <v>0</v>
      </c>
    </row>
    <row r="96" spans="1:7" ht="15">
      <c r="A96" s="88" t="s">
        <v>2347</v>
      </c>
      <c r="B96" s="88">
        <v>9</v>
      </c>
      <c r="C96" s="120">
        <v>0.0031455776871873657</v>
      </c>
      <c r="D96" s="88" t="s">
        <v>2665</v>
      </c>
      <c r="E96" s="88" t="b">
        <v>0</v>
      </c>
      <c r="F96" s="88" t="b">
        <v>0</v>
      </c>
      <c r="G96" s="88" t="b">
        <v>0</v>
      </c>
    </row>
    <row r="97" spans="1:7" ht="15">
      <c r="A97" s="88" t="s">
        <v>2348</v>
      </c>
      <c r="B97" s="88">
        <v>9</v>
      </c>
      <c r="C97" s="120">
        <v>0.0031455776871873657</v>
      </c>
      <c r="D97" s="88" t="s">
        <v>2665</v>
      </c>
      <c r="E97" s="88" t="b">
        <v>0</v>
      </c>
      <c r="F97" s="88" t="b">
        <v>0</v>
      </c>
      <c r="G97" s="88" t="b">
        <v>0</v>
      </c>
    </row>
    <row r="98" spans="1:7" ht="15">
      <c r="A98" s="88" t="s">
        <v>2349</v>
      </c>
      <c r="B98" s="88">
        <v>9</v>
      </c>
      <c r="C98" s="120">
        <v>0.0031455776871873657</v>
      </c>
      <c r="D98" s="88" t="s">
        <v>2665</v>
      </c>
      <c r="E98" s="88" t="b">
        <v>0</v>
      </c>
      <c r="F98" s="88" t="b">
        <v>0</v>
      </c>
      <c r="G98" s="88" t="b">
        <v>0</v>
      </c>
    </row>
    <row r="99" spans="1:7" ht="15">
      <c r="A99" s="88" t="s">
        <v>2350</v>
      </c>
      <c r="B99" s="88">
        <v>9</v>
      </c>
      <c r="C99" s="120">
        <v>0.0031455776871873657</v>
      </c>
      <c r="D99" s="88" t="s">
        <v>2665</v>
      </c>
      <c r="E99" s="88" t="b">
        <v>1</v>
      </c>
      <c r="F99" s="88" t="b">
        <v>0</v>
      </c>
      <c r="G99" s="88" t="b">
        <v>0</v>
      </c>
    </row>
    <row r="100" spans="1:7" ht="15">
      <c r="A100" s="88" t="s">
        <v>2351</v>
      </c>
      <c r="B100" s="88">
        <v>9</v>
      </c>
      <c r="C100" s="120">
        <v>0.0031455776871873657</v>
      </c>
      <c r="D100" s="88" t="s">
        <v>2665</v>
      </c>
      <c r="E100" s="88" t="b">
        <v>0</v>
      </c>
      <c r="F100" s="88" t="b">
        <v>0</v>
      </c>
      <c r="G100" s="88" t="b">
        <v>0</v>
      </c>
    </row>
    <row r="101" spans="1:7" ht="15">
      <c r="A101" s="88" t="s">
        <v>2352</v>
      </c>
      <c r="B101" s="88">
        <v>9</v>
      </c>
      <c r="C101" s="120">
        <v>0.0031455776871873657</v>
      </c>
      <c r="D101" s="88" t="s">
        <v>2665</v>
      </c>
      <c r="E101" s="88" t="b">
        <v>0</v>
      </c>
      <c r="F101" s="88" t="b">
        <v>0</v>
      </c>
      <c r="G101" s="88" t="b">
        <v>0</v>
      </c>
    </row>
    <row r="102" spans="1:7" ht="15">
      <c r="A102" s="88" t="s">
        <v>2353</v>
      </c>
      <c r="B102" s="88">
        <v>9</v>
      </c>
      <c r="C102" s="120">
        <v>0.0031455776871873657</v>
      </c>
      <c r="D102" s="88" t="s">
        <v>2665</v>
      </c>
      <c r="E102" s="88" t="b">
        <v>0</v>
      </c>
      <c r="F102" s="88" t="b">
        <v>0</v>
      </c>
      <c r="G102" s="88" t="b">
        <v>0</v>
      </c>
    </row>
    <row r="103" spans="1:7" ht="15">
      <c r="A103" s="88" t="s">
        <v>2354</v>
      </c>
      <c r="B103" s="88">
        <v>9</v>
      </c>
      <c r="C103" s="120">
        <v>0.0031455776871873657</v>
      </c>
      <c r="D103" s="88" t="s">
        <v>2665</v>
      </c>
      <c r="E103" s="88" t="b">
        <v>0</v>
      </c>
      <c r="F103" s="88" t="b">
        <v>0</v>
      </c>
      <c r="G103" s="88" t="b">
        <v>0</v>
      </c>
    </row>
    <row r="104" spans="1:7" ht="15">
      <c r="A104" s="88" t="s">
        <v>2355</v>
      </c>
      <c r="B104" s="88">
        <v>9</v>
      </c>
      <c r="C104" s="120">
        <v>0.0031455776871873657</v>
      </c>
      <c r="D104" s="88" t="s">
        <v>2665</v>
      </c>
      <c r="E104" s="88" t="b">
        <v>0</v>
      </c>
      <c r="F104" s="88" t="b">
        <v>0</v>
      </c>
      <c r="G104" s="88" t="b">
        <v>0</v>
      </c>
    </row>
    <row r="105" spans="1:7" ht="15">
      <c r="A105" s="88" t="s">
        <v>2356</v>
      </c>
      <c r="B105" s="88">
        <v>9</v>
      </c>
      <c r="C105" s="120">
        <v>0.0031455776871873657</v>
      </c>
      <c r="D105" s="88" t="s">
        <v>2665</v>
      </c>
      <c r="E105" s="88" t="b">
        <v>0</v>
      </c>
      <c r="F105" s="88" t="b">
        <v>0</v>
      </c>
      <c r="G105" s="88" t="b">
        <v>0</v>
      </c>
    </row>
    <row r="106" spans="1:7" ht="15">
      <c r="A106" s="88" t="s">
        <v>2357</v>
      </c>
      <c r="B106" s="88">
        <v>9</v>
      </c>
      <c r="C106" s="120">
        <v>0.0031455776871873657</v>
      </c>
      <c r="D106" s="88" t="s">
        <v>2665</v>
      </c>
      <c r="E106" s="88" t="b">
        <v>0</v>
      </c>
      <c r="F106" s="88" t="b">
        <v>0</v>
      </c>
      <c r="G106" s="88" t="b">
        <v>0</v>
      </c>
    </row>
    <row r="107" spans="1:7" ht="15">
      <c r="A107" s="88" t="s">
        <v>2358</v>
      </c>
      <c r="B107" s="88">
        <v>9</v>
      </c>
      <c r="C107" s="120">
        <v>0.0031455776871873657</v>
      </c>
      <c r="D107" s="88" t="s">
        <v>2665</v>
      </c>
      <c r="E107" s="88" t="b">
        <v>0</v>
      </c>
      <c r="F107" s="88" t="b">
        <v>0</v>
      </c>
      <c r="G107" s="88" t="b">
        <v>0</v>
      </c>
    </row>
    <row r="108" spans="1:7" ht="15">
      <c r="A108" s="88" t="s">
        <v>2359</v>
      </c>
      <c r="B108" s="88">
        <v>9</v>
      </c>
      <c r="C108" s="120">
        <v>0.0031455776871873657</v>
      </c>
      <c r="D108" s="88" t="s">
        <v>2665</v>
      </c>
      <c r="E108" s="88" t="b">
        <v>0</v>
      </c>
      <c r="F108" s="88" t="b">
        <v>0</v>
      </c>
      <c r="G108" s="88" t="b">
        <v>0</v>
      </c>
    </row>
    <row r="109" spans="1:7" ht="15">
      <c r="A109" s="88" t="s">
        <v>2360</v>
      </c>
      <c r="B109" s="88">
        <v>9</v>
      </c>
      <c r="C109" s="120">
        <v>0.0031455776871873657</v>
      </c>
      <c r="D109" s="88" t="s">
        <v>2665</v>
      </c>
      <c r="E109" s="88" t="b">
        <v>0</v>
      </c>
      <c r="F109" s="88" t="b">
        <v>0</v>
      </c>
      <c r="G109" s="88" t="b">
        <v>0</v>
      </c>
    </row>
    <row r="110" spans="1:7" ht="15">
      <c r="A110" s="88" t="s">
        <v>2361</v>
      </c>
      <c r="B110" s="88">
        <v>9</v>
      </c>
      <c r="C110" s="120">
        <v>0.0031455776871873657</v>
      </c>
      <c r="D110" s="88" t="s">
        <v>2665</v>
      </c>
      <c r="E110" s="88" t="b">
        <v>0</v>
      </c>
      <c r="F110" s="88" t="b">
        <v>0</v>
      </c>
      <c r="G110" s="88" t="b">
        <v>0</v>
      </c>
    </row>
    <row r="111" spans="1:7" ht="15">
      <c r="A111" s="88" t="s">
        <v>2362</v>
      </c>
      <c r="B111" s="88">
        <v>9</v>
      </c>
      <c r="C111" s="120">
        <v>0.0031455776871873657</v>
      </c>
      <c r="D111" s="88" t="s">
        <v>2665</v>
      </c>
      <c r="E111" s="88" t="b">
        <v>0</v>
      </c>
      <c r="F111" s="88" t="b">
        <v>0</v>
      </c>
      <c r="G111" s="88" t="b">
        <v>0</v>
      </c>
    </row>
    <row r="112" spans="1:7" ht="15">
      <c r="A112" s="88" t="s">
        <v>2363</v>
      </c>
      <c r="B112" s="88">
        <v>9</v>
      </c>
      <c r="C112" s="120">
        <v>0.0031455776871873657</v>
      </c>
      <c r="D112" s="88" t="s">
        <v>2665</v>
      </c>
      <c r="E112" s="88" t="b">
        <v>0</v>
      </c>
      <c r="F112" s="88" t="b">
        <v>0</v>
      </c>
      <c r="G112" s="88" t="b">
        <v>0</v>
      </c>
    </row>
    <row r="113" spans="1:7" ht="15">
      <c r="A113" s="88" t="s">
        <v>2364</v>
      </c>
      <c r="B113" s="88">
        <v>9</v>
      </c>
      <c r="C113" s="120">
        <v>0.0031455776871873657</v>
      </c>
      <c r="D113" s="88" t="s">
        <v>2665</v>
      </c>
      <c r="E113" s="88" t="b">
        <v>0</v>
      </c>
      <c r="F113" s="88" t="b">
        <v>0</v>
      </c>
      <c r="G113" s="88" t="b">
        <v>0</v>
      </c>
    </row>
    <row r="114" spans="1:7" ht="15">
      <c r="A114" s="88" t="s">
        <v>2365</v>
      </c>
      <c r="B114" s="88">
        <v>9</v>
      </c>
      <c r="C114" s="120">
        <v>0.0031455776871873657</v>
      </c>
      <c r="D114" s="88" t="s">
        <v>2665</v>
      </c>
      <c r="E114" s="88" t="b">
        <v>0</v>
      </c>
      <c r="F114" s="88" t="b">
        <v>0</v>
      </c>
      <c r="G114" s="88" t="b">
        <v>0</v>
      </c>
    </row>
    <row r="115" spans="1:7" ht="15">
      <c r="A115" s="88" t="s">
        <v>2366</v>
      </c>
      <c r="B115" s="88">
        <v>9</v>
      </c>
      <c r="C115" s="120">
        <v>0.0031455776871873657</v>
      </c>
      <c r="D115" s="88" t="s">
        <v>2665</v>
      </c>
      <c r="E115" s="88" t="b">
        <v>0</v>
      </c>
      <c r="F115" s="88" t="b">
        <v>0</v>
      </c>
      <c r="G115" s="88" t="b">
        <v>0</v>
      </c>
    </row>
    <row r="116" spans="1:7" ht="15">
      <c r="A116" s="88" t="s">
        <v>2367</v>
      </c>
      <c r="B116" s="88">
        <v>9</v>
      </c>
      <c r="C116" s="120">
        <v>0.0031455776871873657</v>
      </c>
      <c r="D116" s="88" t="s">
        <v>2665</v>
      </c>
      <c r="E116" s="88" t="b">
        <v>0</v>
      </c>
      <c r="F116" s="88" t="b">
        <v>0</v>
      </c>
      <c r="G116" s="88" t="b">
        <v>0</v>
      </c>
    </row>
    <row r="117" spans="1:7" ht="15">
      <c r="A117" s="88" t="s">
        <v>2368</v>
      </c>
      <c r="B117" s="88">
        <v>9</v>
      </c>
      <c r="C117" s="120">
        <v>0.0031455776871873657</v>
      </c>
      <c r="D117" s="88" t="s">
        <v>2665</v>
      </c>
      <c r="E117" s="88" t="b">
        <v>0</v>
      </c>
      <c r="F117" s="88" t="b">
        <v>0</v>
      </c>
      <c r="G117" s="88" t="b">
        <v>0</v>
      </c>
    </row>
    <row r="118" spans="1:7" ht="15">
      <c r="A118" s="88" t="s">
        <v>2369</v>
      </c>
      <c r="B118" s="88">
        <v>9</v>
      </c>
      <c r="C118" s="120">
        <v>0.0031455776871873657</v>
      </c>
      <c r="D118" s="88" t="s">
        <v>2665</v>
      </c>
      <c r="E118" s="88" t="b">
        <v>0</v>
      </c>
      <c r="F118" s="88" t="b">
        <v>0</v>
      </c>
      <c r="G118" s="88" t="b">
        <v>0</v>
      </c>
    </row>
    <row r="119" spans="1:7" ht="15">
      <c r="A119" s="88" t="s">
        <v>2370</v>
      </c>
      <c r="B119" s="88">
        <v>8</v>
      </c>
      <c r="C119" s="120">
        <v>0.0035159106865732385</v>
      </c>
      <c r="D119" s="88" t="s">
        <v>2665</v>
      </c>
      <c r="E119" s="88" t="b">
        <v>0</v>
      </c>
      <c r="F119" s="88" t="b">
        <v>1</v>
      </c>
      <c r="G119" s="88" t="b">
        <v>0</v>
      </c>
    </row>
    <row r="120" spans="1:7" ht="15">
      <c r="A120" s="88" t="s">
        <v>2371</v>
      </c>
      <c r="B120" s="88">
        <v>8</v>
      </c>
      <c r="C120" s="120">
        <v>0.0029006219882309167</v>
      </c>
      <c r="D120" s="88" t="s">
        <v>2665</v>
      </c>
      <c r="E120" s="88" t="b">
        <v>0</v>
      </c>
      <c r="F120" s="88" t="b">
        <v>0</v>
      </c>
      <c r="G120" s="88" t="b">
        <v>0</v>
      </c>
    </row>
    <row r="121" spans="1:7" ht="15">
      <c r="A121" s="88" t="s">
        <v>2372</v>
      </c>
      <c r="B121" s="88">
        <v>8</v>
      </c>
      <c r="C121" s="120">
        <v>0.0029006219882309167</v>
      </c>
      <c r="D121" s="88" t="s">
        <v>2665</v>
      </c>
      <c r="E121" s="88" t="b">
        <v>1</v>
      </c>
      <c r="F121" s="88" t="b">
        <v>0</v>
      </c>
      <c r="G121" s="88" t="b">
        <v>0</v>
      </c>
    </row>
    <row r="122" spans="1:7" ht="15">
      <c r="A122" s="88" t="s">
        <v>475</v>
      </c>
      <c r="B122" s="88">
        <v>8</v>
      </c>
      <c r="C122" s="120">
        <v>0.0029006219882309167</v>
      </c>
      <c r="D122" s="88" t="s">
        <v>2665</v>
      </c>
      <c r="E122" s="88" t="b">
        <v>0</v>
      </c>
      <c r="F122" s="88" t="b">
        <v>0</v>
      </c>
      <c r="G122" s="88" t="b">
        <v>0</v>
      </c>
    </row>
    <row r="123" spans="1:7" ht="15">
      <c r="A123" s="88" t="s">
        <v>2373</v>
      </c>
      <c r="B123" s="88">
        <v>8</v>
      </c>
      <c r="C123" s="120">
        <v>0.0029006219882309167</v>
      </c>
      <c r="D123" s="88" t="s">
        <v>2665</v>
      </c>
      <c r="E123" s="88" t="b">
        <v>0</v>
      </c>
      <c r="F123" s="88" t="b">
        <v>0</v>
      </c>
      <c r="G123" s="88" t="b">
        <v>0</v>
      </c>
    </row>
    <row r="124" spans="1:7" ht="15">
      <c r="A124" s="88" t="s">
        <v>2374</v>
      </c>
      <c r="B124" s="88">
        <v>8</v>
      </c>
      <c r="C124" s="120">
        <v>0.0029006219882309167</v>
      </c>
      <c r="D124" s="88" t="s">
        <v>2665</v>
      </c>
      <c r="E124" s="88" t="b">
        <v>0</v>
      </c>
      <c r="F124" s="88" t="b">
        <v>0</v>
      </c>
      <c r="G124" s="88" t="b">
        <v>0</v>
      </c>
    </row>
    <row r="125" spans="1:7" ht="15">
      <c r="A125" s="88" t="s">
        <v>2375</v>
      </c>
      <c r="B125" s="88">
        <v>8</v>
      </c>
      <c r="C125" s="120">
        <v>0.0029006219882309167</v>
      </c>
      <c r="D125" s="88" t="s">
        <v>2665</v>
      </c>
      <c r="E125" s="88" t="b">
        <v>0</v>
      </c>
      <c r="F125" s="88" t="b">
        <v>0</v>
      </c>
      <c r="G125" s="88" t="b">
        <v>0</v>
      </c>
    </row>
    <row r="126" spans="1:7" ht="15">
      <c r="A126" s="88" t="s">
        <v>2376</v>
      </c>
      <c r="B126" s="88">
        <v>8</v>
      </c>
      <c r="C126" s="120">
        <v>0.0029006219882309167</v>
      </c>
      <c r="D126" s="88" t="s">
        <v>2665</v>
      </c>
      <c r="E126" s="88" t="b">
        <v>0</v>
      </c>
      <c r="F126" s="88" t="b">
        <v>0</v>
      </c>
      <c r="G126" s="88" t="b">
        <v>0</v>
      </c>
    </row>
    <row r="127" spans="1:7" ht="15">
      <c r="A127" s="88" t="s">
        <v>2377</v>
      </c>
      <c r="B127" s="88">
        <v>8</v>
      </c>
      <c r="C127" s="120">
        <v>0.0035159106865732385</v>
      </c>
      <c r="D127" s="88" t="s">
        <v>2665</v>
      </c>
      <c r="E127" s="88" t="b">
        <v>0</v>
      </c>
      <c r="F127" s="88" t="b">
        <v>0</v>
      </c>
      <c r="G127" s="88" t="b">
        <v>0</v>
      </c>
    </row>
    <row r="128" spans="1:7" ht="15">
      <c r="A128" s="88" t="s">
        <v>2378</v>
      </c>
      <c r="B128" s="88">
        <v>8</v>
      </c>
      <c r="C128" s="120">
        <v>0.0035159106865732385</v>
      </c>
      <c r="D128" s="88" t="s">
        <v>2665</v>
      </c>
      <c r="E128" s="88" t="b">
        <v>0</v>
      </c>
      <c r="F128" s="88" t="b">
        <v>0</v>
      </c>
      <c r="G128" s="88" t="b">
        <v>0</v>
      </c>
    </row>
    <row r="129" spans="1:7" ht="15">
      <c r="A129" s="88" t="s">
        <v>2379</v>
      </c>
      <c r="B129" s="88">
        <v>7</v>
      </c>
      <c r="C129" s="120">
        <v>0.0026417600365451293</v>
      </c>
      <c r="D129" s="88" t="s">
        <v>2665</v>
      </c>
      <c r="E129" s="88" t="b">
        <v>1</v>
      </c>
      <c r="F129" s="88" t="b">
        <v>0</v>
      </c>
      <c r="G129" s="88" t="b">
        <v>0</v>
      </c>
    </row>
    <row r="130" spans="1:7" ht="15">
      <c r="A130" s="88" t="s">
        <v>2380</v>
      </c>
      <c r="B130" s="88">
        <v>7</v>
      </c>
      <c r="C130" s="120">
        <v>0.0026417600365451293</v>
      </c>
      <c r="D130" s="88" t="s">
        <v>2665</v>
      </c>
      <c r="E130" s="88" t="b">
        <v>0</v>
      </c>
      <c r="F130" s="88" t="b">
        <v>0</v>
      </c>
      <c r="G130" s="88" t="b">
        <v>0</v>
      </c>
    </row>
    <row r="131" spans="1:7" ht="15">
      <c r="A131" s="88" t="s">
        <v>2381</v>
      </c>
      <c r="B131" s="88">
        <v>7</v>
      </c>
      <c r="C131" s="120">
        <v>0.0026417600365451293</v>
      </c>
      <c r="D131" s="88" t="s">
        <v>2665</v>
      </c>
      <c r="E131" s="88" t="b">
        <v>0</v>
      </c>
      <c r="F131" s="88" t="b">
        <v>0</v>
      </c>
      <c r="G131" s="88" t="b">
        <v>0</v>
      </c>
    </row>
    <row r="132" spans="1:7" ht="15">
      <c r="A132" s="88" t="s">
        <v>2382</v>
      </c>
      <c r="B132" s="88">
        <v>7</v>
      </c>
      <c r="C132" s="120">
        <v>0.0026417600365451293</v>
      </c>
      <c r="D132" s="88" t="s">
        <v>2665</v>
      </c>
      <c r="E132" s="88" t="b">
        <v>0</v>
      </c>
      <c r="F132" s="88" t="b">
        <v>0</v>
      </c>
      <c r="G132" s="88" t="b">
        <v>0</v>
      </c>
    </row>
    <row r="133" spans="1:7" ht="15">
      <c r="A133" s="88" t="s">
        <v>2383</v>
      </c>
      <c r="B133" s="88">
        <v>7</v>
      </c>
      <c r="C133" s="120">
        <v>0.0026417600365451293</v>
      </c>
      <c r="D133" s="88" t="s">
        <v>2665</v>
      </c>
      <c r="E133" s="88" t="b">
        <v>0</v>
      </c>
      <c r="F133" s="88" t="b">
        <v>0</v>
      </c>
      <c r="G133" s="88" t="b">
        <v>0</v>
      </c>
    </row>
    <row r="134" spans="1:7" ht="15">
      <c r="A134" s="88" t="s">
        <v>2384</v>
      </c>
      <c r="B134" s="88">
        <v>7</v>
      </c>
      <c r="C134" s="120">
        <v>0.0026417600365451293</v>
      </c>
      <c r="D134" s="88" t="s">
        <v>2665</v>
      </c>
      <c r="E134" s="88" t="b">
        <v>0</v>
      </c>
      <c r="F134" s="88" t="b">
        <v>0</v>
      </c>
      <c r="G134" s="88" t="b">
        <v>0</v>
      </c>
    </row>
    <row r="135" spans="1:7" ht="15">
      <c r="A135" s="88" t="s">
        <v>2385</v>
      </c>
      <c r="B135" s="88">
        <v>7</v>
      </c>
      <c r="C135" s="120">
        <v>0.0026417600365451293</v>
      </c>
      <c r="D135" s="88" t="s">
        <v>2665</v>
      </c>
      <c r="E135" s="88" t="b">
        <v>1</v>
      </c>
      <c r="F135" s="88" t="b">
        <v>0</v>
      </c>
      <c r="G135" s="88" t="b">
        <v>0</v>
      </c>
    </row>
    <row r="136" spans="1:7" ht="15">
      <c r="A136" s="88" t="s">
        <v>2386</v>
      </c>
      <c r="B136" s="88">
        <v>7</v>
      </c>
      <c r="C136" s="120">
        <v>0.0026417600365451293</v>
      </c>
      <c r="D136" s="88" t="s">
        <v>2665</v>
      </c>
      <c r="E136" s="88" t="b">
        <v>0</v>
      </c>
      <c r="F136" s="88" t="b">
        <v>0</v>
      </c>
      <c r="G136" s="88" t="b">
        <v>0</v>
      </c>
    </row>
    <row r="137" spans="1:7" ht="15">
      <c r="A137" s="88" t="s">
        <v>2387</v>
      </c>
      <c r="B137" s="88">
        <v>7</v>
      </c>
      <c r="C137" s="120">
        <v>0.0026417600365451293</v>
      </c>
      <c r="D137" s="88" t="s">
        <v>2665</v>
      </c>
      <c r="E137" s="88" t="b">
        <v>0</v>
      </c>
      <c r="F137" s="88" t="b">
        <v>0</v>
      </c>
      <c r="G137" s="88" t="b">
        <v>0</v>
      </c>
    </row>
    <row r="138" spans="1:7" ht="15">
      <c r="A138" s="88" t="s">
        <v>525</v>
      </c>
      <c r="B138" s="88">
        <v>7</v>
      </c>
      <c r="C138" s="120">
        <v>0.0026417600365451293</v>
      </c>
      <c r="D138" s="88" t="s">
        <v>2665</v>
      </c>
      <c r="E138" s="88" t="b">
        <v>0</v>
      </c>
      <c r="F138" s="88" t="b">
        <v>0</v>
      </c>
      <c r="G138" s="88" t="b">
        <v>0</v>
      </c>
    </row>
    <row r="139" spans="1:7" ht="15">
      <c r="A139" s="88" t="s">
        <v>524</v>
      </c>
      <c r="B139" s="88">
        <v>7</v>
      </c>
      <c r="C139" s="120">
        <v>0.0026417600365451293</v>
      </c>
      <c r="D139" s="88" t="s">
        <v>2665</v>
      </c>
      <c r="E139" s="88" t="b">
        <v>0</v>
      </c>
      <c r="F139" s="88" t="b">
        <v>0</v>
      </c>
      <c r="G139" s="88" t="b">
        <v>0</v>
      </c>
    </row>
    <row r="140" spans="1:7" ht="15">
      <c r="A140" s="88" t="s">
        <v>2388</v>
      </c>
      <c r="B140" s="88">
        <v>7</v>
      </c>
      <c r="C140" s="120">
        <v>0.0026417600365451293</v>
      </c>
      <c r="D140" s="88" t="s">
        <v>2665</v>
      </c>
      <c r="E140" s="88" t="b">
        <v>0</v>
      </c>
      <c r="F140" s="88" t="b">
        <v>0</v>
      </c>
      <c r="G140" s="88" t="b">
        <v>0</v>
      </c>
    </row>
    <row r="141" spans="1:7" ht="15">
      <c r="A141" s="88" t="s">
        <v>2389</v>
      </c>
      <c r="B141" s="88">
        <v>7</v>
      </c>
      <c r="C141" s="120">
        <v>0.0026417600365451293</v>
      </c>
      <c r="D141" s="88" t="s">
        <v>2665</v>
      </c>
      <c r="E141" s="88" t="b">
        <v>0</v>
      </c>
      <c r="F141" s="88" t="b">
        <v>0</v>
      </c>
      <c r="G141" s="88" t="b">
        <v>0</v>
      </c>
    </row>
    <row r="142" spans="1:7" ht="15">
      <c r="A142" s="88" t="s">
        <v>2390</v>
      </c>
      <c r="B142" s="88">
        <v>6</v>
      </c>
      <c r="C142" s="120">
        <v>0.0023669924031940862</v>
      </c>
      <c r="D142" s="88" t="s">
        <v>2665</v>
      </c>
      <c r="E142" s="88" t="b">
        <v>0</v>
      </c>
      <c r="F142" s="88" t="b">
        <v>0</v>
      </c>
      <c r="G142" s="88" t="b">
        <v>0</v>
      </c>
    </row>
    <row r="143" spans="1:7" ht="15">
      <c r="A143" s="88" t="s">
        <v>2391</v>
      </c>
      <c r="B143" s="88">
        <v>6</v>
      </c>
      <c r="C143" s="120">
        <v>0.0023669924031940862</v>
      </c>
      <c r="D143" s="88" t="s">
        <v>2665</v>
      </c>
      <c r="E143" s="88" t="b">
        <v>0</v>
      </c>
      <c r="F143" s="88" t="b">
        <v>0</v>
      </c>
      <c r="G143" s="88" t="b">
        <v>0</v>
      </c>
    </row>
    <row r="144" spans="1:7" ht="15">
      <c r="A144" s="88" t="s">
        <v>2392</v>
      </c>
      <c r="B144" s="88">
        <v>6</v>
      </c>
      <c r="C144" s="120">
        <v>0.0023669924031940862</v>
      </c>
      <c r="D144" s="88" t="s">
        <v>2665</v>
      </c>
      <c r="E144" s="88" t="b">
        <v>1</v>
      </c>
      <c r="F144" s="88" t="b">
        <v>0</v>
      </c>
      <c r="G144" s="88" t="b">
        <v>0</v>
      </c>
    </row>
    <row r="145" spans="1:7" ht="15">
      <c r="A145" s="88" t="s">
        <v>2393</v>
      </c>
      <c r="B145" s="88">
        <v>6</v>
      </c>
      <c r="C145" s="120">
        <v>0.0028284589269508284</v>
      </c>
      <c r="D145" s="88" t="s">
        <v>2665</v>
      </c>
      <c r="E145" s="88" t="b">
        <v>0</v>
      </c>
      <c r="F145" s="88" t="b">
        <v>0</v>
      </c>
      <c r="G145" s="88" t="b">
        <v>0</v>
      </c>
    </row>
    <row r="146" spans="1:7" ht="15">
      <c r="A146" s="88" t="s">
        <v>2394</v>
      </c>
      <c r="B146" s="88">
        <v>6</v>
      </c>
      <c r="C146" s="120">
        <v>0.0023669924031940862</v>
      </c>
      <c r="D146" s="88" t="s">
        <v>2665</v>
      </c>
      <c r="E146" s="88" t="b">
        <v>0</v>
      </c>
      <c r="F146" s="88" t="b">
        <v>0</v>
      </c>
      <c r="G146" s="88" t="b">
        <v>0</v>
      </c>
    </row>
    <row r="147" spans="1:7" ht="15">
      <c r="A147" s="88" t="s">
        <v>2395</v>
      </c>
      <c r="B147" s="88">
        <v>6</v>
      </c>
      <c r="C147" s="120">
        <v>0.0023669924031940862</v>
      </c>
      <c r="D147" s="88" t="s">
        <v>2665</v>
      </c>
      <c r="E147" s="88" t="b">
        <v>0</v>
      </c>
      <c r="F147" s="88" t="b">
        <v>0</v>
      </c>
      <c r="G147" s="88" t="b">
        <v>0</v>
      </c>
    </row>
    <row r="148" spans="1:7" ht="15">
      <c r="A148" s="88" t="s">
        <v>2396</v>
      </c>
      <c r="B148" s="88">
        <v>6</v>
      </c>
      <c r="C148" s="120">
        <v>0.0023669924031940862</v>
      </c>
      <c r="D148" s="88" t="s">
        <v>2665</v>
      </c>
      <c r="E148" s="88" t="b">
        <v>0</v>
      </c>
      <c r="F148" s="88" t="b">
        <v>0</v>
      </c>
      <c r="G148" s="88" t="b">
        <v>0</v>
      </c>
    </row>
    <row r="149" spans="1:7" ht="15">
      <c r="A149" s="88" t="s">
        <v>2397</v>
      </c>
      <c r="B149" s="88">
        <v>6</v>
      </c>
      <c r="C149" s="120">
        <v>0.0023669924031940862</v>
      </c>
      <c r="D149" s="88" t="s">
        <v>2665</v>
      </c>
      <c r="E149" s="88" t="b">
        <v>0</v>
      </c>
      <c r="F149" s="88" t="b">
        <v>0</v>
      </c>
      <c r="G149" s="88" t="b">
        <v>0</v>
      </c>
    </row>
    <row r="150" spans="1:7" ht="15">
      <c r="A150" s="88" t="s">
        <v>2398</v>
      </c>
      <c r="B150" s="88">
        <v>6</v>
      </c>
      <c r="C150" s="120">
        <v>0.0023669924031940862</v>
      </c>
      <c r="D150" s="88" t="s">
        <v>2665</v>
      </c>
      <c r="E150" s="88" t="b">
        <v>0</v>
      </c>
      <c r="F150" s="88" t="b">
        <v>0</v>
      </c>
      <c r="G150" s="88" t="b">
        <v>0</v>
      </c>
    </row>
    <row r="151" spans="1:7" ht="15">
      <c r="A151" s="88" t="s">
        <v>2399</v>
      </c>
      <c r="B151" s="88">
        <v>6</v>
      </c>
      <c r="C151" s="120">
        <v>0.0023669924031940862</v>
      </c>
      <c r="D151" s="88" t="s">
        <v>2665</v>
      </c>
      <c r="E151" s="88" t="b">
        <v>0</v>
      </c>
      <c r="F151" s="88" t="b">
        <v>0</v>
      </c>
      <c r="G151" s="88" t="b">
        <v>0</v>
      </c>
    </row>
    <row r="152" spans="1:7" ht="15">
      <c r="A152" s="88" t="s">
        <v>2400</v>
      </c>
      <c r="B152" s="88">
        <v>6</v>
      </c>
      <c r="C152" s="120">
        <v>0.0023669924031940862</v>
      </c>
      <c r="D152" s="88" t="s">
        <v>2665</v>
      </c>
      <c r="E152" s="88" t="b">
        <v>0</v>
      </c>
      <c r="F152" s="88" t="b">
        <v>0</v>
      </c>
      <c r="G152" s="88" t="b">
        <v>0</v>
      </c>
    </row>
    <row r="153" spans="1:7" ht="15">
      <c r="A153" s="88" t="s">
        <v>2401</v>
      </c>
      <c r="B153" s="88">
        <v>6</v>
      </c>
      <c r="C153" s="120">
        <v>0.0023669924031940862</v>
      </c>
      <c r="D153" s="88" t="s">
        <v>2665</v>
      </c>
      <c r="E153" s="88" t="b">
        <v>0</v>
      </c>
      <c r="F153" s="88" t="b">
        <v>0</v>
      </c>
      <c r="G153" s="88" t="b">
        <v>0</v>
      </c>
    </row>
    <row r="154" spans="1:7" ht="15">
      <c r="A154" s="88" t="s">
        <v>2402</v>
      </c>
      <c r="B154" s="88">
        <v>6</v>
      </c>
      <c r="C154" s="120">
        <v>0.0023669924031940862</v>
      </c>
      <c r="D154" s="88" t="s">
        <v>2665</v>
      </c>
      <c r="E154" s="88" t="b">
        <v>0</v>
      </c>
      <c r="F154" s="88" t="b">
        <v>0</v>
      </c>
      <c r="G154" s="88" t="b">
        <v>0</v>
      </c>
    </row>
    <row r="155" spans="1:7" ht="15">
      <c r="A155" s="88" t="s">
        <v>532</v>
      </c>
      <c r="B155" s="88">
        <v>6</v>
      </c>
      <c r="C155" s="120">
        <v>0.0023669924031940862</v>
      </c>
      <c r="D155" s="88" t="s">
        <v>2665</v>
      </c>
      <c r="E155" s="88" t="b">
        <v>0</v>
      </c>
      <c r="F155" s="88" t="b">
        <v>0</v>
      </c>
      <c r="G155" s="88" t="b">
        <v>0</v>
      </c>
    </row>
    <row r="156" spans="1:7" ht="15">
      <c r="A156" s="88" t="s">
        <v>2403</v>
      </c>
      <c r="B156" s="88">
        <v>6</v>
      </c>
      <c r="C156" s="120">
        <v>0.0023669924031940862</v>
      </c>
      <c r="D156" s="88" t="s">
        <v>2665</v>
      </c>
      <c r="E156" s="88" t="b">
        <v>0</v>
      </c>
      <c r="F156" s="88" t="b">
        <v>0</v>
      </c>
      <c r="G156" s="88" t="b">
        <v>0</v>
      </c>
    </row>
    <row r="157" spans="1:7" ht="15">
      <c r="A157" s="88" t="s">
        <v>2404</v>
      </c>
      <c r="B157" s="88">
        <v>6</v>
      </c>
      <c r="C157" s="120">
        <v>0.0023669924031940862</v>
      </c>
      <c r="D157" s="88" t="s">
        <v>2665</v>
      </c>
      <c r="E157" s="88" t="b">
        <v>0</v>
      </c>
      <c r="F157" s="88" t="b">
        <v>0</v>
      </c>
      <c r="G157" s="88" t="b">
        <v>0</v>
      </c>
    </row>
    <row r="158" spans="1:7" ht="15">
      <c r="A158" s="88" t="s">
        <v>2405</v>
      </c>
      <c r="B158" s="88">
        <v>6</v>
      </c>
      <c r="C158" s="120">
        <v>0.0023669924031940862</v>
      </c>
      <c r="D158" s="88" t="s">
        <v>2665</v>
      </c>
      <c r="E158" s="88" t="b">
        <v>0</v>
      </c>
      <c r="F158" s="88" t="b">
        <v>1</v>
      </c>
      <c r="G158" s="88" t="b">
        <v>0</v>
      </c>
    </row>
    <row r="159" spans="1:7" ht="15">
      <c r="A159" s="88" t="s">
        <v>2406</v>
      </c>
      <c r="B159" s="88">
        <v>6</v>
      </c>
      <c r="C159" s="120">
        <v>0.0023669924031940862</v>
      </c>
      <c r="D159" s="88" t="s">
        <v>2665</v>
      </c>
      <c r="E159" s="88" t="b">
        <v>0</v>
      </c>
      <c r="F159" s="88" t="b">
        <v>0</v>
      </c>
      <c r="G159" s="88" t="b">
        <v>0</v>
      </c>
    </row>
    <row r="160" spans="1:7" ht="15">
      <c r="A160" s="88" t="s">
        <v>2407</v>
      </c>
      <c r="B160" s="88">
        <v>6</v>
      </c>
      <c r="C160" s="120">
        <v>0.0023669924031940862</v>
      </c>
      <c r="D160" s="88" t="s">
        <v>2665</v>
      </c>
      <c r="E160" s="88" t="b">
        <v>0</v>
      </c>
      <c r="F160" s="88" t="b">
        <v>0</v>
      </c>
      <c r="G160" s="88" t="b">
        <v>0</v>
      </c>
    </row>
    <row r="161" spans="1:7" ht="15">
      <c r="A161" s="88" t="s">
        <v>531</v>
      </c>
      <c r="B161" s="88">
        <v>6</v>
      </c>
      <c r="C161" s="120">
        <v>0.0023669924031940862</v>
      </c>
      <c r="D161" s="88" t="s">
        <v>2665</v>
      </c>
      <c r="E161" s="88" t="b">
        <v>0</v>
      </c>
      <c r="F161" s="88" t="b">
        <v>0</v>
      </c>
      <c r="G161" s="88" t="b">
        <v>0</v>
      </c>
    </row>
    <row r="162" spans="1:7" ht="15">
      <c r="A162" s="88" t="s">
        <v>2408</v>
      </c>
      <c r="B162" s="88">
        <v>6</v>
      </c>
      <c r="C162" s="120">
        <v>0.0023669924031940862</v>
      </c>
      <c r="D162" s="88" t="s">
        <v>2665</v>
      </c>
      <c r="E162" s="88" t="b">
        <v>1</v>
      </c>
      <c r="F162" s="88" t="b">
        <v>0</v>
      </c>
      <c r="G162" s="88" t="b">
        <v>0</v>
      </c>
    </row>
    <row r="163" spans="1:7" ht="15">
      <c r="A163" s="88" t="s">
        <v>2409</v>
      </c>
      <c r="B163" s="88">
        <v>6</v>
      </c>
      <c r="C163" s="120">
        <v>0.0023669924031940862</v>
      </c>
      <c r="D163" s="88" t="s">
        <v>2665</v>
      </c>
      <c r="E163" s="88" t="b">
        <v>0</v>
      </c>
      <c r="F163" s="88" t="b">
        <v>0</v>
      </c>
      <c r="G163" s="88" t="b">
        <v>0</v>
      </c>
    </row>
    <row r="164" spans="1:7" ht="15">
      <c r="A164" s="88" t="s">
        <v>2410</v>
      </c>
      <c r="B164" s="88">
        <v>5</v>
      </c>
      <c r="C164" s="120">
        <v>0.002073644980068856</v>
      </c>
      <c r="D164" s="88" t="s">
        <v>2665</v>
      </c>
      <c r="E164" s="88" t="b">
        <v>0</v>
      </c>
      <c r="F164" s="88" t="b">
        <v>0</v>
      </c>
      <c r="G164" s="88" t="b">
        <v>0</v>
      </c>
    </row>
    <row r="165" spans="1:7" ht="15">
      <c r="A165" s="88" t="s">
        <v>2411</v>
      </c>
      <c r="B165" s="88">
        <v>5</v>
      </c>
      <c r="C165" s="120">
        <v>0.002073644980068856</v>
      </c>
      <c r="D165" s="88" t="s">
        <v>2665</v>
      </c>
      <c r="E165" s="88" t="b">
        <v>0</v>
      </c>
      <c r="F165" s="88" t="b">
        <v>0</v>
      </c>
      <c r="G165" s="88" t="b">
        <v>0</v>
      </c>
    </row>
    <row r="166" spans="1:7" ht="15">
      <c r="A166" s="88" t="s">
        <v>2412</v>
      </c>
      <c r="B166" s="88">
        <v>5</v>
      </c>
      <c r="C166" s="120">
        <v>0.002073644980068856</v>
      </c>
      <c r="D166" s="88" t="s">
        <v>2665</v>
      </c>
      <c r="E166" s="88" t="b">
        <v>0</v>
      </c>
      <c r="F166" s="88" t="b">
        <v>0</v>
      </c>
      <c r="G166" s="88" t="b">
        <v>0</v>
      </c>
    </row>
    <row r="167" spans="1:7" ht="15">
      <c r="A167" s="88" t="s">
        <v>2413</v>
      </c>
      <c r="B167" s="88">
        <v>5</v>
      </c>
      <c r="C167" s="120">
        <v>0.002073644980068856</v>
      </c>
      <c r="D167" s="88" t="s">
        <v>2665</v>
      </c>
      <c r="E167" s="88" t="b">
        <v>0</v>
      </c>
      <c r="F167" s="88" t="b">
        <v>0</v>
      </c>
      <c r="G167" s="88" t="b">
        <v>0</v>
      </c>
    </row>
    <row r="168" spans="1:7" ht="15">
      <c r="A168" s="88" t="s">
        <v>2414</v>
      </c>
      <c r="B168" s="88">
        <v>5</v>
      </c>
      <c r="C168" s="120">
        <v>0.002073644980068856</v>
      </c>
      <c r="D168" s="88" t="s">
        <v>2665</v>
      </c>
      <c r="E168" s="88" t="b">
        <v>0</v>
      </c>
      <c r="F168" s="88" t="b">
        <v>0</v>
      </c>
      <c r="G168" s="88" t="b">
        <v>0</v>
      </c>
    </row>
    <row r="169" spans="1:7" ht="15">
      <c r="A169" s="88" t="s">
        <v>2415</v>
      </c>
      <c r="B169" s="88">
        <v>5</v>
      </c>
      <c r="C169" s="120">
        <v>0.002073644980068856</v>
      </c>
      <c r="D169" s="88" t="s">
        <v>2665</v>
      </c>
      <c r="E169" s="88" t="b">
        <v>0</v>
      </c>
      <c r="F169" s="88" t="b">
        <v>0</v>
      </c>
      <c r="G169" s="88" t="b">
        <v>0</v>
      </c>
    </row>
    <row r="170" spans="1:7" ht="15">
      <c r="A170" s="88" t="s">
        <v>2416</v>
      </c>
      <c r="B170" s="88">
        <v>5</v>
      </c>
      <c r="C170" s="120">
        <v>0.002073644980068856</v>
      </c>
      <c r="D170" s="88" t="s">
        <v>2665</v>
      </c>
      <c r="E170" s="88" t="b">
        <v>0</v>
      </c>
      <c r="F170" s="88" t="b">
        <v>0</v>
      </c>
      <c r="G170" s="88" t="b">
        <v>0</v>
      </c>
    </row>
    <row r="171" spans="1:7" ht="15">
      <c r="A171" s="88" t="s">
        <v>2417</v>
      </c>
      <c r="B171" s="88">
        <v>5</v>
      </c>
      <c r="C171" s="120">
        <v>0.002073644980068856</v>
      </c>
      <c r="D171" s="88" t="s">
        <v>2665</v>
      </c>
      <c r="E171" s="88" t="b">
        <v>0</v>
      </c>
      <c r="F171" s="88" t="b">
        <v>0</v>
      </c>
      <c r="G171" s="88" t="b">
        <v>0</v>
      </c>
    </row>
    <row r="172" spans="1:7" ht="15">
      <c r="A172" s="88" t="s">
        <v>2418</v>
      </c>
      <c r="B172" s="88">
        <v>5</v>
      </c>
      <c r="C172" s="120">
        <v>0.002073644980068856</v>
      </c>
      <c r="D172" s="88" t="s">
        <v>2665</v>
      </c>
      <c r="E172" s="88" t="b">
        <v>1</v>
      </c>
      <c r="F172" s="88" t="b">
        <v>0</v>
      </c>
      <c r="G172" s="88" t="b">
        <v>0</v>
      </c>
    </row>
    <row r="173" spans="1:7" ht="15">
      <c r="A173" s="88" t="s">
        <v>2419</v>
      </c>
      <c r="B173" s="88">
        <v>5</v>
      </c>
      <c r="C173" s="120">
        <v>0.002073644980068856</v>
      </c>
      <c r="D173" s="88" t="s">
        <v>2665</v>
      </c>
      <c r="E173" s="88" t="b">
        <v>0</v>
      </c>
      <c r="F173" s="88" t="b">
        <v>0</v>
      </c>
      <c r="G173" s="88" t="b">
        <v>0</v>
      </c>
    </row>
    <row r="174" spans="1:7" ht="15">
      <c r="A174" s="88" t="s">
        <v>2420</v>
      </c>
      <c r="B174" s="88">
        <v>5</v>
      </c>
      <c r="C174" s="120">
        <v>0.002073644980068856</v>
      </c>
      <c r="D174" s="88" t="s">
        <v>2665</v>
      </c>
      <c r="E174" s="88" t="b">
        <v>0</v>
      </c>
      <c r="F174" s="88" t="b">
        <v>0</v>
      </c>
      <c r="G174" s="88" t="b">
        <v>0</v>
      </c>
    </row>
    <row r="175" spans="1:7" ht="15">
      <c r="A175" s="88" t="s">
        <v>2421</v>
      </c>
      <c r="B175" s="88">
        <v>5</v>
      </c>
      <c r="C175" s="120">
        <v>0.002073644980068856</v>
      </c>
      <c r="D175" s="88" t="s">
        <v>2665</v>
      </c>
      <c r="E175" s="88" t="b">
        <v>0</v>
      </c>
      <c r="F175" s="88" t="b">
        <v>0</v>
      </c>
      <c r="G175" s="88" t="b">
        <v>0</v>
      </c>
    </row>
    <row r="176" spans="1:7" ht="15">
      <c r="A176" s="88" t="s">
        <v>2422</v>
      </c>
      <c r="B176" s="88">
        <v>4</v>
      </c>
      <c r="C176" s="120">
        <v>0.0017579553432866192</v>
      </c>
      <c r="D176" s="88" t="s">
        <v>2665</v>
      </c>
      <c r="E176" s="88" t="b">
        <v>0</v>
      </c>
      <c r="F176" s="88" t="b">
        <v>0</v>
      </c>
      <c r="G176" s="88" t="b">
        <v>0</v>
      </c>
    </row>
    <row r="177" spans="1:7" ht="15">
      <c r="A177" s="88" t="s">
        <v>2423</v>
      </c>
      <c r="B177" s="88">
        <v>4</v>
      </c>
      <c r="C177" s="120">
        <v>0.0017579553432866192</v>
      </c>
      <c r="D177" s="88" t="s">
        <v>2665</v>
      </c>
      <c r="E177" s="88" t="b">
        <v>0</v>
      </c>
      <c r="F177" s="88" t="b">
        <v>0</v>
      </c>
      <c r="G177" s="88" t="b">
        <v>0</v>
      </c>
    </row>
    <row r="178" spans="1:7" ht="15">
      <c r="A178" s="88" t="s">
        <v>2424</v>
      </c>
      <c r="B178" s="88">
        <v>4</v>
      </c>
      <c r="C178" s="120">
        <v>0.0017579553432866192</v>
      </c>
      <c r="D178" s="88" t="s">
        <v>2665</v>
      </c>
      <c r="E178" s="88" t="b">
        <v>0</v>
      </c>
      <c r="F178" s="88" t="b">
        <v>0</v>
      </c>
      <c r="G178" s="88" t="b">
        <v>0</v>
      </c>
    </row>
    <row r="179" spans="1:7" ht="15">
      <c r="A179" s="88" t="s">
        <v>2425</v>
      </c>
      <c r="B179" s="88">
        <v>4</v>
      </c>
      <c r="C179" s="120">
        <v>0.0017579553432866192</v>
      </c>
      <c r="D179" s="88" t="s">
        <v>2665</v>
      </c>
      <c r="E179" s="88" t="b">
        <v>0</v>
      </c>
      <c r="F179" s="88" t="b">
        <v>0</v>
      </c>
      <c r="G179" s="88" t="b">
        <v>0</v>
      </c>
    </row>
    <row r="180" spans="1:7" ht="15">
      <c r="A180" s="88" t="s">
        <v>2426</v>
      </c>
      <c r="B180" s="88">
        <v>4</v>
      </c>
      <c r="C180" s="120">
        <v>0.0017579553432866192</v>
      </c>
      <c r="D180" s="88" t="s">
        <v>2665</v>
      </c>
      <c r="E180" s="88" t="b">
        <v>0</v>
      </c>
      <c r="F180" s="88" t="b">
        <v>0</v>
      </c>
      <c r="G180" s="88" t="b">
        <v>0</v>
      </c>
    </row>
    <row r="181" spans="1:7" ht="15">
      <c r="A181" s="88" t="s">
        <v>2427</v>
      </c>
      <c r="B181" s="88">
        <v>4</v>
      </c>
      <c r="C181" s="120">
        <v>0.0017579553432866192</v>
      </c>
      <c r="D181" s="88" t="s">
        <v>2665</v>
      </c>
      <c r="E181" s="88" t="b">
        <v>0</v>
      </c>
      <c r="F181" s="88" t="b">
        <v>0</v>
      </c>
      <c r="G181" s="88" t="b">
        <v>0</v>
      </c>
    </row>
    <row r="182" spans="1:7" ht="15">
      <c r="A182" s="88" t="s">
        <v>2428</v>
      </c>
      <c r="B182" s="88">
        <v>4</v>
      </c>
      <c r="C182" s="120">
        <v>0.0017579553432866192</v>
      </c>
      <c r="D182" s="88" t="s">
        <v>2665</v>
      </c>
      <c r="E182" s="88" t="b">
        <v>0</v>
      </c>
      <c r="F182" s="88" t="b">
        <v>0</v>
      </c>
      <c r="G182" s="88" t="b">
        <v>0</v>
      </c>
    </row>
    <row r="183" spans="1:7" ht="15">
      <c r="A183" s="88" t="s">
        <v>2429</v>
      </c>
      <c r="B183" s="88">
        <v>4</v>
      </c>
      <c r="C183" s="120">
        <v>0.0017579553432866192</v>
      </c>
      <c r="D183" s="88" t="s">
        <v>2665</v>
      </c>
      <c r="E183" s="88" t="b">
        <v>0</v>
      </c>
      <c r="F183" s="88" t="b">
        <v>0</v>
      </c>
      <c r="G183" s="88" t="b">
        <v>0</v>
      </c>
    </row>
    <row r="184" spans="1:7" ht="15">
      <c r="A184" s="88" t="s">
        <v>2430</v>
      </c>
      <c r="B184" s="88">
        <v>4</v>
      </c>
      <c r="C184" s="120">
        <v>0.0017579553432866192</v>
      </c>
      <c r="D184" s="88" t="s">
        <v>2665</v>
      </c>
      <c r="E184" s="88" t="b">
        <v>0</v>
      </c>
      <c r="F184" s="88" t="b">
        <v>0</v>
      </c>
      <c r="G184" s="88" t="b">
        <v>0</v>
      </c>
    </row>
    <row r="185" spans="1:7" ht="15">
      <c r="A185" s="88" t="s">
        <v>2431</v>
      </c>
      <c r="B185" s="88">
        <v>4</v>
      </c>
      <c r="C185" s="120">
        <v>0.0017579553432866192</v>
      </c>
      <c r="D185" s="88" t="s">
        <v>2665</v>
      </c>
      <c r="E185" s="88" t="b">
        <v>0</v>
      </c>
      <c r="F185" s="88" t="b">
        <v>0</v>
      </c>
      <c r="G185" s="88" t="b">
        <v>0</v>
      </c>
    </row>
    <row r="186" spans="1:7" ht="15">
      <c r="A186" s="88" t="s">
        <v>2432</v>
      </c>
      <c r="B186" s="88">
        <v>4</v>
      </c>
      <c r="C186" s="120">
        <v>0.0017579553432866192</v>
      </c>
      <c r="D186" s="88" t="s">
        <v>2665</v>
      </c>
      <c r="E186" s="88" t="b">
        <v>0</v>
      </c>
      <c r="F186" s="88" t="b">
        <v>0</v>
      </c>
      <c r="G186" s="88" t="b">
        <v>0</v>
      </c>
    </row>
    <row r="187" spans="1:7" ht="15">
      <c r="A187" s="88" t="s">
        <v>2433</v>
      </c>
      <c r="B187" s="88">
        <v>4</v>
      </c>
      <c r="C187" s="120">
        <v>0.0017579553432866192</v>
      </c>
      <c r="D187" s="88" t="s">
        <v>2665</v>
      </c>
      <c r="E187" s="88" t="b">
        <v>0</v>
      </c>
      <c r="F187" s="88" t="b">
        <v>0</v>
      </c>
      <c r="G187" s="88" t="b">
        <v>0</v>
      </c>
    </row>
    <row r="188" spans="1:7" ht="15">
      <c r="A188" s="88" t="s">
        <v>2434</v>
      </c>
      <c r="B188" s="88">
        <v>4</v>
      </c>
      <c r="C188" s="120">
        <v>0.0017579553432866192</v>
      </c>
      <c r="D188" s="88" t="s">
        <v>2665</v>
      </c>
      <c r="E188" s="88" t="b">
        <v>0</v>
      </c>
      <c r="F188" s="88" t="b">
        <v>0</v>
      </c>
      <c r="G188" s="88" t="b">
        <v>0</v>
      </c>
    </row>
    <row r="189" spans="1:7" ht="15">
      <c r="A189" s="88" t="s">
        <v>2435</v>
      </c>
      <c r="B189" s="88">
        <v>4</v>
      </c>
      <c r="C189" s="120">
        <v>0.0017579553432866192</v>
      </c>
      <c r="D189" s="88" t="s">
        <v>2665</v>
      </c>
      <c r="E189" s="88" t="b">
        <v>0</v>
      </c>
      <c r="F189" s="88" t="b">
        <v>0</v>
      </c>
      <c r="G189" s="88" t="b">
        <v>0</v>
      </c>
    </row>
    <row r="190" spans="1:7" ht="15">
      <c r="A190" s="88" t="s">
        <v>2436</v>
      </c>
      <c r="B190" s="88">
        <v>4</v>
      </c>
      <c r="C190" s="120">
        <v>0.0017579553432866192</v>
      </c>
      <c r="D190" s="88" t="s">
        <v>2665</v>
      </c>
      <c r="E190" s="88" t="b">
        <v>0</v>
      </c>
      <c r="F190" s="88" t="b">
        <v>0</v>
      </c>
      <c r="G190" s="88" t="b">
        <v>0</v>
      </c>
    </row>
    <row r="191" spans="1:7" ht="15">
      <c r="A191" s="88" t="s">
        <v>2437</v>
      </c>
      <c r="B191" s="88">
        <v>4</v>
      </c>
      <c r="C191" s="120">
        <v>0.0017579553432866192</v>
      </c>
      <c r="D191" s="88" t="s">
        <v>2665</v>
      </c>
      <c r="E191" s="88" t="b">
        <v>0</v>
      </c>
      <c r="F191" s="88" t="b">
        <v>0</v>
      </c>
      <c r="G191" s="88" t="b">
        <v>0</v>
      </c>
    </row>
    <row r="192" spans="1:7" ht="15">
      <c r="A192" s="88" t="s">
        <v>2438</v>
      </c>
      <c r="B192" s="88">
        <v>4</v>
      </c>
      <c r="C192" s="120">
        <v>0.0017579553432866192</v>
      </c>
      <c r="D192" s="88" t="s">
        <v>2665</v>
      </c>
      <c r="E192" s="88" t="b">
        <v>0</v>
      </c>
      <c r="F192" s="88" t="b">
        <v>0</v>
      </c>
      <c r="G192" s="88" t="b">
        <v>0</v>
      </c>
    </row>
    <row r="193" spans="1:7" ht="15">
      <c r="A193" s="88" t="s">
        <v>528</v>
      </c>
      <c r="B193" s="88">
        <v>4</v>
      </c>
      <c r="C193" s="120">
        <v>0.0017579553432866192</v>
      </c>
      <c r="D193" s="88" t="s">
        <v>2665</v>
      </c>
      <c r="E193" s="88" t="b">
        <v>0</v>
      </c>
      <c r="F193" s="88" t="b">
        <v>0</v>
      </c>
      <c r="G193" s="88" t="b">
        <v>0</v>
      </c>
    </row>
    <row r="194" spans="1:7" ht="15">
      <c r="A194" s="88" t="s">
        <v>2439</v>
      </c>
      <c r="B194" s="88">
        <v>4</v>
      </c>
      <c r="C194" s="120">
        <v>0.0017579553432866192</v>
      </c>
      <c r="D194" s="88" t="s">
        <v>2665</v>
      </c>
      <c r="E194" s="88" t="b">
        <v>0</v>
      </c>
      <c r="F194" s="88" t="b">
        <v>0</v>
      </c>
      <c r="G194" s="88" t="b">
        <v>0</v>
      </c>
    </row>
    <row r="195" spans="1:7" ht="15">
      <c r="A195" s="88" t="s">
        <v>2440</v>
      </c>
      <c r="B195" s="88">
        <v>4</v>
      </c>
      <c r="C195" s="120">
        <v>0.0017579553432866192</v>
      </c>
      <c r="D195" s="88" t="s">
        <v>2665</v>
      </c>
      <c r="E195" s="88" t="b">
        <v>0</v>
      </c>
      <c r="F195" s="88" t="b">
        <v>0</v>
      </c>
      <c r="G195" s="88" t="b">
        <v>0</v>
      </c>
    </row>
    <row r="196" spans="1:7" ht="15">
      <c r="A196" s="88" t="s">
        <v>2441</v>
      </c>
      <c r="B196" s="88">
        <v>4</v>
      </c>
      <c r="C196" s="120">
        <v>0.0017579553432866192</v>
      </c>
      <c r="D196" s="88" t="s">
        <v>2665</v>
      </c>
      <c r="E196" s="88" t="b">
        <v>0</v>
      </c>
      <c r="F196" s="88" t="b">
        <v>0</v>
      </c>
      <c r="G196" s="88" t="b">
        <v>0</v>
      </c>
    </row>
    <row r="197" spans="1:7" ht="15">
      <c r="A197" s="88" t="s">
        <v>2442</v>
      </c>
      <c r="B197" s="88">
        <v>4</v>
      </c>
      <c r="C197" s="120">
        <v>0.0017579553432866192</v>
      </c>
      <c r="D197" s="88" t="s">
        <v>2665</v>
      </c>
      <c r="E197" s="88" t="b">
        <v>0</v>
      </c>
      <c r="F197" s="88" t="b">
        <v>0</v>
      </c>
      <c r="G197" s="88" t="b">
        <v>0</v>
      </c>
    </row>
    <row r="198" spans="1:7" ht="15">
      <c r="A198" s="88" t="s">
        <v>2443</v>
      </c>
      <c r="B198" s="88">
        <v>4</v>
      </c>
      <c r="C198" s="120">
        <v>0.0017579553432866192</v>
      </c>
      <c r="D198" s="88" t="s">
        <v>2665</v>
      </c>
      <c r="E198" s="88" t="b">
        <v>0</v>
      </c>
      <c r="F198" s="88" t="b">
        <v>0</v>
      </c>
      <c r="G198" s="88" t="b">
        <v>0</v>
      </c>
    </row>
    <row r="199" spans="1:7" ht="15">
      <c r="A199" s="88" t="s">
        <v>2444</v>
      </c>
      <c r="B199" s="88">
        <v>4</v>
      </c>
      <c r="C199" s="120">
        <v>0.0017579553432866192</v>
      </c>
      <c r="D199" s="88" t="s">
        <v>2665</v>
      </c>
      <c r="E199" s="88" t="b">
        <v>0</v>
      </c>
      <c r="F199" s="88" t="b">
        <v>0</v>
      </c>
      <c r="G199" s="88" t="b">
        <v>0</v>
      </c>
    </row>
    <row r="200" spans="1:7" ht="15">
      <c r="A200" s="88" t="s">
        <v>2445</v>
      </c>
      <c r="B200" s="88">
        <v>4</v>
      </c>
      <c r="C200" s="120">
        <v>0.0017579553432866192</v>
      </c>
      <c r="D200" s="88" t="s">
        <v>2665</v>
      </c>
      <c r="E200" s="88" t="b">
        <v>0</v>
      </c>
      <c r="F200" s="88" t="b">
        <v>0</v>
      </c>
      <c r="G200" s="88" t="b">
        <v>0</v>
      </c>
    </row>
    <row r="201" spans="1:7" ht="15">
      <c r="A201" s="88" t="s">
        <v>2446</v>
      </c>
      <c r="B201" s="88">
        <v>4</v>
      </c>
      <c r="C201" s="120">
        <v>0.0017579553432866192</v>
      </c>
      <c r="D201" s="88" t="s">
        <v>2665</v>
      </c>
      <c r="E201" s="88" t="b">
        <v>0</v>
      </c>
      <c r="F201" s="88" t="b">
        <v>0</v>
      </c>
      <c r="G201" s="88" t="b">
        <v>0</v>
      </c>
    </row>
    <row r="202" spans="1:7" ht="15">
      <c r="A202" s="88" t="s">
        <v>2447</v>
      </c>
      <c r="B202" s="88">
        <v>4</v>
      </c>
      <c r="C202" s="120">
        <v>0.0017579553432866192</v>
      </c>
      <c r="D202" s="88" t="s">
        <v>2665</v>
      </c>
      <c r="E202" s="88" t="b">
        <v>0</v>
      </c>
      <c r="F202" s="88" t="b">
        <v>0</v>
      </c>
      <c r="G202" s="88" t="b">
        <v>0</v>
      </c>
    </row>
    <row r="203" spans="1:7" ht="15">
      <c r="A203" s="88" t="s">
        <v>2448</v>
      </c>
      <c r="B203" s="88">
        <v>4</v>
      </c>
      <c r="C203" s="120">
        <v>0.0017579553432866192</v>
      </c>
      <c r="D203" s="88" t="s">
        <v>2665</v>
      </c>
      <c r="E203" s="88" t="b">
        <v>0</v>
      </c>
      <c r="F203" s="88" t="b">
        <v>0</v>
      </c>
      <c r="G203" s="88" t="b">
        <v>0</v>
      </c>
    </row>
    <row r="204" spans="1:7" ht="15">
      <c r="A204" s="88" t="s">
        <v>2449</v>
      </c>
      <c r="B204" s="88">
        <v>4</v>
      </c>
      <c r="C204" s="120">
        <v>0.0017579553432866192</v>
      </c>
      <c r="D204" s="88" t="s">
        <v>2665</v>
      </c>
      <c r="E204" s="88" t="b">
        <v>0</v>
      </c>
      <c r="F204" s="88" t="b">
        <v>0</v>
      </c>
      <c r="G204" s="88" t="b">
        <v>0</v>
      </c>
    </row>
    <row r="205" spans="1:7" ht="15">
      <c r="A205" s="88" t="s">
        <v>2450</v>
      </c>
      <c r="B205" s="88">
        <v>4</v>
      </c>
      <c r="C205" s="120">
        <v>0.0017579553432866192</v>
      </c>
      <c r="D205" s="88" t="s">
        <v>2665</v>
      </c>
      <c r="E205" s="88" t="b">
        <v>0</v>
      </c>
      <c r="F205" s="88" t="b">
        <v>0</v>
      </c>
      <c r="G205" s="88" t="b">
        <v>0</v>
      </c>
    </row>
    <row r="206" spans="1:7" ht="15">
      <c r="A206" s="88" t="s">
        <v>2451</v>
      </c>
      <c r="B206" s="88">
        <v>4</v>
      </c>
      <c r="C206" s="120">
        <v>0.0017579553432866192</v>
      </c>
      <c r="D206" s="88" t="s">
        <v>2665</v>
      </c>
      <c r="E206" s="88" t="b">
        <v>0</v>
      </c>
      <c r="F206" s="88" t="b">
        <v>0</v>
      </c>
      <c r="G206" s="88" t="b">
        <v>0</v>
      </c>
    </row>
    <row r="207" spans="1:7" ht="15">
      <c r="A207" s="88" t="s">
        <v>2452</v>
      </c>
      <c r="B207" s="88">
        <v>4</v>
      </c>
      <c r="C207" s="120">
        <v>0.0017579553432866192</v>
      </c>
      <c r="D207" s="88" t="s">
        <v>2665</v>
      </c>
      <c r="E207" s="88" t="b">
        <v>0</v>
      </c>
      <c r="F207" s="88" t="b">
        <v>0</v>
      </c>
      <c r="G207" s="88" t="b">
        <v>0</v>
      </c>
    </row>
    <row r="208" spans="1:7" ht="15">
      <c r="A208" s="88" t="s">
        <v>2453</v>
      </c>
      <c r="B208" s="88">
        <v>4</v>
      </c>
      <c r="C208" s="120">
        <v>0.0017579553432866192</v>
      </c>
      <c r="D208" s="88" t="s">
        <v>2665</v>
      </c>
      <c r="E208" s="88" t="b">
        <v>0</v>
      </c>
      <c r="F208" s="88" t="b">
        <v>0</v>
      </c>
      <c r="G208" s="88" t="b">
        <v>0</v>
      </c>
    </row>
    <row r="209" spans="1:7" ht="15">
      <c r="A209" s="88" t="s">
        <v>2454</v>
      </c>
      <c r="B209" s="88">
        <v>4</v>
      </c>
      <c r="C209" s="120">
        <v>0.0017579553432866192</v>
      </c>
      <c r="D209" s="88" t="s">
        <v>2665</v>
      </c>
      <c r="E209" s="88" t="b">
        <v>0</v>
      </c>
      <c r="F209" s="88" t="b">
        <v>0</v>
      </c>
      <c r="G209" s="88" t="b">
        <v>0</v>
      </c>
    </row>
    <row r="210" spans="1:7" ht="15">
      <c r="A210" s="88" t="s">
        <v>2455</v>
      </c>
      <c r="B210" s="88">
        <v>4</v>
      </c>
      <c r="C210" s="120">
        <v>0.0017579553432866192</v>
      </c>
      <c r="D210" s="88" t="s">
        <v>2665</v>
      </c>
      <c r="E210" s="88" t="b">
        <v>0</v>
      </c>
      <c r="F210" s="88" t="b">
        <v>0</v>
      </c>
      <c r="G210" s="88" t="b">
        <v>0</v>
      </c>
    </row>
    <row r="211" spans="1:7" ht="15">
      <c r="A211" s="88" t="s">
        <v>2456</v>
      </c>
      <c r="B211" s="88">
        <v>4</v>
      </c>
      <c r="C211" s="120">
        <v>0.0017579553432866192</v>
      </c>
      <c r="D211" s="88" t="s">
        <v>2665</v>
      </c>
      <c r="E211" s="88" t="b">
        <v>0</v>
      </c>
      <c r="F211" s="88" t="b">
        <v>0</v>
      </c>
      <c r="G211" s="88" t="b">
        <v>0</v>
      </c>
    </row>
    <row r="212" spans="1:7" ht="15">
      <c r="A212" s="88" t="s">
        <v>2457</v>
      </c>
      <c r="B212" s="88">
        <v>4</v>
      </c>
      <c r="C212" s="120">
        <v>0.0017579553432866192</v>
      </c>
      <c r="D212" s="88" t="s">
        <v>2665</v>
      </c>
      <c r="E212" s="88" t="b">
        <v>0</v>
      </c>
      <c r="F212" s="88" t="b">
        <v>0</v>
      </c>
      <c r="G212" s="88" t="b">
        <v>0</v>
      </c>
    </row>
    <row r="213" spans="1:7" ht="15">
      <c r="A213" s="88" t="s">
        <v>2458</v>
      </c>
      <c r="B213" s="88">
        <v>4</v>
      </c>
      <c r="C213" s="120">
        <v>0.0017579553432866192</v>
      </c>
      <c r="D213" s="88" t="s">
        <v>2665</v>
      </c>
      <c r="E213" s="88" t="b">
        <v>0</v>
      </c>
      <c r="F213" s="88" t="b">
        <v>0</v>
      </c>
      <c r="G213" s="88" t="b">
        <v>0</v>
      </c>
    </row>
    <row r="214" spans="1:7" ht="15">
      <c r="A214" s="88" t="s">
        <v>2459</v>
      </c>
      <c r="B214" s="88">
        <v>4</v>
      </c>
      <c r="C214" s="120">
        <v>0.0017579553432866192</v>
      </c>
      <c r="D214" s="88" t="s">
        <v>2665</v>
      </c>
      <c r="E214" s="88" t="b">
        <v>0</v>
      </c>
      <c r="F214" s="88" t="b">
        <v>0</v>
      </c>
      <c r="G214" s="88" t="b">
        <v>0</v>
      </c>
    </row>
    <row r="215" spans="1:7" ht="15">
      <c r="A215" s="88" t="s">
        <v>2460</v>
      </c>
      <c r="B215" s="88">
        <v>4</v>
      </c>
      <c r="C215" s="120">
        <v>0.0017579553432866192</v>
      </c>
      <c r="D215" s="88" t="s">
        <v>2665</v>
      </c>
      <c r="E215" s="88" t="b">
        <v>0</v>
      </c>
      <c r="F215" s="88" t="b">
        <v>0</v>
      </c>
      <c r="G215" s="88" t="b">
        <v>0</v>
      </c>
    </row>
    <row r="216" spans="1:7" ht="15">
      <c r="A216" s="88" t="s">
        <v>2461</v>
      </c>
      <c r="B216" s="88">
        <v>4</v>
      </c>
      <c r="C216" s="120">
        <v>0.0017579553432866192</v>
      </c>
      <c r="D216" s="88" t="s">
        <v>2665</v>
      </c>
      <c r="E216" s="88" t="b">
        <v>0</v>
      </c>
      <c r="F216" s="88" t="b">
        <v>0</v>
      </c>
      <c r="G216" s="88" t="b">
        <v>0</v>
      </c>
    </row>
    <row r="217" spans="1:7" ht="15">
      <c r="A217" s="88" t="s">
        <v>2462</v>
      </c>
      <c r="B217" s="88">
        <v>4</v>
      </c>
      <c r="C217" s="120">
        <v>0.0017579553432866192</v>
      </c>
      <c r="D217" s="88" t="s">
        <v>2665</v>
      </c>
      <c r="E217" s="88" t="b">
        <v>0</v>
      </c>
      <c r="F217" s="88" t="b">
        <v>0</v>
      </c>
      <c r="G217" s="88" t="b">
        <v>0</v>
      </c>
    </row>
    <row r="218" spans="1:7" ht="15">
      <c r="A218" s="88" t="s">
        <v>2463</v>
      </c>
      <c r="B218" s="88">
        <v>4</v>
      </c>
      <c r="C218" s="120">
        <v>0.0017579553432866192</v>
      </c>
      <c r="D218" s="88" t="s">
        <v>2665</v>
      </c>
      <c r="E218" s="88" t="b">
        <v>0</v>
      </c>
      <c r="F218" s="88" t="b">
        <v>0</v>
      </c>
      <c r="G218" s="88" t="b">
        <v>0</v>
      </c>
    </row>
    <row r="219" spans="1:7" ht="15">
      <c r="A219" s="88" t="s">
        <v>2464</v>
      </c>
      <c r="B219" s="88">
        <v>4</v>
      </c>
      <c r="C219" s="120">
        <v>0.0017579553432866192</v>
      </c>
      <c r="D219" s="88" t="s">
        <v>2665</v>
      </c>
      <c r="E219" s="88" t="b">
        <v>0</v>
      </c>
      <c r="F219" s="88" t="b">
        <v>0</v>
      </c>
      <c r="G219" s="88" t="b">
        <v>0</v>
      </c>
    </row>
    <row r="220" spans="1:7" ht="15">
      <c r="A220" s="88" t="s">
        <v>529</v>
      </c>
      <c r="B220" s="88">
        <v>4</v>
      </c>
      <c r="C220" s="120">
        <v>0.0017579553432866192</v>
      </c>
      <c r="D220" s="88" t="s">
        <v>2665</v>
      </c>
      <c r="E220" s="88" t="b">
        <v>0</v>
      </c>
      <c r="F220" s="88" t="b">
        <v>0</v>
      </c>
      <c r="G220" s="88" t="b">
        <v>0</v>
      </c>
    </row>
    <row r="221" spans="1:7" ht="15">
      <c r="A221" s="88" t="s">
        <v>2465</v>
      </c>
      <c r="B221" s="88">
        <v>4</v>
      </c>
      <c r="C221" s="120">
        <v>0.0017579553432866192</v>
      </c>
      <c r="D221" s="88" t="s">
        <v>2665</v>
      </c>
      <c r="E221" s="88" t="b">
        <v>0</v>
      </c>
      <c r="F221" s="88" t="b">
        <v>0</v>
      </c>
      <c r="G221" s="88" t="b">
        <v>0</v>
      </c>
    </row>
    <row r="222" spans="1:7" ht="15">
      <c r="A222" s="88" t="s">
        <v>2466</v>
      </c>
      <c r="B222" s="88">
        <v>4</v>
      </c>
      <c r="C222" s="120">
        <v>0.0017579553432866192</v>
      </c>
      <c r="D222" s="88" t="s">
        <v>2665</v>
      </c>
      <c r="E222" s="88" t="b">
        <v>0</v>
      </c>
      <c r="F222" s="88" t="b">
        <v>0</v>
      </c>
      <c r="G222" s="88" t="b">
        <v>0</v>
      </c>
    </row>
    <row r="223" spans="1:7" ht="15">
      <c r="A223" s="88" t="s">
        <v>2467</v>
      </c>
      <c r="B223" s="88">
        <v>4</v>
      </c>
      <c r="C223" s="120">
        <v>0.0017579553432866192</v>
      </c>
      <c r="D223" s="88" t="s">
        <v>2665</v>
      </c>
      <c r="E223" s="88" t="b">
        <v>0</v>
      </c>
      <c r="F223" s="88" t="b">
        <v>0</v>
      </c>
      <c r="G223" s="88" t="b">
        <v>0</v>
      </c>
    </row>
    <row r="224" spans="1:7" ht="15">
      <c r="A224" s="88" t="s">
        <v>539</v>
      </c>
      <c r="B224" s="88">
        <v>4</v>
      </c>
      <c r="C224" s="120">
        <v>0.0017579553432866192</v>
      </c>
      <c r="D224" s="88" t="s">
        <v>2665</v>
      </c>
      <c r="E224" s="88" t="b">
        <v>0</v>
      </c>
      <c r="F224" s="88" t="b">
        <v>0</v>
      </c>
      <c r="G224" s="88" t="b">
        <v>0</v>
      </c>
    </row>
    <row r="225" spans="1:7" ht="15">
      <c r="A225" s="88" t="s">
        <v>2468</v>
      </c>
      <c r="B225" s="88">
        <v>4</v>
      </c>
      <c r="C225" s="120">
        <v>0.0017579553432866192</v>
      </c>
      <c r="D225" s="88" t="s">
        <v>2665</v>
      </c>
      <c r="E225" s="88" t="b">
        <v>0</v>
      </c>
      <c r="F225" s="88" t="b">
        <v>0</v>
      </c>
      <c r="G225" s="88" t="b">
        <v>0</v>
      </c>
    </row>
    <row r="226" spans="1:7" ht="15">
      <c r="A226" s="88" t="s">
        <v>2469</v>
      </c>
      <c r="B226" s="88">
        <v>4</v>
      </c>
      <c r="C226" s="120">
        <v>0.0017579553432866192</v>
      </c>
      <c r="D226" s="88" t="s">
        <v>2665</v>
      </c>
      <c r="E226" s="88" t="b">
        <v>0</v>
      </c>
      <c r="F226" s="88" t="b">
        <v>1</v>
      </c>
      <c r="G226" s="88" t="b">
        <v>0</v>
      </c>
    </row>
    <row r="227" spans="1:7" ht="15">
      <c r="A227" s="88" t="s">
        <v>2470</v>
      </c>
      <c r="B227" s="88">
        <v>4</v>
      </c>
      <c r="C227" s="120">
        <v>0.0017579553432866192</v>
      </c>
      <c r="D227" s="88" t="s">
        <v>2665</v>
      </c>
      <c r="E227" s="88" t="b">
        <v>0</v>
      </c>
      <c r="F227" s="88" t="b">
        <v>0</v>
      </c>
      <c r="G227" s="88" t="b">
        <v>0</v>
      </c>
    </row>
    <row r="228" spans="1:7" ht="15">
      <c r="A228" s="88" t="s">
        <v>2471</v>
      </c>
      <c r="B228" s="88">
        <v>4</v>
      </c>
      <c r="C228" s="120">
        <v>0.0017579553432866192</v>
      </c>
      <c r="D228" s="88" t="s">
        <v>2665</v>
      </c>
      <c r="E228" s="88" t="b">
        <v>1</v>
      </c>
      <c r="F228" s="88" t="b">
        <v>0</v>
      </c>
      <c r="G228" s="88" t="b">
        <v>0</v>
      </c>
    </row>
    <row r="229" spans="1:7" ht="15">
      <c r="A229" s="88" t="s">
        <v>2472</v>
      </c>
      <c r="B229" s="88">
        <v>4</v>
      </c>
      <c r="C229" s="120">
        <v>0.0017579553432866192</v>
      </c>
      <c r="D229" s="88" t="s">
        <v>2665</v>
      </c>
      <c r="E229" s="88" t="b">
        <v>0</v>
      </c>
      <c r="F229" s="88" t="b">
        <v>0</v>
      </c>
      <c r="G229" s="88" t="b">
        <v>0</v>
      </c>
    </row>
    <row r="230" spans="1:7" ht="15">
      <c r="A230" s="88" t="s">
        <v>2473</v>
      </c>
      <c r="B230" s="88">
        <v>4</v>
      </c>
      <c r="C230" s="120">
        <v>0.0017579553432866192</v>
      </c>
      <c r="D230" s="88" t="s">
        <v>2665</v>
      </c>
      <c r="E230" s="88" t="b">
        <v>0</v>
      </c>
      <c r="F230" s="88" t="b">
        <v>0</v>
      </c>
      <c r="G230" s="88" t="b">
        <v>0</v>
      </c>
    </row>
    <row r="231" spans="1:7" ht="15">
      <c r="A231" s="88" t="s">
        <v>2474</v>
      </c>
      <c r="B231" s="88">
        <v>4</v>
      </c>
      <c r="C231" s="120">
        <v>0.0017579553432866192</v>
      </c>
      <c r="D231" s="88" t="s">
        <v>2665</v>
      </c>
      <c r="E231" s="88" t="b">
        <v>0</v>
      </c>
      <c r="F231" s="88" t="b">
        <v>0</v>
      </c>
      <c r="G231" s="88" t="b">
        <v>0</v>
      </c>
    </row>
    <row r="232" spans="1:7" ht="15">
      <c r="A232" s="88" t="s">
        <v>2475</v>
      </c>
      <c r="B232" s="88">
        <v>4</v>
      </c>
      <c r="C232" s="120">
        <v>0.0017579553432866192</v>
      </c>
      <c r="D232" s="88" t="s">
        <v>2665</v>
      </c>
      <c r="E232" s="88" t="b">
        <v>0</v>
      </c>
      <c r="F232" s="88" t="b">
        <v>0</v>
      </c>
      <c r="G232" s="88" t="b">
        <v>0</v>
      </c>
    </row>
    <row r="233" spans="1:7" ht="15">
      <c r="A233" s="88" t="s">
        <v>2476</v>
      </c>
      <c r="B233" s="88">
        <v>4</v>
      </c>
      <c r="C233" s="120">
        <v>0.0017579553432866192</v>
      </c>
      <c r="D233" s="88" t="s">
        <v>2665</v>
      </c>
      <c r="E233" s="88" t="b">
        <v>0</v>
      </c>
      <c r="F233" s="88" t="b">
        <v>0</v>
      </c>
      <c r="G233" s="88" t="b">
        <v>0</v>
      </c>
    </row>
    <row r="234" spans="1:7" ht="15">
      <c r="A234" s="88" t="s">
        <v>2477</v>
      </c>
      <c r="B234" s="88">
        <v>4</v>
      </c>
      <c r="C234" s="120">
        <v>0.0017579553432866192</v>
      </c>
      <c r="D234" s="88" t="s">
        <v>2665</v>
      </c>
      <c r="E234" s="88" t="b">
        <v>0</v>
      </c>
      <c r="F234" s="88" t="b">
        <v>0</v>
      </c>
      <c r="G234" s="88" t="b">
        <v>0</v>
      </c>
    </row>
    <row r="235" spans="1:7" ht="15">
      <c r="A235" s="88" t="s">
        <v>2478</v>
      </c>
      <c r="B235" s="88">
        <v>4</v>
      </c>
      <c r="C235" s="120">
        <v>0.0017579553432866192</v>
      </c>
      <c r="D235" s="88" t="s">
        <v>2665</v>
      </c>
      <c r="E235" s="88" t="b">
        <v>0</v>
      </c>
      <c r="F235" s="88" t="b">
        <v>0</v>
      </c>
      <c r="G235" s="88" t="b">
        <v>0</v>
      </c>
    </row>
    <row r="236" spans="1:7" ht="15">
      <c r="A236" s="88" t="s">
        <v>2479</v>
      </c>
      <c r="B236" s="88">
        <v>4</v>
      </c>
      <c r="C236" s="120">
        <v>0.0017579553432866192</v>
      </c>
      <c r="D236" s="88" t="s">
        <v>2665</v>
      </c>
      <c r="E236" s="88" t="b">
        <v>0</v>
      </c>
      <c r="F236" s="88" t="b">
        <v>0</v>
      </c>
      <c r="G236" s="88" t="b">
        <v>0</v>
      </c>
    </row>
    <row r="237" spans="1:7" ht="15">
      <c r="A237" s="88" t="s">
        <v>2480</v>
      </c>
      <c r="B237" s="88">
        <v>4</v>
      </c>
      <c r="C237" s="120">
        <v>0.0017579553432866192</v>
      </c>
      <c r="D237" s="88" t="s">
        <v>2665</v>
      </c>
      <c r="E237" s="88" t="b">
        <v>0</v>
      </c>
      <c r="F237" s="88" t="b">
        <v>0</v>
      </c>
      <c r="G237" s="88" t="b">
        <v>0</v>
      </c>
    </row>
    <row r="238" spans="1:7" ht="15">
      <c r="A238" s="88" t="s">
        <v>2481</v>
      </c>
      <c r="B238" s="88">
        <v>4</v>
      </c>
      <c r="C238" s="120">
        <v>0.0017579553432866192</v>
      </c>
      <c r="D238" s="88" t="s">
        <v>2665</v>
      </c>
      <c r="E238" s="88" t="b">
        <v>0</v>
      </c>
      <c r="F238" s="88" t="b">
        <v>0</v>
      </c>
      <c r="G238" s="88" t="b">
        <v>0</v>
      </c>
    </row>
    <row r="239" spans="1:7" ht="15">
      <c r="A239" s="88" t="s">
        <v>530</v>
      </c>
      <c r="B239" s="88">
        <v>4</v>
      </c>
      <c r="C239" s="120">
        <v>0.0017579553432866192</v>
      </c>
      <c r="D239" s="88" t="s">
        <v>2665</v>
      </c>
      <c r="E239" s="88" t="b">
        <v>0</v>
      </c>
      <c r="F239" s="88" t="b">
        <v>0</v>
      </c>
      <c r="G239" s="88" t="b">
        <v>0</v>
      </c>
    </row>
    <row r="240" spans="1:7" ht="15">
      <c r="A240" s="88" t="s">
        <v>2482</v>
      </c>
      <c r="B240" s="88">
        <v>4</v>
      </c>
      <c r="C240" s="120">
        <v>0.0017579553432866192</v>
      </c>
      <c r="D240" s="88" t="s">
        <v>2665</v>
      </c>
      <c r="E240" s="88" t="b">
        <v>0</v>
      </c>
      <c r="F240" s="88" t="b">
        <v>0</v>
      </c>
      <c r="G240" s="88" t="b">
        <v>0</v>
      </c>
    </row>
    <row r="241" spans="1:7" ht="15">
      <c r="A241" s="88" t="s">
        <v>2483</v>
      </c>
      <c r="B241" s="88">
        <v>4</v>
      </c>
      <c r="C241" s="120">
        <v>0.0017579553432866192</v>
      </c>
      <c r="D241" s="88" t="s">
        <v>2665</v>
      </c>
      <c r="E241" s="88" t="b">
        <v>0</v>
      </c>
      <c r="F241" s="88" t="b">
        <v>0</v>
      </c>
      <c r="G241" s="88" t="b">
        <v>0</v>
      </c>
    </row>
    <row r="242" spans="1:7" ht="15">
      <c r="A242" s="88" t="s">
        <v>2484</v>
      </c>
      <c r="B242" s="88">
        <v>4</v>
      </c>
      <c r="C242" s="120">
        <v>0.0017579553432866192</v>
      </c>
      <c r="D242" s="88" t="s">
        <v>2665</v>
      </c>
      <c r="E242" s="88" t="b">
        <v>0</v>
      </c>
      <c r="F242" s="88" t="b">
        <v>0</v>
      </c>
      <c r="G242" s="88" t="b">
        <v>0</v>
      </c>
    </row>
    <row r="243" spans="1:7" ht="15">
      <c r="A243" s="88" t="s">
        <v>2485</v>
      </c>
      <c r="B243" s="88">
        <v>4</v>
      </c>
      <c r="C243" s="120">
        <v>0.0017579553432866192</v>
      </c>
      <c r="D243" s="88" t="s">
        <v>2665</v>
      </c>
      <c r="E243" s="88" t="b">
        <v>0</v>
      </c>
      <c r="F243" s="88" t="b">
        <v>0</v>
      </c>
      <c r="G243" s="88" t="b">
        <v>0</v>
      </c>
    </row>
    <row r="244" spans="1:7" ht="15">
      <c r="A244" s="88" t="s">
        <v>2486</v>
      </c>
      <c r="B244" s="88">
        <v>4</v>
      </c>
      <c r="C244" s="120">
        <v>0.0017579553432866192</v>
      </c>
      <c r="D244" s="88" t="s">
        <v>2665</v>
      </c>
      <c r="E244" s="88" t="b">
        <v>0</v>
      </c>
      <c r="F244" s="88" t="b">
        <v>0</v>
      </c>
      <c r="G244" s="88" t="b">
        <v>0</v>
      </c>
    </row>
    <row r="245" spans="1:7" ht="15">
      <c r="A245" s="88" t="s">
        <v>2487</v>
      </c>
      <c r="B245" s="88">
        <v>4</v>
      </c>
      <c r="C245" s="120">
        <v>0.0017579553432866192</v>
      </c>
      <c r="D245" s="88" t="s">
        <v>2665</v>
      </c>
      <c r="E245" s="88" t="b">
        <v>0</v>
      </c>
      <c r="F245" s="88" t="b">
        <v>0</v>
      </c>
      <c r="G245" s="88" t="b">
        <v>0</v>
      </c>
    </row>
    <row r="246" spans="1:7" ht="15">
      <c r="A246" s="88" t="s">
        <v>2488</v>
      </c>
      <c r="B246" s="88">
        <v>4</v>
      </c>
      <c r="C246" s="120">
        <v>0.0017579553432866192</v>
      </c>
      <c r="D246" s="88" t="s">
        <v>2665</v>
      </c>
      <c r="E246" s="88" t="b">
        <v>0</v>
      </c>
      <c r="F246" s="88" t="b">
        <v>0</v>
      </c>
      <c r="G246" s="88" t="b">
        <v>0</v>
      </c>
    </row>
    <row r="247" spans="1:7" ht="15">
      <c r="A247" s="88" t="s">
        <v>2489</v>
      </c>
      <c r="B247" s="88">
        <v>4</v>
      </c>
      <c r="C247" s="120">
        <v>0.0017579553432866192</v>
      </c>
      <c r="D247" s="88" t="s">
        <v>2665</v>
      </c>
      <c r="E247" s="88" t="b">
        <v>0</v>
      </c>
      <c r="F247" s="88" t="b">
        <v>0</v>
      </c>
      <c r="G247" s="88" t="b">
        <v>0</v>
      </c>
    </row>
    <row r="248" spans="1:7" ht="15">
      <c r="A248" s="88" t="s">
        <v>2490</v>
      </c>
      <c r="B248" s="88">
        <v>4</v>
      </c>
      <c r="C248" s="120">
        <v>0.0017579553432866192</v>
      </c>
      <c r="D248" s="88" t="s">
        <v>2665</v>
      </c>
      <c r="E248" s="88" t="b">
        <v>0</v>
      </c>
      <c r="F248" s="88" t="b">
        <v>0</v>
      </c>
      <c r="G248" s="88" t="b">
        <v>0</v>
      </c>
    </row>
    <row r="249" spans="1:7" ht="15">
      <c r="A249" s="88" t="s">
        <v>2491</v>
      </c>
      <c r="B249" s="88">
        <v>3</v>
      </c>
      <c r="C249" s="120">
        <v>0.0014142294634754142</v>
      </c>
      <c r="D249" s="88" t="s">
        <v>2665</v>
      </c>
      <c r="E249" s="88" t="b">
        <v>0</v>
      </c>
      <c r="F249" s="88" t="b">
        <v>0</v>
      </c>
      <c r="G249" s="88" t="b">
        <v>0</v>
      </c>
    </row>
    <row r="250" spans="1:7" ht="15">
      <c r="A250" s="88" t="s">
        <v>2492</v>
      </c>
      <c r="B250" s="88">
        <v>3</v>
      </c>
      <c r="C250" s="120">
        <v>0.0014142294634754142</v>
      </c>
      <c r="D250" s="88" t="s">
        <v>2665</v>
      </c>
      <c r="E250" s="88" t="b">
        <v>0</v>
      </c>
      <c r="F250" s="88" t="b">
        <v>0</v>
      </c>
      <c r="G250" s="88" t="b">
        <v>0</v>
      </c>
    </row>
    <row r="251" spans="1:7" ht="15">
      <c r="A251" s="88" t="s">
        <v>2493</v>
      </c>
      <c r="B251" s="88">
        <v>3</v>
      </c>
      <c r="C251" s="120">
        <v>0.0014142294634754142</v>
      </c>
      <c r="D251" s="88" t="s">
        <v>2665</v>
      </c>
      <c r="E251" s="88" t="b">
        <v>0</v>
      </c>
      <c r="F251" s="88" t="b">
        <v>0</v>
      </c>
      <c r="G251" s="88" t="b">
        <v>0</v>
      </c>
    </row>
    <row r="252" spans="1:7" ht="15">
      <c r="A252" s="88" t="s">
        <v>2494</v>
      </c>
      <c r="B252" s="88">
        <v>3</v>
      </c>
      <c r="C252" s="120">
        <v>0.0014142294634754142</v>
      </c>
      <c r="D252" s="88" t="s">
        <v>2665</v>
      </c>
      <c r="E252" s="88" t="b">
        <v>0</v>
      </c>
      <c r="F252" s="88" t="b">
        <v>0</v>
      </c>
      <c r="G252" s="88" t="b">
        <v>0</v>
      </c>
    </row>
    <row r="253" spans="1:7" ht="15">
      <c r="A253" s="88" t="s">
        <v>2495</v>
      </c>
      <c r="B253" s="88">
        <v>3</v>
      </c>
      <c r="C253" s="120">
        <v>0.0014142294634754142</v>
      </c>
      <c r="D253" s="88" t="s">
        <v>2665</v>
      </c>
      <c r="E253" s="88" t="b">
        <v>0</v>
      </c>
      <c r="F253" s="88" t="b">
        <v>0</v>
      </c>
      <c r="G253" s="88" t="b">
        <v>0</v>
      </c>
    </row>
    <row r="254" spans="1:7" ht="15">
      <c r="A254" s="88" t="s">
        <v>2496</v>
      </c>
      <c r="B254" s="88">
        <v>3</v>
      </c>
      <c r="C254" s="120">
        <v>0.0014142294634754142</v>
      </c>
      <c r="D254" s="88" t="s">
        <v>2665</v>
      </c>
      <c r="E254" s="88" t="b">
        <v>0</v>
      </c>
      <c r="F254" s="88" t="b">
        <v>0</v>
      </c>
      <c r="G254" s="88" t="b">
        <v>0</v>
      </c>
    </row>
    <row r="255" spans="1:7" ht="15">
      <c r="A255" s="88" t="s">
        <v>2497</v>
      </c>
      <c r="B255" s="88">
        <v>3</v>
      </c>
      <c r="C255" s="120">
        <v>0.0014142294634754142</v>
      </c>
      <c r="D255" s="88" t="s">
        <v>2665</v>
      </c>
      <c r="E255" s="88" t="b">
        <v>0</v>
      </c>
      <c r="F255" s="88" t="b">
        <v>0</v>
      </c>
      <c r="G255" s="88" t="b">
        <v>0</v>
      </c>
    </row>
    <row r="256" spans="1:7" ht="15">
      <c r="A256" s="88" t="s">
        <v>2498</v>
      </c>
      <c r="B256" s="88">
        <v>3</v>
      </c>
      <c r="C256" s="120">
        <v>0.0014142294634754142</v>
      </c>
      <c r="D256" s="88" t="s">
        <v>2665</v>
      </c>
      <c r="E256" s="88" t="b">
        <v>0</v>
      </c>
      <c r="F256" s="88" t="b">
        <v>0</v>
      </c>
      <c r="G256" s="88" t="b">
        <v>0</v>
      </c>
    </row>
    <row r="257" spans="1:7" ht="15">
      <c r="A257" s="88" t="s">
        <v>2499</v>
      </c>
      <c r="B257" s="88">
        <v>3</v>
      </c>
      <c r="C257" s="120">
        <v>0.0014142294634754142</v>
      </c>
      <c r="D257" s="88" t="s">
        <v>2665</v>
      </c>
      <c r="E257" s="88" t="b">
        <v>0</v>
      </c>
      <c r="F257" s="88" t="b">
        <v>0</v>
      </c>
      <c r="G257" s="88" t="b">
        <v>0</v>
      </c>
    </row>
    <row r="258" spans="1:7" ht="15">
      <c r="A258" s="88" t="s">
        <v>2500</v>
      </c>
      <c r="B258" s="88">
        <v>3</v>
      </c>
      <c r="C258" s="120">
        <v>0.0014142294634754142</v>
      </c>
      <c r="D258" s="88" t="s">
        <v>2665</v>
      </c>
      <c r="E258" s="88" t="b">
        <v>0</v>
      </c>
      <c r="F258" s="88" t="b">
        <v>0</v>
      </c>
      <c r="G258" s="88" t="b">
        <v>0</v>
      </c>
    </row>
    <row r="259" spans="1:7" ht="15">
      <c r="A259" s="88" t="s">
        <v>2501</v>
      </c>
      <c r="B259" s="88">
        <v>3</v>
      </c>
      <c r="C259" s="120">
        <v>0.0014142294634754142</v>
      </c>
      <c r="D259" s="88" t="s">
        <v>2665</v>
      </c>
      <c r="E259" s="88" t="b">
        <v>0</v>
      </c>
      <c r="F259" s="88" t="b">
        <v>0</v>
      </c>
      <c r="G259" s="88" t="b">
        <v>0</v>
      </c>
    </row>
    <row r="260" spans="1:7" ht="15">
      <c r="A260" s="88" t="s">
        <v>2502</v>
      </c>
      <c r="B260" s="88">
        <v>3</v>
      </c>
      <c r="C260" s="120">
        <v>0.0014142294634754142</v>
      </c>
      <c r="D260" s="88" t="s">
        <v>2665</v>
      </c>
      <c r="E260" s="88" t="b">
        <v>0</v>
      </c>
      <c r="F260" s="88" t="b">
        <v>0</v>
      </c>
      <c r="G260" s="88" t="b">
        <v>0</v>
      </c>
    </row>
    <row r="261" spans="1:7" ht="15">
      <c r="A261" s="88" t="s">
        <v>2503</v>
      </c>
      <c r="B261" s="88">
        <v>3</v>
      </c>
      <c r="C261" s="120">
        <v>0.0014142294634754142</v>
      </c>
      <c r="D261" s="88" t="s">
        <v>2665</v>
      </c>
      <c r="E261" s="88" t="b">
        <v>0</v>
      </c>
      <c r="F261" s="88" t="b">
        <v>0</v>
      </c>
      <c r="G261" s="88" t="b">
        <v>0</v>
      </c>
    </row>
    <row r="262" spans="1:7" ht="15">
      <c r="A262" s="88" t="s">
        <v>2504</v>
      </c>
      <c r="B262" s="88">
        <v>3</v>
      </c>
      <c r="C262" s="120">
        <v>0.0014142294634754142</v>
      </c>
      <c r="D262" s="88" t="s">
        <v>2665</v>
      </c>
      <c r="E262" s="88" t="b">
        <v>0</v>
      </c>
      <c r="F262" s="88" t="b">
        <v>0</v>
      </c>
      <c r="G262" s="88" t="b">
        <v>0</v>
      </c>
    </row>
    <row r="263" spans="1:7" ht="15">
      <c r="A263" s="88" t="s">
        <v>2505</v>
      </c>
      <c r="B263" s="88">
        <v>3</v>
      </c>
      <c r="C263" s="120">
        <v>0.0014142294634754142</v>
      </c>
      <c r="D263" s="88" t="s">
        <v>2665</v>
      </c>
      <c r="E263" s="88" t="b">
        <v>0</v>
      </c>
      <c r="F263" s="88" t="b">
        <v>0</v>
      </c>
      <c r="G263" s="88" t="b">
        <v>0</v>
      </c>
    </row>
    <row r="264" spans="1:7" ht="15">
      <c r="A264" s="88" t="s">
        <v>581</v>
      </c>
      <c r="B264" s="88">
        <v>3</v>
      </c>
      <c r="C264" s="120">
        <v>0.0014142294634754142</v>
      </c>
      <c r="D264" s="88" t="s">
        <v>2665</v>
      </c>
      <c r="E264" s="88" t="b">
        <v>0</v>
      </c>
      <c r="F264" s="88" t="b">
        <v>0</v>
      </c>
      <c r="G264" s="88" t="b">
        <v>0</v>
      </c>
    </row>
    <row r="265" spans="1:7" ht="15">
      <c r="A265" s="88" t="s">
        <v>580</v>
      </c>
      <c r="B265" s="88">
        <v>3</v>
      </c>
      <c r="C265" s="120">
        <v>0.0014142294634754142</v>
      </c>
      <c r="D265" s="88" t="s">
        <v>2665</v>
      </c>
      <c r="E265" s="88" t="b">
        <v>0</v>
      </c>
      <c r="F265" s="88" t="b">
        <v>0</v>
      </c>
      <c r="G265" s="88" t="b">
        <v>0</v>
      </c>
    </row>
    <row r="266" spans="1:7" ht="15">
      <c r="A266" s="88" t="s">
        <v>484</v>
      </c>
      <c r="B266" s="88">
        <v>3</v>
      </c>
      <c r="C266" s="120">
        <v>0.0014142294634754142</v>
      </c>
      <c r="D266" s="88" t="s">
        <v>2665</v>
      </c>
      <c r="E266" s="88" t="b">
        <v>0</v>
      </c>
      <c r="F266" s="88" t="b">
        <v>0</v>
      </c>
      <c r="G266" s="88" t="b">
        <v>0</v>
      </c>
    </row>
    <row r="267" spans="1:7" ht="15">
      <c r="A267" s="88" t="s">
        <v>483</v>
      </c>
      <c r="B267" s="88">
        <v>3</v>
      </c>
      <c r="C267" s="120">
        <v>0.0014142294634754142</v>
      </c>
      <c r="D267" s="88" t="s">
        <v>2665</v>
      </c>
      <c r="E267" s="88" t="b">
        <v>0</v>
      </c>
      <c r="F267" s="88" t="b">
        <v>0</v>
      </c>
      <c r="G267" s="88" t="b">
        <v>0</v>
      </c>
    </row>
    <row r="268" spans="1:7" ht="15">
      <c r="A268" s="88" t="s">
        <v>2506</v>
      </c>
      <c r="B268" s="88">
        <v>3</v>
      </c>
      <c r="C268" s="120">
        <v>0.0014142294634754142</v>
      </c>
      <c r="D268" s="88" t="s">
        <v>2665</v>
      </c>
      <c r="E268" s="88" t="b">
        <v>0</v>
      </c>
      <c r="F268" s="88" t="b">
        <v>0</v>
      </c>
      <c r="G268" s="88" t="b">
        <v>0</v>
      </c>
    </row>
    <row r="269" spans="1:7" ht="15">
      <c r="A269" s="88" t="s">
        <v>2507</v>
      </c>
      <c r="B269" s="88">
        <v>3</v>
      </c>
      <c r="C269" s="120">
        <v>0.0014142294634754142</v>
      </c>
      <c r="D269" s="88" t="s">
        <v>2665</v>
      </c>
      <c r="E269" s="88" t="b">
        <v>0</v>
      </c>
      <c r="F269" s="88" t="b">
        <v>0</v>
      </c>
      <c r="G269" s="88" t="b">
        <v>0</v>
      </c>
    </row>
    <row r="270" spans="1:7" ht="15">
      <c r="A270" s="88" t="s">
        <v>2508</v>
      </c>
      <c r="B270" s="88">
        <v>3</v>
      </c>
      <c r="C270" s="120">
        <v>0.0014142294634754142</v>
      </c>
      <c r="D270" s="88" t="s">
        <v>2665</v>
      </c>
      <c r="E270" s="88" t="b">
        <v>0</v>
      </c>
      <c r="F270" s="88" t="b">
        <v>0</v>
      </c>
      <c r="G270" s="88" t="b">
        <v>0</v>
      </c>
    </row>
    <row r="271" spans="1:7" ht="15">
      <c r="A271" s="88" t="s">
        <v>2509</v>
      </c>
      <c r="B271" s="88">
        <v>3</v>
      </c>
      <c r="C271" s="120">
        <v>0.0014142294634754142</v>
      </c>
      <c r="D271" s="88" t="s">
        <v>2665</v>
      </c>
      <c r="E271" s="88" t="b">
        <v>0</v>
      </c>
      <c r="F271" s="88" t="b">
        <v>0</v>
      </c>
      <c r="G271" s="88" t="b">
        <v>0</v>
      </c>
    </row>
    <row r="272" spans="1:7" ht="15">
      <c r="A272" s="88" t="s">
        <v>2510</v>
      </c>
      <c r="B272" s="88">
        <v>3</v>
      </c>
      <c r="C272" s="120">
        <v>0.0014142294634754142</v>
      </c>
      <c r="D272" s="88" t="s">
        <v>2665</v>
      </c>
      <c r="E272" s="88" t="b">
        <v>0</v>
      </c>
      <c r="F272" s="88" t="b">
        <v>0</v>
      </c>
      <c r="G272" s="88" t="b">
        <v>0</v>
      </c>
    </row>
    <row r="273" spans="1:7" ht="15">
      <c r="A273" s="88" t="s">
        <v>2511</v>
      </c>
      <c r="B273" s="88">
        <v>3</v>
      </c>
      <c r="C273" s="120">
        <v>0.0014142294634754142</v>
      </c>
      <c r="D273" s="88" t="s">
        <v>2665</v>
      </c>
      <c r="E273" s="88" t="b">
        <v>0</v>
      </c>
      <c r="F273" s="88" t="b">
        <v>0</v>
      </c>
      <c r="G273" s="88" t="b">
        <v>0</v>
      </c>
    </row>
    <row r="274" spans="1:7" ht="15">
      <c r="A274" s="88" t="s">
        <v>2512</v>
      </c>
      <c r="B274" s="88">
        <v>3</v>
      </c>
      <c r="C274" s="120">
        <v>0.0014142294634754142</v>
      </c>
      <c r="D274" s="88" t="s">
        <v>2665</v>
      </c>
      <c r="E274" s="88" t="b">
        <v>0</v>
      </c>
      <c r="F274" s="88" t="b">
        <v>0</v>
      </c>
      <c r="G274" s="88" t="b">
        <v>0</v>
      </c>
    </row>
    <row r="275" spans="1:7" ht="15">
      <c r="A275" s="88" t="s">
        <v>2513</v>
      </c>
      <c r="B275" s="88">
        <v>3</v>
      </c>
      <c r="C275" s="120">
        <v>0.0014142294634754142</v>
      </c>
      <c r="D275" s="88" t="s">
        <v>2665</v>
      </c>
      <c r="E275" s="88" t="b">
        <v>0</v>
      </c>
      <c r="F275" s="88" t="b">
        <v>0</v>
      </c>
      <c r="G275" s="88" t="b">
        <v>0</v>
      </c>
    </row>
    <row r="276" spans="1:7" ht="15">
      <c r="A276" s="88" t="s">
        <v>2514</v>
      </c>
      <c r="B276" s="88">
        <v>3</v>
      </c>
      <c r="C276" s="120">
        <v>0.0014142294634754142</v>
      </c>
      <c r="D276" s="88" t="s">
        <v>2665</v>
      </c>
      <c r="E276" s="88" t="b">
        <v>0</v>
      </c>
      <c r="F276" s="88" t="b">
        <v>0</v>
      </c>
      <c r="G276" s="88" t="b">
        <v>0</v>
      </c>
    </row>
    <row r="277" spans="1:7" ht="15">
      <c r="A277" s="88" t="s">
        <v>2515</v>
      </c>
      <c r="B277" s="88">
        <v>3</v>
      </c>
      <c r="C277" s="120">
        <v>0.0014142294634754142</v>
      </c>
      <c r="D277" s="88" t="s">
        <v>2665</v>
      </c>
      <c r="E277" s="88" t="b">
        <v>0</v>
      </c>
      <c r="F277" s="88" t="b">
        <v>0</v>
      </c>
      <c r="G277" s="88" t="b">
        <v>0</v>
      </c>
    </row>
    <row r="278" spans="1:7" ht="15">
      <c r="A278" s="88" t="s">
        <v>2516</v>
      </c>
      <c r="B278" s="88">
        <v>3</v>
      </c>
      <c r="C278" s="120">
        <v>0.0014142294634754142</v>
      </c>
      <c r="D278" s="88" t="s">
        <v>2665</v>
      </c>
      <c r="E278" s="88" t="b">
        <v>0</v>
      </c>
      <c r="F278" s="88" t="b">
        <v>0</v>
      </c>
      <c r="G278" s="88" t="b">
        <v>0</v>
      </c>
    </row>
    <row r="279" spans="1:7" ht="15">
      <c r="A279" s="88" t="s">
        <v>2517</v>
      </c>
      <c r="B279" s="88">
        <v>3</v>
      </c>
      <c r="C279" s="120">
        <v>0.0014142294634754142</v>
      </c>
      <c r="D279" s="88" t="s">
        <v>2665</v>
      </c>
      <c r="E279" s="88" t="b">
        <v>0</v>
      </c>
      <c r="F279" s="88" t="b">
        <v>0</v>
      </c>
      <c r="G279" s="88" t="b">
        <v>0</v>
      </c>
    </row>
    <row r="280" spans="1:7" ht="15">
      <c r="A280" s="88" t="s">
        <v>2518</v>
      </c>
      <c r="B280" s="88">
        <v>3</v>
      </c>
      <c r="C280" s="120">
        <v>0.0014142294634754142</v>
      </c>
      <c r="D280" s="88" t="s">
        <v>2665</v>
      </c>
      <c r="E280" s="88" t="b">
        <v>0</v>
      </c>
      <c r="F280" s="88" t="b">
        <v>0</v>
      </c>
      <c r="G280" s="88" t="b">
        <v>0</v>
      </c>
    </row>
    <row r="281" spans="1:7" ht="15">
      <c r="A281" s="88" t="s">
        <v>550</v>
      </c>
      <c r="B281" s="88">
        <v>3</v>
      </c>
      <c r="C281" s="120">
        <v>0.0015491997693433354</v>
      </c>
      <c r="D281" s="88" t="s">
        <v>2665</v>
      </c>
      <c r="E281" s="88" t="b">
        <v>0</v>
      </c>
      <c r="F281" s="88" t="b">
        <v>0</v>
      </c>
      <c r="G281" s="88" t="b">
        <v>0</v>
      </c>
    </row>
    <row r="282" spans="1:7" ht="15">
      <c r="A282" s="88" t="s">
        <v>2519</v>
      </c>
      <c r="B282" s="88">
        <v>3</v>
      </c>
      <c r="C282" s="120">
        <v>0.0014142294634754142</v>
      </c>
      <c r="D282" s="88" t="s">
        <v>2665</v>
      </c>
      <c r="E282" s="88" t="b">
        <v>0</v>
      </c>
      <c r="F282" s="88" t="b">
        <v>0</v>
      </c>
      <c r="G282" s="88" t="b">
        <v>0</v>
      </c>
    </row>
    <row r="283" spans="1:7" ht="15">
      <c r="A283" s="88" t="s">
        <v>2520</v>
      </c>
      <c r="B283" s="88">
        <v>3</v>
      </c>
      <c r="C283" s="120">
        <v>0.0014142294634754142</v>
      </c>
      <c r="D283" s="88" t="s">
        <v>2665</v>
      </c>
      <c r="E283" s="88" t="b">
        <v>0</v>
      </c>
      <c r="F283" s="88" t="b">
        <v>0</v>
      </c>
      <c r="G283" s="88" t="b">
        <v>0</v>
      </c>
    </row>
    <row r="284" spans="1:7" ht="15">
      <c r="A284" s="88" t="s">
        <v>2521</v>
      </c>
      <c r="B284" s="88">
        <v>3</v>
      </c>
      <c r="C284" s="120">
        <v>0.0014142294634754142</v>
      </c>
      <c r="D284" s="88" t="s">
        <v>2665</v>
      </c>
      <c r="E284" s="88" t="b">
        <v>0</v>
      </c>
      <c r="F284" s="88" t="b">
        <v>0</v>
      </c>
      <c r="G284" s="88" t="b">
        <v>0</v>
      </c>
    </row>
    <row r="285" spans="1:7" ht="15">
      <c r="A285" s="88" t="s">
        <v>2522</v>
      </c>
      <c r="B285" s="88">
        <v>3</v>
      </c>
      <c r="C285" s="120">
        <v>0.0014142294634754142</v>
      </c>
      <c r="D285" s="88" t="s">
        <v>2665</v>
      </c>
      <c r="E285" s="88" t="b">
        <v>0</v>
      </c>
      <c r="F285" s="88" t="b">
        <v>0</v>
      </c>
      <c r="G285" s="88" t="b">
        <v>0</v>
      </c>
    </row>
    <row r="286" spans="1:7" ht="15">
      <c r="A286" s="88" t="s">
        <v>2523</v>
      </c>
      <c r="B286" s="88">
        <v>3</v>
      </c>
      <c r="C286" s="120">
        <v>0.0014142294634754142</v>
      </c>
      <c r="D286" s="88" t="s">
        <v>2665</v>
      </c>
      <c r="E286" s="88" t="b">
        <v>0</v>
      </c>
      <c r="F286" s="88" t="b">
        <v>0</v>
      </c>
      <c r="G286" s="88" t="b">
        <v>0</v>
      </c>
    </row>
    <row r="287" spans="1:7" ht="15">
      <c r="A287" s="88" t="s">
        <v>2524</v>
      </c>
      <c r="B287" s="88">
        <v>3</v>
      </c>
      <c r="C287" s="120">
        <v>0.0014142294634754142</v>
      </c>
      <c r="D287" s="88" t="s">
        <v>2665</v>
      </c>
      <c r="E287" s="88" t="b">
        <v>0</v>
      </c>
      <c r="F287" s="88" t="b">
        <v>0</v>
      </c>
      <c r="G287" s="88" t="b">
        <v>0</v>
      </c>
    </row>
    <row r="288" spans="1:7" ht="15">
      <c r="A288" s="88" t="s">
        <v>2525</v>
      </c>
      <c r="B288" s="88">
        <v>3</v>
      </c>
      <c r="C288" s="120">
        <v>0.0014142294634754142</v>
      </c>
      <c r="D288" s="88" t="s">
        <v>2665</v>
      </c>
      <c r="E288" s="88" t="b">
        <v>0</v>
      </c>
      <c r="F288" s="88" t="b">
        <v>0</v>
      </c>
      <c r="G288" s="88" t="b">
        <v>0</v>
      </c>
    </row>
    <row r="289" spans="1:7" ht="15">
      <c r="A289" s="88" t="s">
        <v>2526</v>
      </c>
      <c r="B289" s="88">
        <v>3</v>
      </c>
      <c r="C289" s="120">
        <v>0.0014142294634754142</v>
      </c>
      <c r="D289" s="88" t="s">
        <v>2665</v>
      </c>
      <c r="E289" s="88" t="b">
        <v>0</v>
      </c>
      <c r="F289" s="88" t="b">
        <v>0</v>
      </c>
      <c r="G289" s="88" t="b">
        <v>0</v>
      </c>
    </row>
    <row r="290" spans="1:7" ht="15">
      <c r="A290" s="88" t="s">
        <v>2527</v>
      </c>
      <c r="B290" s="88">
        <v>3</v>
      </c>
      <c r="C290" s="120">
        <v>0.0014142294634754142</v>
      </c>
      <c r="D290" s="88" t="s">
        <v>2665</v>
      </c>
      <c r="E290" s="88" t="b">
        <v>0</v>
      </c>
      <c r="F290" s="88" t="b">
        <v>0</v>
      </c>
      <c r="G290" s="88" t="b">
        <v>0</v>
      </c>
    </row>
    <row r="291" spans="1:7" ht="15">
      <c r="A291" s="88" t="s">
        <v>535</v>
      </c>
      <c r="B291" s="88">
        <v>3</v>
      </c>
      <c r="C291" s="120">
        <v>0.0014142294634754142</v>
      </c>
      <c r="D291" s="88" t="s">
        <v>2665</v>
      </c>
      <c r="E291" s="88" t="b">
        <v>0</v>
      </c>
      <c r="F291" s="88" t="b">
        <v>0</v>
      </c>
      <c r="G291" s="88" t="b">
        <v>0</v>
      </c>
    </row>
    <row r="292" spans="1:7" ht="15">
      <c r="A292" s="88" t="s">
        <v>469</v>
      </c>
      <c r="B292" s="88">
        <v>3</v>
      </c>
      <c r="C292" s="120">
        <v>0.0014142294634754142</v>
      </c>
      <c r="D292" s="88" t="s">
        <v>2665</v>
      </c>
      <c r="E292" s="88" t="b">
        <v>0</v>
      </c>
      <c r="F292" s="88" t="b">
        <v>0</v>
      </c>
      <c r="G292" s="88" t="b">
        <v>0</v>
      </c>
    </row>
    <row r="293" spans="1:7" ht="15">
      <c r="A293" s="88" t="s">
        <v>2528</v>
      </c>
      <c r="B293" s="88">
        <v>3</v>
      </c>
      <c r="C293" s="120">
        <v>0.0014142294634754142</v>
      </c>
      <c r="D293" s="88" t="s">
        <v>2665</v>
      </c>
      <c r="E293" s="88" t="b">
        <v>0</v>
      </c>
      <c r="F293" s="88" t="b">
        <v>0</v>
      </c>
      <c r="G293" s="88" t="b">
        <v>0</v>
      </c>
    </row>
    <row r="294" spans="1:7" ht="15">
      <c r="A294" s="88" t="s">
        <v>2529</v>
      </c>
      <c r="B294" s="88">
        <v>3</v>
      </c>
      <c r="C294" s="120">
        <v>0.0014142294634754142</v>
      </c>
      <c r="D294" s="88" t="s">
        <v>2665</v>
      </c>
      <c r="E294" s="88" t="b">
        <v>0</v>
      </c>
      <c r="F294" s="88" t="b">
        <v>1</v>
      </c>
      <c r="G294" s="88" t="b">
        <v>0</v>
      </c>
    </row>
    <row r="295" spans="1:7" ht="15">
      <c r="A295" s="88" t="s">
        <v>2530</v>
      </c>
      <c r="B295" s="88">
        <v>3</v>
      </c>
      <c r="C295" s="120">
        <v>0.0014142294634754142</v>
      </c>
      <c r="D295" s="88" t="s">
        <v>2665</v>
      </c>
      <c r="E295" s="88" t="b">
        <v>0</v>
      </c>
      <c r="F295" s="88" t="b">
        <v>0</v>
      </c>
      <c r="G295" s="88" t="b">
        <v>0</v>
      </c>
    </row>
    <row r="296" spans="1:7" ht="15">
      <c r="A296" s="88" t="s">
        <v>2531</v>
      </c>
      <c r="B296" s="88">
        <v>3</v>
      </c>
      <c r="C296" s="120">
        <v>0.0014142294634754142</v>
      </c>
      <c r="D296" s="88" t="s">
        <v>2665</v>
      </c>
      <c r="E296" s="88" t="b">
        <v>0</v>
      </c>
      <c r="F296" s="88" t="b">
        <v>0</v>
      </c>
      <c r="G296" s="88" t="b">
        <v>0</v>
      </c>
    </row>
    <row r="297" spans="1:7" ht="15">
      <c r="A297" s="88" t="s">
        <v>2532</v>
      </c>
      <c r="B297" s="88">
        <v>3</v>
      </c>
      <c r="C297" s="120">
        <v>0.0014142294634754142</v>
      </c>
      <c r="D297" s="88" t="s">
        <v>2665</v>
      </c>
      <c r="E297" s="88" t="b">
        <v>0</v>
      </c>
      <c r="F297" s="88" t="b">
        <v>0</v>
      </c>
      <c r="G297" s="88" t="b">
        <v>0</v>
      </c>
    </row>
    <row r="298" spans="1:7" ht="15">
      <c r="A298" s="88" t="s">
        <v>2533</v>
      </c>
      <c r="B298" s="88">
        <v>3</v>
      </c>
      <c r="C298" s="120">
        <v>0.0014142294634754142</v>
      </c>
      <c r="D298" s="88" t="s">
        <v>2665</v>
      </c>
      <c r="E298" s="88" t="b">
        <v>0</v>
      </c>
      <c r="F298" s="88" t="b">
        <v>0</v>
      </c>
      <c r="G298" s="88" t="b">
        <v>0</v>
      </c>
    </row>
    <row r="299" spans="1:7" ht="15">
      <c r="A299" s="88" t="s">
        <v>2534</v>
      </c>
      <c r="B299" s="88">
        <v>3</v>
      </c>
      <c r="C299" s="120">
        <v>0.0014142294634754142</v>
      </c>
      <c r="D299" s="88" t="s">
        <v>2665</v>
      </c>
      <c r="E299" s="88" t="b">
        <v>0</v>
      </c>
      <c r="F299" s="88" t="b">
        <v>0</v>
      </c>
      <c r="G299" s="88" t="b">
        <v>0</v>
      </c>
    </row>
    <row r="300" spans="1:7" ht="15">
      <c r="A300" s="88" t="s">
        <v>523</v>
      </c>
      <c r="B300" s="88">
        <v>3</v>
      </c>
      <c r="C300" s="120">
        <v>0.0014142294634754142</v>
      </c>
      <c r="D300" s="88" t="s">
        <v>2665</v>
      </c>
      <c r="E300" s="88" t="b">
        <v>0</v>
      </c>
      <c r="F300" s="88" t="b">
        <v>0</v>
      </c>
      <c r="G300" s="88" t="b">
        <v>0</v>
      </c>
    </row>
    <row r="301" spans="1:7" ht="15">
      <c r="A301" s="88" t="s">
        <v>2535</v>
      </c>
      <c r="B301" s="88">
        <v>3</v>
      </c>
      <c r="C301" s="120">
        <v>0.0014142294634754142</v>
      </c>
      <c r="D301" s="88" t="s">
        <v>2665</v>
      </c>
      <c r="E301" s="88" t="b">
        <v>0</v>
      </c>
      <c r="F301" s="88" t="b">
        <v>0</v>
      </c>
      <c r="G301" s="88" t="b">
        <v>0</v>
      </c>
    </row>
    <row r="302" spans="1:7" ht="15">
      <c r="A302" s="88" t="s">
        <v>2536</v>
      </c>
      <c r="B302" s="88">
        <v>3</v>
      </c>
      <c r="C302" s="120">
        <v>0.0014142294634754142</v>
      </c>
      <c r="D302" s="88" t="s">
        <v>2665</v>
      </c>
      <c r="E302" s="88" t="b">
        <v>0</v>
      </c>
      <c r="F302" s="88" t="b">
        <v>0</v>
      </c>
      <c r="G302" s="88" t="b">
        <v>0</v>
      </c>
    </row>
    <row r="303" spans="1:7" ht="15">
      <c r="A303" s="88" t="s">
        <v>2537</v>
      </c>
      <c r="B303" s="88">
        <v>3</v>
      </c>
      <c r="C303" s="120">
        <v>0.0014142294634754142</v>
      </c>
      <c r="D303" s="88" t="s">
        <v>2665</v>
      </c>
      <c r="E303" s="88" t="b">
        <v>0</v>
      </c>
      <c r="F303" s="88" t="b">
        <v>0</v>
      </c>
      <c r="G303" s="88" t="b">
        <v>0</v>
      </c>
    </row>
    <row r="304" spans="1:7" ht="15">
      <c r="A304" s="88" t="s">
        <v>2538</v>
      </c>
      <c r="B304" s="88">
        <v>2</v>
      </c>
      <c r="C304" s="120">
        <v>0.0010327998462288904</v>
      </c>
      <c r="D304" s="88" t="s">
        <v>2665</v>
      </c>
      <c r="E304" s="88" t="b">
        <v>0</v>
      </c>
      <c r="F304" s="88" t="b">
        <v>0</v>
      </c>
      <c r="G304" s="88" t="b">
        <v>0</v>
      </c>
    </row>
    <row r="305" spans="1:7" ht="15">
      <c r="A305" s="88" t="s">
        <v>2539</v>
      </c>
      <c r="B305" s="88">
        <v>2</v>
      </c>
      <c r="C305" s="120">
        <v>0.0010327998462288904</v>
      </c>
      <c r="D305" s="88" t="s">
        <v>2665</v>
      </c>
      <c r="E305" s="88" t="b">
        <v>0</v>
      </c>
      <c r="F305" s="88" t="b">
        <v>0</v>
      </c>
      <c r="G305" s="88" t="b">
        <v>0</v>
      </c>
    </row>
    <row r="306" spans="1:7" ht="15">
      <c r="A306" s="88" t="s">
        <v>2540</v>
      </c>
      <c r="B306" s="88">
        <v>2</v>
      </c>
      <c r="C306" s="120">
        <v>0.0010327998462288904</v>
      </c>
      <c r="D306" s="88" t="s">
        <v>2665</v>
      </c>
      <c r="E306" s="88" t="b">
        <v>0</v>
      </c>
      <c r="F306" s="88" t="b">
        <v>0</v>
      </c>
      <c r="G306" s="88" t="b">
        <v>0</v>
      </c>
    </row>
    <row r="307" spans="1:7" ht="15">
      <c r="A307" s="88" t="s">
        <v>2541</v>
      </c>
      <c r="B307" s="88">
        <v>2</v>
      </c>
      <c r="C307" s="120">
        <v>0.0010327998462288904</v>
      </c>
      <c r="D307" s="88" t="s">
        <v>2665</v>
      </c>
      <c r="E307" s="88" t="b">
        <v>0</v>
      </c>
      <c r="F307" s="88" t="b">
        <v>0</v>
      </c>
      <c r="G307" s="88" t="b">
        <v>0</v>
      </c>
    </row>
    <row r="308" spans="1:7" ht="15">
      <c r="A308" s="88" t="s">
        <v>2542</v>
      </c>
      <c r="B308" s="88">
        <v>2</v>
      </c>
      <c r="C308" s="120">
        <v>0.0010327998462288904</v>
      </c>
      <c r="D308" s="88" t="s">
        <v>2665</v>
      </c>
      <c r="E308" s="88" t="b">
        <v>0</v>
      </c>
      <c r="F308" s="88" t="b">
        <v>0</v>
      </c>
      <c r="G308" s="88" t="b">
        <v>0</v>
      </c>
    </row>
    <row r="309" spans="1:7" ht="15">
      <c r="A309" s="88" t="s">
        <v>2543</v>
      </c>
      <c r="B309" s="88">
        <v>2</v>
      </c>
      <c r="C309" s="120">
        <v>0.0010327998462288904</v>
      </c>
      <c r="D309" s="88" t="s">
        <v>2665</v>
      </c>
      <c r="E309" s="88" t="b">
        <v>0</v>
      </c>
      <c r="F309" s="88" t="b">
        <v>0</v>
      </c>
      <c r="G309" s="88" t="b">
        <v>0</v>
      </c>
    </row>
    <row r="310" spans="1:7" ht="15">
      <c r="A310" s="88" t="s">
        <v>2544</v>
      </c>
      <c r="B310" s="88">
        <v>2</v>
      </c>
      <c r="C310" s="120">
        <v>0.0010327998462288904</v>
      </c>
      <c r="D310" s="88" t="s">
        <v>2665</v>
      </c>
      <c r="E310" s="88" t="b">
        <v>0</v>
      </c>
      <c r="F310" s="88" t="b">
        <v>0</v>
      </c>
      <c r="G310" s="88" t="b">
        <v>0</v>
      </c>
    </row>
    <row r="311" spans="1:7" ht="15">
      <c r="A311" s="88" t="s">
        <v>2545</v>
      </c>
      <c r="B311" s="88">
        <v>2</v>
      </c>
      <c r="C311" s="120">
        <v>0.0010327998462288904</v>
      </c>
      <c r="D311" s="88" t="s">
        <v>2665</v>
      </c>
      <c r="E311" s="88" t="b">
        <v>0</v>
      </c>
      <c r="F311" s="88" t="b">
        <v>0</v>
      </c>
      <c r="G311" s="88" t="b">
        <v>0</v>
      </c>
    </row>
    <row r="312" spans="1:7" ht="15">
      <c r="A312" s="88" t="s">
        <v>2546</v>
      </c>
      <c r="B312" s="88">
        <v>2</v>
      </c>
      <c r="C312" s="120">
        <v>0.0010327998462288904</v>
      </c>
      <c r="D312" s="88" t="s">
        <v>2665</v>
      </c>
      <c r="E312" s="88" t="b">
        <v>0</v>
      </c>
      <c r="F312" s="88" t="b">
        <v>1</v>
      </c>
      <c r="G312" s="88" t="b">
        <v>0</v>
      </c>
    </row>
    <row r="313" spans="1:7" ht="15">
      <c r="A313" s="88" t="s">
        <v>2547</v>
      </c>
      <c r="B313" s="88">
        <v>2</v>
      </c>
      <c r="C313" s="120">
        <v>0.0010327998462288904</v>
      </c>
      <c r="D313" s="88" t="s">
        <v>2665</v>
      </c>
      <c r="E313" s="88" t="b">
        <v>0</v>
      </c>
      <c r="F313" s="88" t="b">
        <v>0</v>
      </c>
      <c r="G313" s="88" t="b">
        <v>0</v>
      </c>
    </row>
    <row r="314" spans="1:7" ht="15">
      <c r="A314" s="88" t="s">
        <v>2548</v>
      </c>
      <c r="B314" s="88">
        <v>2</v>
      </c>
      <c r="C314" s="120">
        <v>0.0010327998462288904</v>
      </c>
      <c r="D314" s="88" t="s">
        <v>2665</v>
      </c>
      <c r="E314" s="88" t="b">
        <v>0</v>
      </c>
      <c r="F314" s="88" t="b">
        <v>1</v>
      </c>
      <c r="G314" s="88" t="b">
        <v>0</v>
      </c>
    </row>
    <row r="315" spans="1:7" ht="15">
      <c r="A315" s="88" t="s">
        <v>2549</v>
      </c>
      <c r="B315" s="88">
        <v>2</v>
      </c>
      <c r="C315" s="120">
        <v>0.0010327998462288904</v>
      </c>
      <c r="D315" s="88" t="s">
        <v>2665</v>
      </c>
      <c r="E315" s="88" t="b">
        <v>0</v>
      </c>
      <c r="F315" s="88" t="b">
        <v>0</v>
      </c>
      <c r="G315" s="88" t="b">
        <v>0</v>
      </c>
    </row>
    <row r="316" spans="1:7" ht="15">
      <c r="A316" s="88" t="s">
        <v>2550</v>
      </c>
      <c r="B316" s="88">
        <v>2</v>
      </c>
      <c r="C316" s="120">
        <v>0.0010327998462288904</v>
      </c>
      <c r="D316" s="88" t="s">
        <v>2665</v>
      </c>
      <c r="E316" s="88" t="b">
        <v>0</v>
      </c>
      <c r="F316" s="88" t="b">
        <v>0</v>
      </c>
      <c r="G316" s="88" t="b">
        <v>0</v>
      </c>
    </row>
    <row r="317" spans="1:7" ht="15">
      <c r="A317" s="88" t="s">
        <v>2551</v>
      </c>
      <c r="B317" s="88">
        <v>2</v>
      </c>
      <c r="C317" s="120">
        <v>0.0010327998462288904</v>
      </c>
      <c r="D317" s="88" t="s">
        <v>2665</v>
      </c>
      <c r="E317" s="88" t="b">
        <v>0</v>
      </c>
      <c r="F317" s="88" t="b">
        <v>0</v>
      </c>
      <c r="G317" s="88" t="b">
        <v>0</v>
      </c>
    </row>
    <row r="318" spans="1:7" ht="15">
      <c r="A318" s="88" t="s">
        <v>2552</v>
      </c>
      <c r="B318" s="88">
        <v>2</v>
      </c>
      <c r="C318" s="120">
        <v>0.0010327998462288904</v>
      </c>
      <c r="D318" s="88" t="s">
        <v>2665</v>
      </c>
      <c r="E318" s="88" t="b">
        <v>0</v>
      </c>
      <c r="F318" s="88" t="b">
        <v>0</v>
      </c>
      <c r="G318" s="88" t="b">
        <v>0</v>
      </c>
    </row>
    <row r="319" spans="1:7" ht="15">
      <c r="A319" s="88" t="s">
        <v>2553</v>
      </c>
      <c r="B319" s="88">
        <v>2</v>
      </c>
      <c r="C319" s="120">
        <v>0.0010327998462288904</v>
      </c>
      <c r="D319" s="88" t="s">
        <v>2665</v>
      </c>
      <c r="E319" s="88" t="b">
        <v>0</v>
      </c>
      <c r="F319" s="88" t="b">
        <v>0</v>
      </c>
      <c r="G319" s="88" t="b">
        <v>0</v>
      </c>
    </row>
    <row r="320" spans="1:7" ht="15">
      <c r="A320" s="88" t="s">
        <v>2554</v>
      </c>
      <c r="B320" s="88">
        <v>2</v>
      </c>
      <c r="C320" s="120">
        <v>0.0010327998462288904</v>
      </c>
      <c r="D320" s="88" t="s">
        <v>2665</v>
      </c>
      <c r="E320" s="88" t="b">
        <v>0</v>
      </c>
      <c r="F320" s="88" t="b">
        <v>0</v>
      </c>
      <c r="G320" s="88" t="b">
        <v>0</v>
      </c>
    </row>
    <row r="321" spans="1:7" ht="15">
      <c r="A321" s="88" t="s">
        <v>508</v>
      </c>
      <c r="B321" s="88">
        <v>2</v>
      </c>
      <c r="C321" s="120">
        <v>0.0010327998462288904</v>
      </c>
      <c r="D321" s="88" t="s">
        <v>2665</v>
      </c>
      <c r="E321" s="88" t="b">
        <v>0</v>
      </c>
      <c r="F321" s="88" t="b">
        <v>0</v>
      </c>
      <c r="G321" s="88" t="b">
        <v>0</v>
      </c>
    </row>
    <row r="322" spans="1:7" ht="15">
      <c r="A322" s="88" t="s">
        <v>585</v>
      </c>
      <c r="B322" s="88">
        <v>2</v>
      </c>
      <c r="C322" s="120">
        <v>0.0010327998462288904</v>
      </c>
      <c r="D322" s="88" t="s">
        <v>2665</v>
      </c>
      <c r="E322" s="88" t="b">
        <v>0</v>
      </c>
      <c r="F322" s="88" t="b">
        <v>0</v>
      </c>
      <c r="G322" s="88" t="b">
        <v>0</v>
      </c>
    </row>
    <row r="323" spans="1:7" ht="15">
      <c r="A323" s="88" t="s">
        <v>2555</v>
      </c>
      <c r="B323" s="88">
        <v>2</v>
      </c>
      <c r="C323" s="120">
        <v>0.0010327998462288904</v>
      </c>
      <c r="D323" s="88" t="s">
        <v>2665</v>
      </c>
      <c r="E323" s="88" t="b">
        <v>0</v>
      </c>
      <c r="F323" s="88" t="b">
        <v>0</v>
      </c>
      <c r="G323" s="88" t="b">
        <v>0</v>
      </c>
    </row>
    <row r="324" spans="1:7" ht="15">
      <c r="A324" s="88" t="s">
        <v>2556</v>
      </c>
      <c r="B324" s="88">
        <v>2</v>
      </c>
      <c r="C324" s="120">
        <v>0.0010327998462288904</v>
      </c>
      <c r="D324" s="88" t="s">
        <v>2665</v>
      </c>
      <c r="E324" s="88" t="b">
        <v>1</v>
      </c>
      <c r="F324" s="88" t="b">
        <v>0</v>
      </c>
      <c r="G324" s="88" t="b">
        <v>0</v>
      </c>
    </row>
    <row r="325" spans="1:7" ht="15">
      <c r="A325" s="88" t="s">
        <v>2557</v>
      </c>
      <c r="B325" s="88">
        <v>2</v>
      </c>
      <c r="C325" s="120">
        <v>0.0010327998462288904</v>
      </c>
      <c r="D325" s="88" t="s">
        <v>2665</v>
      </c>
      <c r="E325" s="88" t="b">
        <v>0</v>
      </c>
      <c r="F325" s="88" t="b">
        <v>0</v>
      </c>
      <c r="G325" s="88" t="b">
        <v>0</v>
      </c>
    </row>
    <row r="326" spans="1:7" ht="15">
      <c r="A326" s="88" t="s">
        <v>2558</v>
      </c>
      <c r="B326" s="88">
        <v>2</v>
      </c>
      <c r="C326" s="120">
        <v>0.0010327998462288904</v>
      </c>
      <c r="D326" s="88" t="s">
        <v>2665</v>
      </c>
      <c r="E326" s="88" t="b">
        <v>0</v>
      </c>
      <c r="F326" s="88" t="b">
        <v>0</v>
      </c>
      <c r="G326" s="88" t="b">
        <v>0</v>
      </c>
    </row>
    <row r="327" spans="1:7" ht="15">
      <c r="A327" s="88" t="s">
        <v>2559</v>
      </c>
      <c r="B327" s="88">
        <v>2</v>
      </c>
      <c r="C327" s="120">
        <v>0.0010327998462288904</v>
      </c>
      <c r="D327" s="88" t="s">
        <v>2665</v>
      </c>
      <c r="E327" s="88" t="b">
        <v>0</v>
      </c>
      <c r="F327" s="88" t="b">
        <v>0</v>
      </c>
      <c r="G327" s="88" t="b">
        <v>0</v>
      </c>
    </row>
    <row r="328" spans="1:7" ht="15">
      <c r="A328" s="88" t="s">
        <v>2560</v>
      </c>
      <c r="B328" s="88">
        <v>2</v>
      </c>
      <c r="C328" s="120">
        <v>0.0010327998462288904</v>
      </c>
      <c r="D328" s="88" t="s">
        <v>2665</v>
      </c>
      <c r="E328" s="88" t="b">
        <v>0</v>
      </c>
      <c r="F328" s="88" t="b">
        <v>0</v>
      </c>
      <c r="G328" s="88" t="b">
        <v>0</v>
      </c>
    </row>
    <row r="329" spans="1:7" ht="15">
      <c r="A329" s="88" t="s">
        <v>2561</v>
      </c>
      <c r="B329" s="88">
        <v>2</v>
      </c>
      <c r="C329" s="120">
        <v>0.0010327998462288904</v>
      </c>
      <c r="D329" s="88" t="s">
        <v>2665</v>
      </c>
      <c r="E329" s="88" t="b">
        <v>0</v>
      </c>
      <c r="F329" s="88" t="b">
        <v>0</v>
      </c>
      <c r="G329" s="88" t="b">
        <v>0</v>
      </c>
    </row>
    <row r="330" spans="1:7" ht="15">
      <c r="A330" s="88" t="s">
        <v>2562</v>
      </c>
      <c r="B330" s="88">
        <v>2</v>
      </c>
      <c r="C330" s="120">
        <v>0.0010327998462288904</v>
      </c>
      <c r="D330" s="88" t="s">
        <v>2665</v>
      </c>
      <c r="E330" s="88" t="b">
        <v>0</v>
      </c>
      <c r="F330" s="88" t="b">
        <v>0</v>
      </c>
      <c r="G330" s="88" t="b">
        <v>0</v>
      </c>
    </row>
    <row r="331" spans="1:7" ht="15">
      <c r="A331" s="88" t="s">
        <v>584</v>
      </c>
      <c r="B331" s="88">
        <v>2</v>
      </c>
      <c r="C331" s="120">
        <v>0.0010327998462288904</v>
      </c>
      <c r="D331" s="88" t="s">
        <v>2665</v>
      </c>
      <c r="E331" s="88" t="b">
        <v>0</v>
      </c>
      <c r="F331" s="88" t="b">
        <v>0</v>
      </c>
      <c r="G331" s="88" t="b">
        <v>0</v>
      </c>
    </row>
    <row r="332" spans="1:7" ht="15">
      <c r="A332" s="88" t="s">
        <v>2563</v>
      </c>
      <c r="B332" s="88">
        <v>2</v>
      </c>
      <c r="C332" s="120">
        <v>0.0010327998462288904</v>
      </c>
      <c r="D332" s="88" t="s">
        <v>2665</v>
      </c>
      <c r="E332" s="88" t="b">
        <v>0</v>
      </c>
      <c r="F332" s="88" t="b">
        <v>0</v>
      </c>
      <c r="G332" s="88" t="b">
        <v>0</v>
      </c>
    </row>
    <row r="333" spans="1:7" ht="15">
      <c r="A333" s="88" t="s">
        <v>2564</v>
      </c>
      <c r="B333" s="88">
        <v>2</v>
      </c>
      <c r="C333" s="120">
        <v>0.0010327998462288904</v>
      </c>
      <c r="D333" s="88" t="s">
        <v>2665</v>
      </c>
      <c r="E333" s="88" t="b">
        <v>0</v>
      </c>
      <c r="F333" s="88" t="b">
        <v>0</v>
      </c>
      <c r="G333" s="88" t="b">
        <v>0</v>
      </c>
    </row>
    <row r="334" spans="1:7" ht="15">
      <c r="A334" s="88" t="s">
        <v>2565</v>
      </c>
      <c r="B334" s="88">
        <v>2</v>
      </c>
      <c r="C334" s="120">
        <v>0.0010327998462288904</v>
      </c>
      <c r="D334" s="88" t="s">
        <v>2665</v>
      </c>
      <c r="E334" s="88" t="b">
        <v>0</v>
      </c>
      <c r="F334" s="88" t="b">
        <v>0</v>
      </c>
      <c r="G334" s="88" t="b">
        <v>0</v>
      </c>
    </row>
    <row r="335" spans="1:7" ht="15">
      <c r="A335" s="88" t="s">
        <v>2566</v>
      </c>
      <c r="B335" s="88">
        <v>2</v>
      </c>
      <c r="C335" s="120">
        <v>0.0010327998462288904</v>
      </c>
      <c r="D335" s="88" t="s">
        <v>2665</v>
      </c>
      <c r="E335" s="88" t="b">
        <v>0</v>
      </c>
      <c r="F335" s="88" t="b">
        <v>0</v>
      </c>
      <c r="G335" s="88" t="b">
        <v>0</v>
      </c>
    </row>
    <row r="336" spans="1:7" ht="15">
      <c r="A336" s="88" t="s">
        <v>2567</v>
      </c>
      <c r="B336" s="88">
        <v>2</v>
      </c>
      <c r="C336" s="120">
        <v>0.0010327998462288904</v>
      </c>
      <c r="D336" s="88" t="s">
        <v>2665</v>
      </c>
      <c r="E336" s="88" t="b">
        <v>0</v>
      </c>
      <c r="F336" s="88" t="b">
        <v>0</v>
      </c>
      <c r="G336" s="88" t="b">
        <v>0</v>
      </c>
    </row>
    <row r="337" spans="1:7" ht="15">
      <c r="A337" s="88" t="s">
        <v>2568</v>
      </c>
      <c r="B337" s="88">
        <v>2</v>
      </c>
      <c r="C337" s="120">
        <v>0.0010327998462288904</v>
      </c>
      <c r="D337" s="88" t="s">
        <v>2665</v>
      </c>
      <c r="E337" s="88" t="b">
        <v>0</v>
      </c>
      <c r="F337" s="88" t="b">
        <v>0</v>
      </c>
      <c r="G337" s="88" t="b">
        <v>0</v>
      </c>
    </row>
    <row r="338" spans="1:7" ht="15">
      <c r="A338" s="88" t="s">
        <v>2569</v>
      </c>
      <c r="B338" s="88">
        <v>2</v>
      </c>
      <c r="C338" s="120">
        <v>0.0010327998462288904</v>
      </c>
      <c r="D338" s="88" t="s">
        <v>2665</v>
      </c>
      <c r="E338" s="88" t="b">
        <v>0</v>
      </c>
      <c r="F338" s="88" t="b">
        <v>0</v>
      </c>
      <c r="G338" s="88" t="b">
        <v>0</v>
      </c>
    </row>
    <row r="339" spans="1:7" ht="15">
      <c r="A339" s="88" t="s">
        <v>2570</v>
      </c>
      <c r="B339" s="88">
        <v>2</v>
      </c>
      <c r="C339" s="120">
        <v>0.0010327998462288904</v>
      </c>
      <c r="D339" s="88" t="s">
        <v>2665</v>
      </c>
      <c r="E339" s="88" t="b">
        <v>0</v>
      </c>
      <c r="F339" s="88" t="b">
        <v>0</v>
      </c>
      <c r="G339" s="88" t="b">
        <v>0</v>
      </c>
    </row>
    <row r="340" spans="1:7" ht="15">
      <c r="A340" s="88" t="s">
        <v>2571</v>
      </c>
      <c r="B340" s="88">
        <v>2</v>
      </c>
      <c r="C340" s="120">
        <v>0.0010327998462288904</v>
      </c>
      <c r="D340" s="88" t="s">
        <v>2665</v>
      </c>
      <c r="E340" s="88" t="b">
        <v>0</v>
      </c>
      <c r="F340" s="88" t="b">
        <v>0</v>
      </c>
      <c r="G340" s="88" t="b">
        <v>0</v>
      </c>
    </row>
    <row r="341" spans="1:7" ht="15">
      <c r="A341" s="88" t="s">
        <v>2572</v>
      </c>
      <c r="B341" s="88">
        <v>2</v>
      </c>
      <c r="C341" s="120">
        <v>0.0010327998462288904</v>
      </c>
      <c r="D341" s="88" t="s">
        <v>2665</v>
      </c>
      <c r="E341" s="88" t="b">
        <v>0</v>
      </c>
      <c r="F341" s="88" t="b">
        <v>0</v>
      </c>
      <c r="G341" s="88" t="b">
        <v>0</v>
      </c>
    </row>
    <row r="342" spans="1:7" ht="15">
      <c r="A342" s="88" t="s">
        <v>2573</v>
      </c>
      <c r="B342" s="88">
        <v>2</v>
      </c>
      <c r="C342" s="120">
        <v>0.0010327998462288904</v>
      </c>
      <c r="D342" s="88" t="s">
        <v>2665</v>
      </c>
      <c r="E342" s="88" t="b">
        <v>0</v>
      </c>
      <c r="F342" s="88" t="b">
        <v>0</v>
      </c>
      <c r="G342" s="88" t="b">
        <v>0</v>
      </c>
    </row>
    <row r="343" spans="1:7" ht="15">
      <c r="A343" s="88" t="s">
        <v>2574</v>
      </c>
      <c r="B343" s="88">
        <v>2</v>
      </c>
      <c r="C343" s="120">
        <v>0.0010327998462288904</v>
      </c>
      <c r="D343" s="88" t="s">
        <v>2665</v>
      </c>
      <c r="E343" s="88" t="b">
        <v>0</v>
      </c>
      <c r="F343" s="88" t="b">
        <v>0</v>
      </c>
      <c r="G343" s="88" t="b">
        <v>0</v>
      </c>
    </row>
    <row r="344" spans="1:7" ht="15">
      <c r="A344" s="88" t="s">
        <v>2575</v>
      </c>
      <c r="B344" s="88">
        <v>2</v>
      </c>
      <c r="C344" s="120">
        <v>0.0010327998462288904</v>
      </c>
      <c r="D344" s="88" t="s">
        <v>2665</v>
      </c>
      <c r="E344" s="88" t="b">
        <v>0</v>
      </c>
      <c r="F344" s="88" t="b">
        <v>0</v>
      </c>
      <c r="G344" s="88" t="b">
        <v>0</v>
      </c>
    </row>
    <row r="345" spans="1:7" ht="15">
      <c r="A345" s="88" t="s">
        <v>2576</v>
      </c>
      <c r="B345" s="88">
        <v>2</v>
      </c>
      <c r="C345" s="120">
        <v>0.0010327998462288904</v>
      </c>
      <c r="D345" s="88" t="s">
        <v>2665</v>
      </c>
      <c r="E345" s="88" t="b">
        <v>0</v>
      </c>
      <c r="F345" s="88" t="b">
        <v>0</v>
      </c>
      <c r="G345" s="88" t="b">
        <v>0</v>
      </c>
    </row>
    <row r="346" spans="1:7" ht="15">
      <c r="A346" s="88" t="s">
        <v>2577</v>
      </c>
      <c r="B346" s="88">
        <v>2</v>
      </c>
      <c r="C346" s="120">
        <v>0.0010327998462288904</v>
      </c>
      <c r="D346" s="88" t="s">
        <v>2665</v>
      </c>
      <c r="E346" s="88" t="b">
        <v>0</v>
      </c>
      <c r="F346" s="88" t="b">
        <v>0</v>
      </c>
      <c r="G346" s="88" t="b">
        <v>0</v>
      </c>
    </row>
    <row r="347" spans="1:7" ht="15">
      <c r="A347" s="88" t="s">
        <v>2578</v>
      </c>
      <c r="B347" s="88">
        <v>2</v>
      </c>
      <c r="C347" s="120">
        <v>0.0010327998462288904</v>
      </c>
      <c r="D347" s="88" t="s">
        <v>2665</v>
      </c>
      <c r="E347" s="88" t="b">
        <v>0</v>
      </c>
      <c r="F347" s="88" t="b">
        <v>0</v>
      </c>
      <c r="G347" s="88" t="b">
        <v>0</v>
      </c>
    </row>
    <row r="348" spans="1:7" ht="15">
      <c r="A348" s="88" t="s">
        <v>2579</v>
      </c>
      <c r="B348" s="88">
        <v>2</v>
      </c>
      <c r="C348" s="120">
        <v>0.0010327998462288904</v>
      </c>
      <c r="D348" s="88" t="s">
        <v>2665</v>
      </c>
      <c r="E348" s="88" t="b">
        <v>0</v>
      </c>
      <c r="F348" s="88" t="b">
        <v>0</v>
      </c>
      <c r="G348" s="88" t="b">
        <v>0</v>
      </c>
    </row>
    <row r="349" spans="1:7" ht="15">
      <c r="A349" s="88" t="s">
        <v>2580</v>
      </c>
      <c r="B349" s="88">
        <v>2</v>
      </c>
      <c r="C349" s="120">
        <v>0.0010327998462288904</v>
      </c>
      <c r="D349" s="88" t="s">
        <v>2665</v>
      </c>
      <c r="E349" s="88" t="b">
        <v>0</v>
      </c>
      <c r="F349" s="88" t="b">
        <v>0</v>
      </c>
      <c r="G349" s="88" t="b">
        <v>0</v>
      </c>
    </row>
    <row r="350" spans="1:7" ht="15">
      <c r="A350" s="88" t="s">
        <v>2581</v>
      </c>
      <c r="B350" s="88">
        <v>2</v>
      </c>
      <c r="C350" s="120">
        <v>0.0010327998462288904</v>
      </c>
      <c r="D350" s="88" t="s">
        <v>2665</v>
      </c>
      <c r="E350" s="88" t="b">
        <v>0</v>
      </c>
      <c r="F350" s="88" t="b">
        <v>0</v>
      </c>
      <c r="G350" s="88" t="b">
        <v>0</v>
      </c>
    </row>
    <row r="351" spans="1:7" ht="15">
      <c r="A351" s="88" t="s">
        <v>2582</v>
      </c>
      <c r="B351" s="88">
        <v>2</v>
      </c>
      <c r="C351" s="120">
        <v>0.0010327998462288904</v>
      </c>
      <c r="D351" s="88" t="s">
        <v>2665</v>
      </c>
      <c r="E351" s="88" t="b">
        <v>0</v>
      </c>
      <c r="F351" s="88" t="b">
        <v>0</v>
      </c>
      <c r="G351" s="88" t="b">
        <v>0</v>
      </c>
    </row>
    <row r="352" spans="1:7" ht="15">
      <c r="A352" s="88" t="s">
        <v>2583</v>
      </c>
      <c r="B352" s="88">
        <v>2</v>
      </c>
      <c r="C352" s="120">
        <v>0.0010327998462288904</v>
      </c>
      <c r="D352" s="88" t="s">
        <v>2665</v>
      </c>
      <c r="E352" s="88" t="b">
        <v>0</v>
      </c>
      <c r="F352" s="88" t="b">
        <v>0</v>
      </c>
      <c r="G352" s="88" t="b">
        <v>0</v>
      </c>
    </row>
    <row r="353" spans="1:7" ht="15">
      <c r="A353" s="88" t="s">
        <v>2584</v>
      </c>
      <c r="B353" s="88">
        <v>2</v>
      </c>
      <c r="C353" s="120">
        <v>0.0010327998462288904</v>
      </c>
      <c r="D353" s="88" t="s">
        <v>2665</v>
      </c>
      <c r="E353" s="88" t="b">
        <v>0</v>
      </c>
      <c r="F353" s="88" t="b">
        <v>0</v>
      </c>
      <c r="G353" s="88" t="b">
        <v>0</v>
      </c>
    </row>
    <row r="354" spans="1:7" ht="15">
      <c r="A354" s="88" t="s">
        <v>2585</v>
      </c>
      <c r="B354" s="88">
        <v>2</v>
      </c>
      <c r="C354" s="120">
        <v>0.0010327998462288904</v>
      </c>
      <c r="D354" s="88" t="s">
        <v>2665</v>
      </c>
      <c r="E354" s="88" t="b">
        <v>0</v>
      </c>
      <c r="F354" s="88" t="b">
        <v>0</v>
      </c>
      <c r="G354" s="88" t="b">
        <v>0</v>
      </c>
    </row>
    <row r="355" spans="1:7" ht="15">
      <c r="A355" s="88" t="s">
        <v>2586</v>
      </c>
      <c r="B355" s="88">
        <v>2</v>
      </c>
      <c r="C355" s="120">
        <v>0.0010327998462288904</v>
      </c>
      <c r="D355" s="88" t="s">
        <v>2665</v>
      </c>
      <c r="E355" s="88" t="b">
        <v>0</v>
      </c>
      <c r="F355" s="88" t="b">
        <v>0</v>
      </c>
      <c r="G355" s="88" t="b">
        <v>0</v>
      </c>
    </row>
    <row r="356" spans="1:7" ht="15">
      <c r="A356" s="88" t="s">
        <v>2587</v>
      </c>
      <c r="B356" s="88">
        <v>2</v>
      </c>
      <c r="C356" s="120">
        <v>0.0010327998462288904</v>
      </c>
      <c r="D356" s="88" t="s">
        <v>2665</v>
      </c>
      <c r="E356" s="88" t="b">
        <v>0</v>
      </c>
      <c r="F356" s="88" t="b">
        <v>0</v>
      </c>
      <c r="G356" s="88" t="b">
        <v>0</v>
      </c>
    </row>
    <row r="357" spans="1:7" ht="15">
      <c r="A357" s="88" t="s">
        <v>2588</v>
      </c>
      <c r="B357" s="88">
        <v>2</v>
      </c>
      <c r="C357" s="120">
        <v>0.0010327998462288904</v>
      </c>
      <c r="D357" s="88" t="s">
        <v>2665</v>
      </c>
      <c r="E357" s="88" t="b">
        <v>0</v>
      </c>
      <c r="F357" s="88" t="b">
        <v>0</v>
      </c>
      <c r="G357" s="88" t="b">
        <v>0</v>
      </c>
    </row>
    <row r="358" spans="1:7" ht="15">
      <c r="A358" s="88" t="s">
        <v>2589</v>
      </c>
      <c r="B358" s="88">
        <v>2</v>
      </c>
      <c r="C358" s="120">
        <v>0.0010327998462288904</v>
      </c>
      <c r="D358" s="88" t="s">
        <v>2665</v>
      </c>
      <c r="E358" s="88" t="b">
        <v>0</v>
      </c>
      <c r="F358" s="88" t="b">
        <v>0</v>
      </c>
      <c r="G358" s="88" t="b">
        <v>0</v>
      </c>
    </row>
    <row r="359" spans="1:7" ht="15">
      <c r="A359" s="88" t="s">
        <v>2590</v>
      </c>
      <c r="B359" s="88">
        <v>2</v>
      </c>
      <c r="C359" s="120">
        <v>0.0010327998462288904</v>
      </c>
      <c r="D359" s="88" t="s">
        <v>2665</v>
      </c>
      <c r="E359" s="88" t="b">
        <v>0</v>
      </c>
      <c r="F359" s="88" t="b">
        <v>0</v>
      </c>
      <c r="G359" s="88" t="b">
        <v>0</v>
      </c>
    </row>
    <row r="360" spans="1:7" ht="15">
      <c r="A360" s="88" t="s">
        <v>2591</v>
      </c>
      <c r="B360" s="88">
        <v>2</v>
      </c>
      <c r="C360" s="120">
        <v>0.0010327998462288904</v>
      </c>
      <c r="D360" s="88" t="s">
        <v>2665</v>
      </c>
      <c r="E360" s="88" t="b">
        <v>0</v>
      </c>
      <c r="F360" s="88" t="b">
        <v>0</v>
      </c>
      <c r="G360" s="88" t="b">
        <v>0</v>
      </c>
    </row>
    <row r="361" spans="1:7" ht="15">
      <c r="A361" s="88" t="s">
        <v>2592</v>
      </c>
      <c r="B361" s="88">
        <v>2</v>
      </c>
      <c r="C361" s="120">
        <v>0.0010327998462288904</v>
      </c>
      <c r="D361" s="88" t="s">
        <v>2665</v>
      </c>
      <c r="E361" s="88" t="b">
        <v>0</v>
      </c>
      <c r="F361" s="88" t="b">
        <v>0</v>
      </c>
      <c r="G361" s="88" t="b">
        <v>0</v>
      </c>
    </row>
    <row r="362" spans="1:7" ht="15">
      <c r="A362" s="88" t="s">
        <v>2593</v>
      </c>
      <c r="B362" s="88">
        <v>2</v>
      </c>
      <c r="C362" s="120">
        <v>0.0010327998462288904</v>
      </c>
      <c r="D362" s="88" t="s">
        <v>2665</v>
      </c>
      <c r="E362" s="88" t="b">
        <v>0</v>
      </c>
      <c r="F362" s="88" t="b">
        <v>0</v>
      </c>
      <c r="G362" s="88" t="b">
        <v>0</v>
      </c>
    </row>
    <row r="363" spans="1:7" ht="15">
      <c r="A363" s="88" t="s">
        <v>1999</v>
      </c>
      <c r="B363" s="88">
        <v>2</v>
      </c>
      <c r="C363" s="120">
        <v>0.0011866220208144708</v>
      </c>
      <c r="D363" s="88" t="s">
        <v>2665</v>
      </c>
      <c r="E363" s="88" t="b">
        <v>0</v>
      </c>
      <c r="F363" s="88" t="b">
        <v>0</v>
      </c>
      <c r="G363" s="88" t="b">
        <v>0</v>
      </c>
    </row>
    <row r="364" spans="1:7" ht="15">
      <c r="A364" s="88" t="s">
        <v>2594</v>
      </c>
      <c r="B364" s="88">
        <v>2</v>
      </c>
      <c r="C364" s="120">
        <v>0.0010327998462288904</v>
      </c>
      <c r="D364" s="88" t="s">
        <v>2665</v>
      </c>
      <c r="E364" s="88" t="b">
        <v>0</v>
      </c>
      <c r="F364" s="88" t="b">
        <v>0</v>
      </c>
      <c r="G364" s="88" t="b">
        <v>0</v>
      </c>
    </row>
    <row r="365" spans="1:7" ht="15">
      <c r="A365" s="88" t="s">
        <v>2595</v>
      </c>
      <c r="B365" s="88">
        <v>2</v>
      </c>
      <c r="C365" s="120">
        <v>0.0010327998462288904</v>
      </c>
      <c r="D365" s="88" t="s">
        <v>2665</v>
      </c>
      <c r="E365" s="88" t="b">
        <v>0</v>
      </c>
      <c r="F365" s="88" t="b">
        <v>0</v>
      </c>
      <c r="G365" s="88" t="b">
        <v>0</v>
      </c>
    </row>
    <row r="366" spans="1:7" ht="15">
      <c r="A366" s="88" t="s">
        <v>474</v>
      </c>
      <c r="B366" s="88">
        <v>2</v>
      </c>
      <c r="C366" s="120">
        <v>0.0010327998462288904</v>
      </c>
      <c r="D366" s="88" t="s">
        <v>2665</v>
      </c>
      <c r="E366" s="88" t="b">
        <v>0</v>
      </c>
      <c r="F366" s="88" t="b">
        <v>0</v>
      </c>
      <c r="G366" s="88" t="b">
        <v>0</v>
      </c>
    </row>
    <row r="367" spans="1:7" ht="15">
      <c r="A367" s="88" t="s">
        <v>565</v>
      </c>
      <c r="B367" s="88">
        <v>2</v>
      </c>
      <c r="C367" s="120">
        <v>0.0010327998462288904</v>
      </c>
      <c r="D367" s="88" t="s">
        <v>2665</v>
      </c>
      <c r="E367" s="88" t="b">
        <v>0</v>
      </c>
      <c r="F367" s="88" t="b">
        <v>0</v>
      </c>
      <c r="G367" s="88" t="b">
        <v>0</v>
      </c>
    </row>
    <row r="368" spans="1:7" ht="15">
      <c r="A368" s="88" t="s">
        <v>2596</v>
      </c>
      <c r="B368" s="88">
        <v>2</v>
      </c>
      <c r="C368" s="120">
        <v>0.0010327998462288904</v>
      </c>
      <c r="D368" s="88" t="s">
        <v>2665</v>
      </c>
      <c r="E368" s="88" t="b">
        <v>0</v>
      </c>
      <c r="F368" s="88" t="b">
        <v>0</v>
      </c>
      <c r="G368" s="88" t="b">
        <v>0</v>
      </c>
    </row>
    <row r="369" spans="1:7" ht="15">
      <c r="A369" s="88" t="s">
        <v>563</v>
      </c>
      <c r="B369" s="88">
        <v>2</v>
      </c>
      <c r="C369" s="120">
        <v>0.0010327998462288904</v>
      </c>
      <c r="D369" s="88" t="s">
        <v>2665</v>
      </c>
      <c r="E369" s="88" t="b">
        <v>0</v>
      </c>
      <c r="F369" s="88" t="b">
        <v>0</v>
      </c>
      <c r="G369" s="88" t="b">
        <v>0</v>
      </c>
    </row>
    <row r="370" spans="1:7" ht="15">
      <c r="A370" s="88" t="s">
        <v>557</v>
      </c>
      <c r="B370" s="88">
        <v>2</v>
      </c>
      <c r="C370" s="120">
        <v>0.0010327998462288904</v>
      </c>
      <c r="D370" s="88" t="s">
        <v>2665</v>
      </c>
      <c r="E370" s="88" t="b">
        <v>0</v>
      </c>
      <c r="F370" s="88" t="b">
        <v>0</v>
      </c>
      <c r="G370" s="88" t="b">
        <v>0</v>
      </c>
    </row>
    <row r="371" spans="1:7" ht="15">
      <c r="A371" s="88" t="s">
        <v>556</v>
      </c>
      <c r="B371" s="88">
        <v>2</v>
      </c>
      <c r="C371" s="120">
        <v>0.0010327998462288904</v>
      </c>
      <c r="D371" s="88" t="s">
        <v>2665</v>
      </c>
      <c r="E371" s="88" t="b">
        <v>0</v>
      </c>
      <c r="F371" s="88" t="b">
        <v>0</v>
      </c>
      <c r="G371" s="88" t="b">
        <v>0</v>
      </c>
    </row>
    <row r="372" spans="1:7" ht="15">
      <c r="A372" s="88" t="s">
        <v>555</v>
      </c>
      <c r="B372" s="88">
        <v>2</v>
      </c>
      <c r="C372" s="120">
        <v>0.0010327998462288904</v>
      </c>
      <c r="D372" s="88" t="s">
        <v>2665</v>
      </c>
      <c r="E372" s="88" t="b">
        <v>0</v>
      </c>
      <c r="F372" s="88" t="b">
        <v>0</v>
      </c>
      <c r="G372" s="88" t="b">
        <v>0</v>
      </c>
    </row>
    <row r="373" spans="1:7" ht="15">
      <c r="A373" s="88" t="s">
        <v>554</v>
      </c>
      <c r="B373" s="88">
        <v>2</v>
      </c>
      <c r="C373" s="120">
        <v>0.0010327998462288904</v>
      </c>
      <c r="D373" s="88" t="s">
        <v>2665</v>
      </c>
      <c r="E373" s="88" t="b">
        <v>0</v>
      </c>
      <c r="F373" s="88" t="b">
        <v>0</v>
      </c>
      <c r="G373" s="88" t="b">
        <v>0</v>
      </c>
    </row>
    <row r="374" spans="1:7" ht="15">
      <c r="A374" s="88" t="s">
        <v>2597</v>
      </c>
      <c r="B374" s="88">
        <v>2</v>
      </c>
      <c r="C374" s="120">
        <v>0.0010327998462288904</v>
      </c>
      <c r="D374" s="88" t="s">
        <v>2665</v>
      </c>
      <c r="E374" s="88" t="b">
        <v>0</v>
      </c>
      <c r="F374" s="88" t="b">
        <v>0</v>
      </c>
      <c r="G374" s="88" t="b">
        <v>0</v>
      </c>
    </row>
    <row r="375" spans="1:7" ht="15">
      <c r="A375" s="88" t="s">
        <v>549</v>
      </c>
      <c r="B375" s="88">
        <v>2</v>
      </c>
      <c r="C375" s="120">
        <v>0.0010327998462288904</v>
      </c>
      <c r="D375" s="88" t="s">
        <v>2665</v>
      </c>
      <c r="E375" s="88" t="b">
        <v>0</v>
      </c>
      <c r="F375" s="88" t="b">
        <v>0</v>
      </c>
      <c r="G375" s="88" t="b">
        <v>0</v>
      </c>
    </row>
    <row r="376" spans="1:7" ht="15">
      <c r="A376" s="88" t="s">
        <v>2598</v>
      </c>
      <c r="B376" s="88">
        <v>2</v>
      </c>
      <c r="C376" s="120">
        <v>0.0010327998462288904</v>
      </c>
      <c r="D376" s="88" t="s">
        <v>2665</v>
      </c>
      <c r="E376" s="88" t="b">
        <v>0</v>
      </c>
      <c r="F376" s="88" t="b">
        <v>0</v>
      </c>
      <c r="G376" s="88" t="b">
        <v>0</v>
      </c>
    </row>
    <row r="377" spans="1:7" ht="15">
      <c r="A377" s="88" t="s">
        <v>2599</v>
      </c>
      <c r="B377" s="88">
        <v>2</v>
      </c>
      <c r="C377" s="120">
        <v>0.0010327998462288904</v>
      </c>
      <c r="D377" s="88" t="s">
        <v>2665</v>
      </c>
      <c r="E377" s="88" t="b">
        <v>0</v>
      </c>
      <c r="F377" s="88" t="b">
        <v>0</v>
      </c>
      <c r="G377" s="88" t="b">
        <v>0</v>
      </c>
    </row>
    <row r="378" spans="1:7" ht="15">
      <c r="A378" s="88" t="s">
        <v>2600</v>
      </c>
      <c r="B378" s="88">
        <v>2</v>
      </c>
      <c r="C378" s="120">
        <v>0.0010327998462288904</v>
      </c>
      <c r="D378" s="88" t="s">
        <v>2665</v>
      </c>
      <c r="E378" s="88" t="b">
        <v>0</v>
      </c>
      <c r="F378" s="88" t="b">
        <v>0</v>
      </c>
      <c r="G378" s="88" t="b">
        <v>0</v>
      </c>
    </row>
    <row r="379" spans="1:7" ht="15">
      <c r="A379" s="88" t="s">
        <v>2601</v>
      </c>
      <c r="B379" s="88">
        <v>2</v>
      </c>
      <c r="C379" s="120">
        <v>0.0010327998462288904</v>
      </c>
      <c r="D379" s="88" t="s">
        <v>2665</v>
      </c>
      <c r="E379" s="88" t="b">
        <v>0</v>
      </c>
      <c r="F379" s="88" t="b">
        <v>0</v>
      </c>
      <c r="G379" s="88" t="b">
        <v>0</v>
      </c>
    </row>
    <row r="380" spans="1:7" ht="15">
      <c r="A380" s="88" t="s">
        <v>2602</v>
      </c>
      <c r="B380" s="88">
        <v>2</v>
      </c>
      <c r="C380" s="120">
        <v>0.0010327998462288904</v>
      </c>
      <c r="D380" s="88" t="s">
        <v>2665</v>
      </c>
      <c r="E380" s="88" t="b">
        <v>0</v>
      </c>
      <c r="F380" s="88" t="b">
        <v>0</v>
      </c>
      <c r="G380" s="88" t="b">
        <v>0</v>
      </c>
    </row>
    <row r="381" spans="1:7" ht="15">
      <c r="A381" s="88" t="s">
        <v>2603</v>
      </c>
      <c r="B381" s="88">
        <v>2</v>
      </c>
      <c r="C381" s="120">
        <v>0.0010327998462288904</v>
      </c>
      <c r="D381" s="88" t="s">
        <v>2665</v>
      </c>
      <c r="E381" s="88" t="b">
        <v>0</v>
      </c>
      <c r="F381" s="88" t="b">
        <v>0</v>
      </c>
      <c r="G381" s="88" t="b">
        <v>0</v>
      </c>
    </row>
    <row r="382" spans="1:7" ht="15">
      <c r="A382" s="88" t="s">
        <v>2604</v>
      </c>
      <c r="B382" s="88">
        <v>2</v>
      </c>
      <c r="C382" s="120">
        <v>0.0010327998462288904</v>
      </c>
      <c r="D382" s="88" t="s">
        <v>2665</v>
      </c>
      <c r="E382" s="88" t="b">
        <v>0</v>
      </c>
      <c r="F382" s="88" t="b">
        <v>0</v>
      </c>
      <c r="G382" s="88" t="b">
        <v>0</v>
      </c>
    </row>
    <row r="383" spans="1:7" ht="15">
      <c r="A383" s="88" t="s">
        <v>1806</v>
      </c>
      <c r="B383" s="88">
        <v>2</v>
      </c>
      <c r="C383" s="120">
        <v>0.0010327998462288904</v>
      </c>
      <c r="D383" s="88" t="s">
        <v>2665</v>
      </c>
      <c r="E383" s="88" t="b">
        <v>0</v>
      </c>
      <c r="F383" s="88" t="b">
        <v>0</v>
      </c>
      <c r="G383" s="88" t="b">
        <v>0</v>
      </c>
    </row>
    <row r="384" spans="1:7" ht="15">
      <c r="A384" s="88" t="s">
        <v>548</v>
      </c>
      <c r="B384" s="88">
        <v>2</v>
      </c>
      <c r="C384" s="120">
        <v>0.0010327998462288904</v>
      </c>
      <c r="D384" s="88" t="s">
        <v>2665</v>
      </c>
      <c r="E384" s="88" t="b">
        <v>0</v>
      </c>
      <c r="F384" s="88" t="b">
        <v>0</v>
      </c>
      <c r="G384" s="88" t="b">
        <v>0</v>
      </c>
    </row>
    <row r="385" spans="1:7" ht="15">
      <c r="A385" s="88" t="s">
        <v>2605</v>
      </c>
      <c r="B385" s="88">
        <v>2</v>
      </c>
      <c r="C385" s="120">
        <v>0.0010327998462288904</v>
      </c>
      <c r="D385" s="88" t="s">
        <v>2665</v>
      </c>
      <c r="E385" s="88" t="b">
        <v>0</v>
      </c>
      <c r="F385" s="88" t="b">
        <v>0</v>
      </c>
      <c r="G385" s="88" t="b">
        <v>0</v>
      </c>
    </row>
    <row r="386" spans="1:7" ht="15">
      <c r="A386" s="88" t="s">
        <v>2606</v>
      </c>
      <c r="B386" s="88">
        <v>2</v>
      </c>
      <c r="C386" s="120">
        <v>0.0011866220208144708</v>
      </c>
      <c r="D386" s="88" t="s">
        <v>2665</v>
      </c>
      <c r="E386" s="88" t="b">
        <v>0</v>
      </c>
      <c r="F386" s="88" t="b">
        <v>0</v>
      </c>
      <c r="G386" s="88" t="b">
        <v>0</v>
      </c>
    </row>
    <row r="387" spans="1:7" ht="15">
      <c r="A387" s="88" t="s">
        <v>2607</v>
      </c>
      <c r="B387" s="88">
        <v>2</v>
      </c>
      <c r="C387" s="120">
        <v>0.0010327998462288904</v>
      </c>
      <c r="D387" s="88" t="s">
        <v>2665</v>
      </c>
      <c r="E387" s="88" t="b">
        <v>0</v>
      </c>
      <c r="F387" s="88" t="b">
        <v>0</v>
      </c>
      <c r="G387" s="88" t="b">
        <v>0</v>
      </c>
    </row>
    <row r="388" spans="1:7" ht="15">
      <c r="A388" s="88" t="s">
        <v>2608</v>
      </c>
      <c r="B388" s="88">
        <v>2</v>
      </c>
      <c r="C388" s="120">
        <v>0.0010327998462288904</v>
      </c>
      <c r="D388" s="88" t="s">
        <v>2665</v>
      </c>
      <c r="E388" s="88" t="b">
        <v>0</v>
      </c>
      <c r="F388" s="88" t="b">
        <v>0</v>
      </c>
      <c r="G388" s="88" t="b">
        <v>0</v>
      </c>
    </row>
    <row r="389" spans="1:7" ht="15">
      <c r="A389" s="88" t="s">
        <v>2609</v>
      </c>
      <c r="B389" s="88">
        <v>2</v>
      </c>
      <c r="C389" s="120">
        <v>0.0010327998462288904</v>
      </c>
      <c r="D389" s="88" t="s">
        <v>2665</v>
      </c>
      <c r="E389" s="88" t="b">
        <v>0</v>
      </c>
      <c r="F389" s="88" t="b">
        <v>0</v>
      </c>
      <c r="G389" s="88" t="b">
        <v>0</v>
      </c>
    </row>
    <row r="390" spans="1:7" ht="15">
      <c r="A390" s="88" t="s">
        <v>2610</v>
      </c>
      <c r="B390" s="88">
        <v>2</v>
      </c>
      <c r="C390" s="120">
        <v>0.0010327998462288904</v>
      </c>
      <c r="D390" s="88" t="s">
        <v>2665</v>
      </c>
      <c r="E390" s="88" t="b">
        <v>0</v>
      </c>
      <c r="F390" s="88" t="b">
        <v>0</v>
      </c>
      <c r="G390" s="88" t="b">
        <v>0</v>
      </c>
    </row>
    <row r="391" spans="1:7" ht="15">
      <c r="A391" s="88" t="s">
        <v>2611</v>
      </c>
      <c r="B391" s="88">
        <v>2</v>
      </c>
      <c r="C391" s="120">
        <v>0.0010327998462288904</v>
      </c>
      <c r="D391" s="88" t="s">
        <v>2665</v>
      </c>
      <c r="E391" s="88" t="b">
        <v>0</v>
      </c>
      <c r="F391" s="88" t="b">
        <v>0</v>
      </c>
      <c r="G391" s="88" t="b">
        <v>0</v>
      </c>
    </row>
    <row r="392" spans="1:7" ht="15">
      <c r="A392" s="88" t="s">
        <v>2612</v>
      </c>
      <c r="B392" s="88">
        <v>2</v>
      </c>
      <c r="C392" s="120">
        <v>0.0010327998462288904</v>
      </c>
      <c r="D392" s="88" t="s">
        <v>2665</v>
      </c>
      <c r="E392" s="88" t="b">
        <v>1</v>
      </c>
      <c r="F392" s="88" t="b">
        <v>0</v>
      </c>
      <c r="G392" s="88" t="b">
        <v>0</v>
      </c>
    </row>
    <row r="393" spans="1:7" ht="15">
      <c r="A393" s="88" t="s">
        <v>2613</v>
      </c>
      <c r="B393" s="88">
        <v>2</v>
      </c>
      <c r="C393" s="120">
        <v>0.0010327998462288904</v>
      </c>
      <c r="D393" s="88" t="s">
        <v>2665</v>
      </c>
      <c r="E393" s="88" t="b">
        <v>0</v>
      </c>
      <c r="F393" s="88" t="b">
        <v>0</v>
      </c>
      <c r="G393" s="88" t="b">
        <v>0</v>
      </c>
    </row>
    <row r="394" spans="1:7" ht="15">
      <c r="A394" s="88" t="s">
        <v>2614</v>
      </c>
      <c r="B394" s="88">
        <v>2</v>
      </c>
      <c r="C394" s="120">
        <v>0.0010327998462288904</v>
      </c>
      <c r="D394" s="88" t="s">
        <v>2665</v>
      </c>
      <c r="E394" s="88" t="b">
        <v>0</v>
      </c>
      <c r="F394" s="88" t="b">
        <v>0</v>
      </c>
      <c r="G394" s="88" t="b">
        <v>0</v>
      </c>
    </row>
    <row r="395" spans="1:7" ht="15">
      <c r="A395" s="88" t="s">
        <v>2615</v>
      </c>
      <c r="B395" s="88">
        <v>2</v>
      </c>
      <c r="C395" s="120">
        <v>0.0010327998462288904</v>
      </c>
      <c r="D395" s="88" t="s">
        <v>2665</v>
      </c>
      <c r="E395" s="88" t="b">
        <v>0</v>
      </c>
      <c r="F395" s="88" t="b">
        <v>0</v>
      </c>
      <c r="G395" s="88" t="b">
        <v>0</v>
      </c>
    </row>
    <row r="396" spans="1:7" ht="15">
      <c r="A396" s="88" t="s">
        <v>2616</v>
      </c>
      <c r="B396" s="88">
        <v>2</v>
      </c>
      <c r="C396" s="120">
        <v>0.0010327998462288904</v>
      </c>
      <c r="D396" s="88" t="s">
        <v>2665</v>
      </c>
      <c r="E396" s="88" t="b">
        <v>0</v>
      </c>
      <c r="F396" s="88" t="b">
        <v>0</v>
      </c>
      <c r="G396" s="88" t="b">
        <v>0</v>
      </c>
    </row>
    <row r="397" spans="1:7" ht="15">
      <c r="A397" s="88" t="s">
        <v>2617</v>
      </c>
      <c r="B397" s="88">
        <v>2</v>
      </c>
      <c r="C397" s="120">
        <v>0.0010327998462288904</v>
      </c>
      <c r="D397" s="88" t="s">
        <v>2665</v>
      </c>
      <c r="E397" s="88" t="b">
        <v>0</v>
      </c>
      <c r="F397" s="88" t="b">
        <v>0</v>
      </c>
      <c r="G397" s="88" t="b">
        <v>0</v>
      </c>
    </row>
    <row r="398" spans="1:7" ht="15">
      <c r="A398" s="88" t="s">
        <v>2618</v>
      </c>
      <c r="B398" s="88">
        <v>2</v>
      </c>
      <c r="C398" s="120">
        <v>0.0010327998462288904</v>
      </c>
      <c r="D398" s="88" t="s">
        <v>2665</v>
      </c>
      <c r="E398" s="88" t="b">
        <v>0</v>
      </c>
      <c r="F398" s="88" t="b">
        <v>0</v>
      </c>
      <c r="G398" s="88" t="b">
        <v>0</v>
      </c>
    </row>
    <row r="399" spans="1:7" ht="15">
      <c r="A399" s="88" t="s">
        <v>2619</v>
      </c>
      <c r="B399" s="88">
        <v>2</v>
      </c>
      <c r="C399" s="120">
        <v>0.0010327998462288904</v>
      </c>
      <c r="D399" s="88" t="s">
        <v>2665</v>
      </c>
      <c r="E399" s="88" t="b">
        <v>0</v>
      </c>
      <c r="F399" s="88" t="b">
        <v>0</v>
      </c>
      <c r="G399" s="88" t="b">
        <v>0</v>
      </c>
    </row>
    <row r="400" spans="1:7" ht="15">
      <c r="A400" s="88" t="s">
        <v>2620</v>
      </c>
      <c r="B400" s="88">
        <v>2</v>
      </c>
      <c r="C400" s="120">
        <v>0.0010327998462288904</v>
      </c>
      <c r="D400" s="88" t="s">
        <v>2665</v>
      </c>
      <c r="E400" s="88" t="b">
        <v>0</v>
      </c>
      <c r="F400" s="88" t="b">
        <v>0</v>
      </c>
      <c r="G400" s="88" t="b">
        <v>0</v>
      </c>
    </row>
    <row r="401" spans="1:7" ht="15">
      <c r="A401" s="88" t="s">
        <v>2621</v>
      </c>
      <c r="B401" s="88">
        <v>2</v>
      </c>
      <c r="C401" s="120">
        <v>0.0010327998462288904</v>
      </c>
      <c r="D401" s="88" t="s">
        <v>2665</v>
      </c>
      <c r="E401" s="88" t="b">
        <v>0</v>
      </c>
      <c r="F401" s="88" t="b">
        <v>0</v>
      </c>
      <c r="G401" s="88" t="b">
        <v>0</v>
      </c>
    </row>
    <row r="402" spans="1:7" ht="15">
      <c r="A402" s="88" t="s">
        <v>533</v>
      </c>
      <c r="B402" s="88">
        <v>2</v>
      </c>
      <c r="C402" s="120">
        <v>0.0010327998462288904</v>
      </c>
      <c r="D402" s="88" t="s">
        <v>2665</v>
      </c>
      <c r="E402" s="88" t="b">
        <v>0</v>
      </c>
      <c r="F402" s="88" t="b">
        <v>0</v>
      </c>
      <c r="G402" s="88" t="b">
        <v>0</v>
      </c>
    </row>
    <row r="403" spans="1:7" ht="15">
      <c r="A403" s="88" t="s">
        <v>2622</v>
      </c>
      <c r="B403" s="88">
        <v>2</v>
      </c>
      <c r="C403" s="120">
        <v>0.0010327998462288904</v>
      </c>
      <c r="D403" s="88" t="s">
        <v>2665</v>
      </c>
      <c r="E403" s="88" t="b">
        <v>0</v>
      </c>
      <c r="F403" s="88" t="b">
        <v>0</v>
      </c>
      <c r="G403" s="88" t="b">
        <v>0</v>
      </c>
    </row>
    <row r="404" spans="1:7" ht="15">
      <c r="A404" s="88" t="s">
        <v>2623</v>
      </c>
      <c r="B404" s="88">
        <v>2</v>
      </c>
      <c r="C404" s="120">
        <v>0.0010327998462288904</v>
      </c>
      <c r="D404" s="88" t="s">
        <v>2665</v>
      </c>
      <c r="E404" s="88" t="b">
        <v>0</v>
      </c>
      <c r="F404" s="88" t="b">
        <v>0</v>
      </c>
      <c r="G404" s="88" t="b">
        <v>0</v>
      </c>
    </row>
    <row r="405" spans="1:7" ht="15">
      <c r="A405" s="88" t="s">
        <v>2624</v>
      </c>
      <c r="B405" s="88">
        <v>2</v>
      </c>
      <c r="C405" s="120">
        <v>0.0010327998462288904</v>
      </c>
      <c r="D405" s="88" t="s">
        <v>2665</v>
      </c>
      <c r="E405" s="88" t="b">
        <v>0</v>
      </c>
      <c r="F405" s="88" t="b">
        <v>0</v>
      </c>
      <c r="G405" s="88" t="b">
        <v>0</v>
      </c>
    </row>
    <row r="406" spans="1:7" ht="15">
      <c r="A406" s="88" t="s">
        <v>2625</v>
      </c>
      <c r="B406" s="88">
        <v>2</v>
      </c>
      <c r="C406" s="120">
        <v>0.0010327998462288904</v>
      </c>
      <c r="D406" s="88" t="s">
        <v>2665</v>
      </c>
      <c r="E406" s="88" t="b">
        <v>0</v>
      </c>
      <c r="F406" s="88" t="b">
        <v>0</v>
      </c>
      <c r="G406" s="88" t="b">
        <v>0</v>
      </c>
    </row>
    <row r="407" spans="1:7" ht="15">
      <c r="A407" s="88" t="s">
        <v>2626</v>
      </c>
      <c r="B407" s="88">
        <v>2</v>
      </c>
      <c r="C407" s="120">
        <v>0.0010327998462288904</v>
      </c>
      <c r="D407" s="88" t="s">
        <v>2665</v>
      </c>
      <c r="E407" s="88" t="b">
        <v>0</v>
      </c>
      <c r="F407" s="88" t="b">
        <v>0</v>
      </c>
      <c r="G407" s="88" t="b">
        <v>0</v>
      </c>
    </row>
    <row r="408" spans="1:7" ht="15">
      <c r="A408" s="88" t="s">
        <v>2627</v>
      </c>
      <c r="B408" s="88">
        <v>2</v>
      </c>
      <c r="C408" s="120">
        <v>0.0010327998462288904</v>
      </c>
      <c r="D408" s="88" t="s">
        <v>2665</v>
      </c>
      <c r="E408" s="88" t="b">
        <v>0</v>
      </c>
      <c r="F408" s="88" t="b">
        <v>0</v>
      </c>
      <c r="G408" s="88" t="b">
        <v>0</v>
      </c>
    </row>
    <row r="409" spans="1:7" ht="15">
      <c r="A409" s="88" t="s">
        <v>2628</v>
      </c>
      <c r="B409" s="88">
        <v>2</v>
      </c>
      <c r="C409" s="120">
        <v>0.0010327998462288904</v>
      </c>
      <c r="D409" s="88" t="s">
        <v>2665</v>
      </c>
      <c r="E409" s="88" t="b">
        <v>0</v>
      </c>
      <c r="F409" s="88" t="b">
        <v>0</v>
      </c>
      <c r="G409" s="88" t="b">
        <v>0</v>
      </c>
    </row>
    <row r="410" spans="1:7" ht="15">
      <c r="A410" s="88" t="s">
        <v>2629</v>
      </c>
      <c r="B410" s="88">
        <v>2</v>
      </c>
      <c r="C410" s="120">
        <v>0.0010327998462288904</v>
      </c>
      <c r="D410" s="88" t="s">
        <v>2665</v>
      </c>
      <c r="E410" s="88" t="b">
        <v>0</v>
      </c>
      <c r="F410" s="88" t="b">
        <v>0</v>
      </c>
      <c r="G410" s="88" t="b">
        <v>0</v>
      </c>
    </row>
    <row r="411" spans="1:7" ht="15">
      <c r="A411" s="88" t="s">
        <v>2630</v>
      </c>
      <c r="B411" s="88">
        <v>2</v>
      </c>
      <c r="C411" s="120">
        <v>0.0011866220208144708</v>
      </c>
      <c r="D411" s="88" t="s">
        <v>2665</v>
      </c>
      <c r="E411" s="88" t="b">
        <v>0</v>
      </c>
      <c r="F411" s="88" t="b">
        <v>0</v>
      </c>
      <c r="G411" s="88" t="b">
        <v>0</v>
      </c>
    </row>
    <row r="412" spans="1:7" ht="15">
      <c r="A412" s="88" t="s">
        <v>2631</v>
      </c>
      <c r="B412" s="88">
        <v>2</v>
      </c>
      <c r="C412" s="120">
        <v>0.0010327998462288904</v>
      </c>
      <c r="D412" s="88" t="s">
        <v>2665</v>
      </c>
      <c r="E412" s="88" t="b">
        <v>1</v>
      </c>
      <c r="F412" s="88" t="b">
        <v>0</v>
      </c>
      <c r="G412" s="88" t="b">
        <v>0</v>
      </c>
    </row>
    <row r="413" spans="1:7" ht="15">
      <c r="A413" s="88" t="s">
        <v>2632</v>
      </c>
      <c r="B413" s="88">
        <v>2</v>
      </c>
      <c r="C413" s="120">
        <v>0.0010327998462288904</v>
      </c>
      <c r="D413" s="88" t="s">
        <v>2665</v>
      </c>
      <c r="E413" s="88" t="b">
        <v>0</v>
      </c>
      <c r="F413" s="88" t="b">
        <v>0</v>
      </c>
      <c r="G413" s="88" t="b">
        <v>0</v>
      </c>
    </row>
    <row r="414" spans="1:7" ht="15">
      <c r="A414" s="88" t="s">
        <v>2633</v>
      </c>
      <c r="B414" s="88">
        <v>2</v>
      </c>
      <c r="C414" s="120">
        <v>0.0010327998462288904</v>
      </c>
      <c r="D414" s="88" t="s">
        <v>2665</v>
      </c>
      <c r="E414" s="88" t="b">
        <v>0</v>
      </c>
      <c r="F414" s="88" t="b">
        <v>0</v>
      </c>
      <c r="G414" s="88" t="b">
        <v>0</v>
      </c>
    </row>
    <row r="415" spans="1:7" ht="15">
      <c r="A415" s="88" t="s">
        <v>2634</v>
      </c>
      <c r="B415" s="88">
        <v>2</v>
      </c>
      <c r="C415" s="120">
        <v>0.0010327998462288904</v>
      </c>
      <c r="D415" s="88" t="s">
        <v>2665</v>
      </c>
      <c r="E415" s="88" t="b">
        <v>0</v>
      </c>
      <c r="F415" s="88" t="b">
        <v>0</v>
      </c>
      <c r="G415" s="88" t="b">
        <v>0</v>
      </c>
    </row>
    <row r="416" spans="1:7" ht="15">
      <c r="A416" s="88" t="s">
        <v>522</v>
      </c>
      <c r="B416" s="88">
        <v>2</v>
      </c>
      <c r="C416" s="120">
        <v>0.0010327998462288904</v>
      </c>
      <c r="D416" s="88" t="s">
        <v>2665</v>
      </c>
      <c r="E416" s="88" t="b">
        <v>0</v>
      </c>
      <c r="F416" s="88" t="b">
        <v>0</v>
      </c>
      <c r="G416" s="88" t="b">
        <v>0</v>
      </c>
    </row>
    <row r="417" spans="1:7" ht="15">
      <c r="A417" s="88" t="s">
        <v>2635</v>
      </c>
      <c r="B417" s="88">
        <v>2</v>
      </c>
      <c r="C417" s="120">
        <v>0.0010327998462288904</v>
      </c>
      <c r="D417" s="88" t="s">
        <v>2665</v>
      </c>
      <c r="E417" s="88" t="b">
        <v>0</v>
      </c>
      <c r="F417" s="88" t="b">
        <v>0</v>
      </c>
      <c r="G417" s="88" t="b">
        <v>0</v>
      </c>
    </row>
    <row r="418" spans="1:7" ht="15">
      <c r="A418" s="88" t="s">
        <v>2636</v>
      </c>
      <c r="B418" s="88">
        <v>2</v>
      </c>
      <c r="C418" s="120">
        <v>0.0010327998462288904</v>
      </c>
      <c r="D418" s="88" t="s">
        <v>2665</v>
      </c>
      <c r="E418" s="88" t="b">
        <v>0</v>
      </c>
      <c r="F418" s="88" t="b">
        <v>0</v>
      </c>
      <c r="G418" s="88" t="b">
        <v>0</v>
      </c>
    </row>
    <row r="419" spans="1:7" ht="15">
      <c r="A419" s="88" t="s">
        <v>2637</v>
      </c>
      <c r="B419" s="88">
        <v>2</v>
      </c>
      <c r="C419" s="120">
        <v>0.0010327998462288904</v>
      </c>
      <c r="D419" s="88" t="s">
        <v>2665</v>
      </c>
      <c r="E419" s="88" t="b">
        <v>0</v>
      </c>
      <c r="F419" s="88" t="b">
        <v>0</v>
      </c>
      <c r="G419" s="88" t="b">
        <v>0</v>
      </c>
    </row>
    <row r="420" spans="1:7" ht="15">
      <c r="A420" s="88" t="s">
        <v>2638</v>
      </c>
      <c r="B420" s="88">
        <v>2</v>
      </c>
      <c r="C420" s="120">
        <v>0.0010327998462288904</v>
      </c>
      <c r="D420" s="88" t="s">
        <v>2665</v>
      </c>
      <c r="E420" s="88" t="b">
        <v>0</v>
      </c>
      <c r="F420" s="88" t="b">
        <v>0</v>
      </c>
      <c r="G420" s="88" t="b">
        <v>0</v>
      </c>
    </row>
    <row r="421" spans="1:7" ht="15">
      <c r="A421" s="88" t="s">
        <v>2639</v>
      </c>
      <c r="B421" s="88">
        <v>2</v>
      </c>
      <c r="C421" s="120">
        <v>0.0010327998462288904</v>
      </c>
      <c r="D421" s="88" t="s">
        <v>2665</v>
      </c>
      <c r="E421" s="88" t="b">
        <v>1</v>
      </c>
      <c r="F421" s="88" t="b">
        <v>0</v>
      </c>
      <c r="G421" s="88" t="b">
        <v>0</v>
      </c>
    </row>
    <row r="422" spans="1:7" ht="15">
      <c r="A422" s="88" t="s">
        <v>2640</v>
      </c>
      <c r="B422" s="88">
        <v>2</v>
      </c>
      <c r="C422" s="120">
        <v>0.0010327998462288904</v>
      </c>
      <c r="D422" s="88" t="s">
        <v>2665</v>
      </c>
      <c r="E422" s="88" t="b">
        <v>0</v>
      </c>
      <c r="F422" s="88" t="b">
        <v>0</v>
      </c>
      <c r="G422" s="88" t="b">
        <v>0</v>
      </c>
    </row>
    <row r="423" spans="1:7" ht="15">
      <c r="A423" s="88" t="s">
        <v>2641</v>
      </c>
      <c r="B423" s="88">
        <v>2</v>
      </c>
      <c r="C423" s="120">
        <v>0.0010327998462288904</v>
      </c>
      <c r="D423" s="88" t="s">
        <v>2665</v>
      </c>
      <c r="E423" s="88" t="b">
        <v>0</v>
      </c>
      <c r="F423" s="88" t="b">
        <v>0</v>
      </c>
      <c r="G423" s="88" t="b">
        <v>0</v>
      </c>
    </row>
    <row r="424" spans="1:7" ht="15">
      <c r="A424" s="88" t="s">
        <v>2642</v>
      </c>
      <c r="B424" s="88">
        <v>2</v>
      </c>
      <c r="C424" s="120">
        <v>0.0010327998462288904</v>
      </c>
      <c r="D424" s="88" t="s">
        <v>2665</v>
      </c>
      <c r="E424" s="88" t="b">
        <v>0</v>
      </c>
      <c r="F424" s="88" t="b">
        <v>0</v>
      </c>
      <c r="G424" s="88" t="b">
        <v>0</v>
      </c>
    </row>
    <row r="425" spans="1:7" ht="15">
      <c r="A425" s="88" t="s">
        <v>2643</v>
      </c>
      <c r="B425" s="88">
        <v>2</v>
      </c>
      <c r="C425" s="120">
        <v>0.0010327998462288904</v>
      </c>
      <c r="D425" s="88" t="s">
        <v>2665</v>
      </c>
      <c r="E425" s="88" t="b">
        <v>0</v>
      </c>
      <c r="F425" s="88" t="b">
        <v>0</v>
      </c>
      <c r="G425" s="88" t="b">
        <v>0</v>
      </c>
    </row>
    <row r="426" spans="1:7" ht="15">
      <c r="A426" s="88" t="s">
        <v>2644</v>
      </c>
      <c r="B426" s="88">
        <v>2</v>
      </c>
      <c r="C426" s="120">
        <v>0.0010327998462288904</v>
      </c>
      <c r="D426" s="88" t="s">
        <v>2665</v>
      </c>
      <c r="E426" s="88" t="b">
        <v>0</v>
      </c>
      <c r="F426" s="88" t="b">
        <v>0</v>
      </c>
      <c r="G426" s="88" t="b">
        <v>0</v>
      </c>
    </row>
    <row r="427" spans="1:7" ht="15">
      <c r="A427" s="88" t="s">
        <v>2645</v>
      </c>
      <c r="B427" s="88">
        <v>2</v>
      </c>
      <c r="C427" s="120">
        <v>0.0010327998462288904</v>
      </c>
      <c r="D427" s="88" t="s">
        <v>2665</v>
      </c>
      <c r="E427" s="88" t="b">
        <v>0</v>
      </c>
      <c r="F427" s="88" t="b">
        <v>0</v>
      </c>
      <c r="G427" s="88" t="b">
        <v>0</v>
      </c>
    </row>
    <row r="428" spans="1:7" ht="15">
      <c r="A428" s="88" t="s">
        <v>2646</v>
      </c>
      <c r="B428" s="88">
        <v>2</v>
      </c>
      <c r="C428" s="120">
        <v>0.0010327998462288904</v>
      </c>
      <c r="D428" s="88" t="s">
        <v>2665</v>
      </c>
      <c r="E428" s="88" t="b">
        <v>0</v>
      </c>
      <c r="F428" s="88" t="b">
        <v>0</v>
      </c>
      <c r="G428" s="88" t="b">
        <v>0</v>
      </c>
    </row>
    <row r="429" spans="1:7" ht="15">
      <c r="A429" s="88" t="s">
        <v>2647</v>
      </c>
      <c r="B429" s="88">
        <v>2</v>
      </c>
      <c r="C429" s="120">
        <v>0.0010327998462288904</v>
      </c>
      <c r="D429" s="88" t="s">
        <v>2665</v>
      </c>
      <c r="E429" s="88" t="b">
        <v>0</v>
      </c>
      <c r="F429" s="88" t="b">
        <v>0</v>
      </c>
      <c r="G429" s="88" t="b">
        <v>0</v>
      </c>
    </row>
    <row r="430" spans="1:7" ht="15">
      <c r="A430" s="88" t="s">
        <v>521</v>
      </c>
      <c r="B430" s="88">
        <v>2</v>
      </c>
      <c r="C430" s="120">
        <v>0.0010327998462288904</v>
      </c>
      <c r="D430" s="88" t="s">
        <v>2665</v>
      </c>
      <c r="E430" s="88" t="b">
        <v>0</v>
      </c>
      <c r="F430" s="88" t="b">
        <v>0</v>
      </c>
      <c r="G430" s="88" t="b">
        <v>0</v>
      </c>
    </row>
    <row r="431" spans="1:7" ht="15">
      <c r="A431" s="88" t="s">
        <v>2648</v>
      </c>
      <c r="B431" s="88">
        <v>2</v>
      </c>
      <c r="C431" s="120">
        <v>0.0010327998462288904</v>
      </c>
      <c r="D431" s="88" t="s">
        <v>2665</v>
      </c>
      <c r="E431" s="88" t="b">
        <v>0</v>
      </c>
      <c r="F431" s="88" t="b">
        <v>0</v>
      </c>
      <c r="G431" s="88" t="b">
        <v>0</v>
      </c>
    </row>
    <row r="432" spans="1:7" ht="15">
      <c r="A432" s="88" t="s">
        <v>2649</v>
      </c>
      <c r="B432" s="88">
        <v>2</v>
      </c>
      <c r="C432" s="120">
        <v>0.0010327998462288904</v>
      </c>
      <c r="D432" s="88" t="s">
        <v>2665</v>
      </c>
      <c r="E432" s="88" t="b">
        <v>0</v>
      </c>
      <c r="F432" s="88" t="b">
        <v>0</v>
      </c>
      <c r="G432" s="88" t="b">
        <v>0</v>
      </c>
    </row>
    <row r="433" spans="1:7" ht="15">
      <c r="A433" s="88" t="s">
        <v>520</v>
      </c>
      <c r="B433" s="88">
        <v>2</v>
      </c>
      <c r="C433" s="120">
        <v>0.0010327998462288904</v>
      </c>
      <c r="D433" s="88" t="s">
        <v>2665</v>
      </c>
      <c r="E433" s="88" t="b">
        <v>0</v>
      </c>
      <c r="F433" s="88" t="b">
        <v>0</v>
      </c>
      <c r="G433" s="88" t="b">
        <v>0</v>
      </c>
    </row>
    <row r="434" spans="1:7" ht="15">
      <c r="A434" s="88" t="s">
        <v>2650</v>
      </c>
      <c r="B434" s="88">
        <v>2</v>
      </c>
      <c r="C434" s="120">
        <v>0.0010327998462288904</v>
      </c>
      <c r="D434" s="88" t="s">
        <v>2665</v>
      </c>
      <c r="E434" s="88" t="b">
        <v>0</v>
      </c>
      <c r="F434" s="88" t="b">
        <v>0</v>
      </c>
      <c r="G434" s="88" t="b">
        <v>0</v>
      </c>
    </row>
    <row r="435" spans="1:7" ht="15">
      <c r="A435" s="88" t="s">
        <v>519</v>
      </c>
      <c r="B435" s="88">
        <v>2</v>
      </c>
      <c r="C435" s="120">
        <v>0.0010327998462288904</v>
      </c>
      <c r="D435" s="88" t="s">
        <v>2665</v>
      </c>
      <c r="E435" s="88" t="b">
        <v>0</v>
      </c>
      <c r="F435" s="88" t="b">
        <v>0</v>
      </c>
      <c r="G435" s="88" t="b">
        <v>0</v>
      </c>
    </row>
    <row r="436" spans="1:7" ht="15">
      <c r="A436" s="88" t="s">
        <v>2651</v>
      </c>
      <c r="B436" s="88">
        <v>2</v>
      </c>
      <c r="C436" s="120">
        <v>0.0010327998462288904</v>
      </c>
      <c r="D436" s="88" t="s">
        <v>2665</v>
      </c>
      <c r="E436" s="88" t="b">
        <v>0</v>
      </c>
      <c r="F436" s="88" t="b">
        <v>0</v>
      </c>
      <c r="G436" s="88" t="b">
        <v>0</v>
      </c>
    </row>
    <row r="437" spans="1:7" ht="15">
      <c r="A437" s="88" t="s">
        <v>2652</v>
      </c>
      <c r="B437" s="88">
        <v>2</v>
      </c>
      <c r="C437" s="120">
        <v>0.0010327998462288904</v>
      </c>
      <c r="D437" s="88" t="s">
        <v>2665</v>
      </c>
      <c r="E437" s="88" t="b">
        <v>0</v>
      </c>
      <c r="F437" s="88" t="b">
        <v>0</v>
      </c>
      <c r="G437" s="88" t="b">
        <v>0</v>
      </c>
    </row>
    <row r="438" spans="1:7" ht="15">
      <c r="A438" s="88" t="s">
        <v>2653</v>
      </c>
      <c r="B438" s="88">
        <v>2</v>
      </c>
      <c r="C438" s="120">
        <v>0.0010327998462288904</v>
      </c>
      <c r="D438" s="88" t="s">
        <v>2665</v>
      </c>
      <c r="E438" s="88" t="b">
        <v>0</v>
      </c>
      <c r="F438" s="88" t="b">
        <v>0</v>
      </c>
      <c r="G438" s="88" t="b">
        <v>0</v>
      </c>
    </row>
    <row r="439" spans="1:7" ht="15">
      <c r="A439" s="88" t="s">
        <v>2654</v>
      </c>
      <c r="B439" s="88">
        <v>2</v>
      </c>
      <c r="C439" s="120">
        <v>0.0010327998462288904</v>
      </c>
      <c r="D439" s="88" t="s">
        <v>2665</v>
      </c>
      <c r="E439" s="88" t="b">
        <v>0</v>
      </c>
      <c r="F439" s="88" t="b">
        <v>1</v>
      </c>
      <c r="G439" s="88" t="b">
        <v>0</v>
      </c>
    </row>
    <row r="440" spans="1:7" ht="15">
      <c r="A440" s="88" t="s">
        <v>2655</v>
      </c>
      <c r="B440" s="88">
        <v>2</v>
      </c>
      <c r="C440" s="120">
        <v>0.0010327998462288904</v>
      </c>
      <c r="D440" s="88" t="s">
        <v>2665</v>
      </c>
      <c r="E440" s="88" t="b">
        <v>0</v>
      </c>
      <c r="F440" s="88" t="b">
        <v>0</v>
      </c>
      <c r="G440" s="88" t="b">
        <v>0</v>
      </c>
    </row>
    <row r="441" spans="1:7" ht="15">
      <c r="A441" s="88" t="s">
        <v>2656</v>
      </c>
      <c r="B441" s="88">
        <v>2</v>
      </c>
      <c r="C441" s="120">
        <v>0.0010327998462288904</v>
      </c>
      <c r="D441" s="88" t="s">
        <v>2665</v>
      </c>
      <c r="E441" s="88" t="b">
        <v>0</v>
      </c>
      <c r="F441" s="88" t="b">
        <v>0</v>
      </c>
      <c r="G441" s="88" t="b">
        <v>0</v>
      </c>
    </row>
    <row r="442" spans="1:7" ht="15">
      <c r="A442" s="88" t="s">
        <v>2657</v>
      </c>
      <c r="B442" s="88">
        <v>2</v>
      </c>
      <c r="C442" s="120">
        <v>0.0010327998462288904</v>
      </c>
      <c r="D442" s="88" t="s">
        <v>2665</v>
      </c>
      <c r="E442" s="88" t="b">
        <v>0</v>
      </c>
      <c r="F442" s="88" t="b">
        <v>0</v>
      </c>
      <c r="G442" s="88" t="b">
        <v>0</v>
      </c>
    </row>
    <row r="443" spans="1:7" ht="15">
      <c r="A443" s="88" t="s">
        <v>2658</v>
      </c>
      <c r="B443" s="88">
        <v>2</v>
      </c>
      <c r="C443" s="120">
        <v>0.0011866220208144708</v>
      </c>
      <c r="D443" s="88" t="s">
        <v>2665</v>
      </c>
      <c r="E443" s="88" t="b">
        <v>0</v>
      </c>
      <c r="F443" s="88" t="b">
        <v>0</v>
      </c>
      <c r="G443" s="88" t="b">
        <v>0</v>
      </c>
    </row>
    <row r="444" spans="1:7" ht="15">
      <c r="A444" s="88" t="s">
        <v>2659</v>
      </c>
      <c r="B444" s="88">
        <v>2</v>
      </c>
      <c r="C444" s="120">
        <v>0.0011866220208144708</v>
      </c>
      <c r="D444" s="88" t="s">
        <v>2665</v>
      </c>
      <c r="E444" s="88" t="b">
        <v>0</v>
      </c>
      <c r="F444" s="88" t="b">
        <v>0</v>
      </c>
      <c r="G444" s="88" t="b">
        <v>0</v>
      </c>
    </row>
    <row r="445" spans="1:7" ht="15">
      <c r="A445" s="88" t="s">
        <v>2271</v>
      </c>
      <c r="B445" s="88">
        <v>63</v>
      </c>
      <c r="C445" s="120">
        <v>0</v>
      </c>
      <c r="D445" s="88" t="s">
        <v>2227</v>
      </c>
      <c r="E445" s="88" t="b">
        <v>0</v>
      </c>
      <c r="F445" s="88" t="b">
        <v>0</v>
      </c>
      <c r="G445" s="88" t="b">
        <v>0</v>
      </c>
    </row>
    <row r="446" spans="1:7" ht="15">
      <c r="A446" s="88" t="s">
        <v>2273</v>
      </c>
      <c r="B446" s="88">
        <v>61</v>
      </c>
      <c r="C446" s="120">
        <v>0.002156055661557195</v>
      </c>
      <c r="D446" s="88" t="s">
        <v>2227</v>
      </c>
      <c r="E446" s="88" t="b">
        <v>0</v>
      </c>
      <c r="F446" s="88" t="b">
        <v>0</v>
      </c>
      <c r="G446" s="88" t="b">
        <v>0</v>
      </c>
    </row>
    <row r="447" spans="1:7" ht="15">
      <c r="A447" s="88" t="s">
        <v>2274</v>
      </c>
      <c r="B447" s="88">
        <v>60</v>
      </c>
      <c r="C447" s="120">
        <v>0.002120710486777569</v>
      </c>
      <c r="D447" s="88" t="s">
        <v>2227</v>
      </c>
      <c r="E447" s="88" t="b">
        <v>0</v>
      </c>
      <c r="F447" s="88" t="b">
        <v>0</v>
      </c>
      <c r="G447" s="88" t="b">
        <v>0</v>
      </c>
    </row>
    <row r="448" spans="1:7" ht="15">
      <c r="A448" s="88" t="s">
        <v>2292</v>
      </c>
      <c r="B448" s="88">
        <v>29</v>
      </c>
      <c r="C448" s="120">
        <v>0.008003094507972638</v>
      </c>
      <c r="D448" s="88" t="s">
        <v>2227</v>
      </c>
      <c r="E448" s="88" t="b">
        <v>0</v>
      </c>
      <c r="F448" s="88" t="b">
        <v>0</v>
      </c>
      <c r="G448" s="88" t="b">
        <v>0</v>
      </c>
    </row>
    <row r="449" spans="1:7" ht="15">
      <c r="A449" s="88" t="s">
        <v>2295</v>
      </c>
      <c r="B449" s="88">
        <v>27</v>
      </c>
      <c r="C449" s="120">
        <v>0.008507808041422696</v>
      </c>
      <c r="D449" s="88" t="s">
        <v>2227</v>
      </c>
      <c r="E449" s="88" t="b">
        <v>0</v>
      </c>
      <c r="F449" s="88" t="b">
        <v>0</v>
      </c>
      <c r="G449" s="88" t="b">
        <v>0</v>
      </c>
    </row>
    <row r="450" spans="1:7" ht="15">
      <c r="A450" s="88" t="s">
        <v>2298</v>
      </c>
      <c r="B450" s="88">
        <v>24</v>
      </c>
      <c r="C450" s="120">
        <v>0.009110617775454664</v>
      </c>
      <c r="D450" s="88" t="s">
        <v>2227</v>
      </c>
      <c r="E450" s="88" t="b">
        <v>0</v>
      </c>
      <c r="F450" s="88" t="b">
        <v>0</v>
      </c>
      <c r="G450" s="88" t="b">
        <v>0</v>
      </c>
    </row>
    <row r="451" spans="1:7" ht="15">
      <c r="A451" s="88" t="s">
        <v>2325</v>
      </c>
      <c r="B451" s="88">
        <v>17</v>
      </c>
      <c r="C451" s="120">
        <v>0.009663895803221094</v>
      </c>
      <c r="D451" s="88" t="s">
        <v>2227</v>
      </c>
      <c r="E451" s="88" t="b">
        <v>0</v>
      </c>
      <c r="F451" s="88" t="b">
        <v>0</v>
      </c>
      <c r="G451" s="88" t="b">
        <v>0</v>
      </c>
    </row>
    <row r="452" spans="1:7" ht="15">
      <c r="A452" s="88" t="s">
        <v>2324</v>
      </c>
      <c r="B452" s="88">
        <v>17</v>
      </c>
      <c r="C452" s="120">
        <v>0.009663895803221094</v>
      </c>
      <c r="D452" s="88" t="s">
        <v>2227</v>
      </c>
      <c r="E452" s="88" t="b">
        <v>0</v>
      </c>
      <c r="F452" s="88" t="b">
        <v>0</v>
      </c>
      <c r="G452" s="88" t="b">
        <v>0</v>
      </c>
    </row>
    <row r="453" spans="1:7" ht="15">
      <c r="A453" s="88" t="s">
        <v>564</v>
      </c>
      <c r="B453" s="88">
        <v>16</v>
      </c>
      <c r="C453" s="120">
        <v>0.009626658354999495</v>
      </c>
      <c r="D453" s="88" t="s">
        <v>2227</v>
      </c>
      <c r="E453" s="88" t="b">
        <v>0</v>
      </c>
      <c r="F453" s="88" t="b">
        <v>0</v>
      </c>
      <c r="G453" s="88" t="b">
        <v>0</v>
      </c>
    </row>
    <row r="454" spans="1:7" ht="15">
      <c r="A454" s="88" t="s">
        <v>2327</v>
      </c>
      <c r="B454" s="88">
        <v>16</v>
      </c>
      <c r="C454" s="120">
        <v>0.009626658354999495</v>
      </c>
      <c r="D454" s="88" t="s">
        <v>2227</v>
      </c>
      <c r="E454" s="88" t="b">
        <v>0</v>
      </c>
      <c r="F454" s="88" t="b">
        <v>0</v>
      </c>
      <c r="G454" s="88" t="b">
        <v>0</v>
      </c>
    </row>
    <row r="455" spans="1:7" ht="15">
      <c r="A455" s="88" t="s">
        <v>2328</v>
      </c>
      <c r="B455" s="88">
        <v>16</v>
      </c>
      <c r="C455" s="120">
        <v>0.009626658354999495</v>
      </c>
      <c r="D455" s="88" t="s">
        <v>2227</v>
      </c>
      <c r="E455" s="88" t="b">
        <v>0</v>
      </c>
      <c r="F455" s="88" t="b">
        <v>0</v>
      </c>
      <c r="G455" s="88" t="b">
        <v>0</v>
      </c>
    </row>
    <row r="456" spans="1:7" ht="15">
      <c r="A456" s="88" t="s">
        <v>2329</v>
      </c>
      <c r="B456" s="88">
        <v>16</v>
      </c>
      <c r="C456" s="120">
        <v>0.009626658354999495</v>
      </c>
      <c r="D456" s="88" t="s">
        <v>2227</v>
      </c>
      <c r="E456" s="88" t="b">
        <v>0</v>
      </c>
      <c r="F456" s="88" t="b">
        <v>0</v>
      </c>
      <c r="G456" s="88" t="b">
        <v>0</v>
      </c>
    </row>
    <row r="457" spans="1:7" ht="15">
      <c r="A457" s="88" t="s">
        <v>2330</v>
      </c>
      <c r="B457" s="88">
        <v>16</v>
      </c>
      <c r="C457" s="120">
        <v>0.009626658354999495</v>
      </c>
      <c r="D457" s="88" t="s">
        <v>2227</v>
      </c>
      <c r="E457" s="88" t="b">
        <v>0</v>
      </c>
      <c r="F457" s="88" t="b">
        <v>0</v>
      </c>
      <c r="G457" s="88" t="b">
        <v>0</v>
      </c>
    </row>
    <row r="458" spans="1:7" ht="15">
      <c r="A458" s="88" t="s">
        <v>473</v>
      </c>
      <c r="B458" s="88">
        <v>15</v>
      </c>
      <c r="C458" s="120">
        <v>0.012103062147869397</v>
      </c>
      <c r="D458" s="88" t="s">
        <v>2227</v>
      </c>
      <c r="E458" s="88" t="b">
        <v>0</v>
      </c>
      <c r="F458" s="88" t="b">
        <v>0</v>
      </c>
      <c r="G458" s="88" t="b">
        <v>0</v>
      </c>
    </row>
    <row r="459" spans="1:7" ht="15">
      <c r="A459" s="88" t="s">
        <v>2335</v>
      </c>
      <c r="B459" s="88">
        <v>12</v>
      </c>
      <c r="C459" s="120">
        <v>0.009110617775454664</v>
      </c>
      <c r="D459" s="88" t="s">
        <v>2227</v>
      </c>
      <c r="E459" s="88" t="b">
        <v>0</v>
      </c>
      <c r="F459" s="88" t="b">
        <v>0</v>
      </c>
      <c r="G459" s="88" t="b">
        <v>0</v>
      </c>
    </row>
    <row r="460" spans="1:7" ht="15">
      <c r="A460" s="88" t="s">
        <v>2336</v>
      </c>
      <c r="B460" s="88">
        <v>11</v>
      </c>
      <c r="C460" s="120">
        <v>0.008875578908437558</v>
      </c>
      <c r="D460" s="88" t="s">
        <v>2227</v>
      </c>
      <c r="E460" s="88" t="b">
        <v>0</v>
      </c>
      <c r="F460" s="88" t="b">
        <v>0</v>
      </c>
      <c r="G460" s="88" t="b">
        <v>0</v>
      </c>
    </row>
    <row r="461" spans="1:7" ht="15">
      <c r="A461" s="88" t="s">
        <v>567</v>
      </c>
      <c r="B461" s="88">
        <v>11</v>
      </c>
      <c r="C461" s="120">
        <v>0.008875578908437558</v>
      </c>
      <c r="D461" s="88" t="s">
        <v>2227</v>
      </c>
      <c r="E461" s="88" t="b">
        <v>0</v>
      </c>
      <c r="F461" s="88" t="b">
        <v>0</v>
      </c>
      <c r="G461" s="88" t="b">
        <v>0</v>
      </c>
    </row>
    <row r="462" spans="1:7" ht="15">
      <c r="A462" s="88" t="s">
        <v>2337</v>
      </c>
      <c r="B462" s="88">
        <v>11</v>
      </c>
      <c r="C462" s="120">
        <v>0.008875578908437558</v>
      </c>
      <c r="D462" s="88" t="s">
        <v>2227</v>
      </c>
      <c r="E462" s="88" t="b">
        <v>0</v>
      </c>
      <c r="F462" s="88" t="b">
        <v>0</v>
      </c>
      <c r="G462" s="88" t="b">
        <v>0</v>
      </c>
    </row>
    <row r="463" spans="1:7" ht="15">
      <c r="A463" s="88" t="s">
        <v>2341</v>
      </c>
      <c r="B463" s="88">
        <v>10</v>
      </c>
      <c r="C463" s="120">
        <v>0.008590683951772852</v>
      </c>
      <c r="D463" s="88" t="s">
        <v>2227</v>
      </c>
      <c r="E463" s="88" t="b">
        <v>0</v>
      </c>
      <c r="F463" s="88" t="b">
        <v>0</v>
      </c>
      <c r="G463" s="88" t="b">
        <v>0</v>
      </c>
    </row>
    <row r="464" spans="1:7" ht="15">
      <c r="A464" s="88" t="s">
        <v>569</v>
      </c>
      <c r="B464" s="88">
        <v>9</v>
      </c>
      <c r="C464" s="120">
        <v>0.00825093133849478</v>
      </c>
      <c r="D464" s="88" t="s">
        <v>2227</v>
      </c>
      <c r="E464" s="88" t="b">
        <v>0</v>
      </c>
      <c r="F464" s="88" t="b">
        <v>0</v>
      </c>
      <c r="G464" s="88" t="b">
        <v>0</v>
      </c>
    </row>
    <row r="465" spans="1:7" ht="15">
      <c r="A465" s="88" t="s">
        <v>2344</v>
      </c>
      <c r="B465" s="88">
        <v>9</v>
      </c>
      <c r="C465" s="120">
        <v>0.00825093133849478</v>
      </c>
      <c r="D465" s="88" t="s">
        <v>2227</v>
      </c>
      <c r="E465" s="88" t="b">
        <v>0</v>
      </c>
      <c r="F465" s="88" t="b">
        <v>0</v>
      </c>
      <c r="G465" s="88" t="b">
        <v>0</v>
      </c>
    </row>
    <row r="466" spans="1:7" ht="15">
      <c r="A466" s="88" t="s">
        <v>2345</v>
      </c>
      <c r="B466" s="88">
        <v>9</v>
      </c>
      <c r="C466" s="120">
        <v>0.00825093133849478</v>
      </c>
      <c r="D466" s="88" t="s">
        <v>2227</v>
      </c>
      <c r="E466" s="88" t="b">
        <v>0</v>
      </c>
      <c r="F466" s="88" t="b">
        <v>0</v>
      </c>
      <c r="G466" s="88" t="b">
        <v>0</v>
      </c>
    </row>
    <row r="467" spans="1:7" ht="15">
      <c r="A467" s="88" t="s">
        <v>2346</v>
      </c>
      <c r="B467" s="88">
        <v>9</v>
      </c>
      <c r="C467" s="120">
        <v>0.00825093133849478</v>
      </c>
      <c r="D467" s="88" t="s">
        <v>2227</v>
      </c>
      <c r="E467" s="88" t="b">
        <v>0</v>
      </c>
      <c r="F467" s="88" t="b">
        <v>0</v>
      </c>
      <c r="G467" s="88" t="b">
        <v>0</v>
      </c>
    </row>
    <row r="468" spans="1:7" ht="15">
      <c r="A468" s="88" t="s">
        <v>568</v>
      </c>
      <c r="B468" s="88">
        <v>9</v>
      </c>
      <c r="C468" s="120">
        <v>0.008831476990482715</v>
      </c>
      <c r="D468" s="88" t="s">
        <v>2227</v>
      </c>
      <c r="E468" s="88" t="b">
        <v>0</v>
      </c>
      <c r="F468" s="88" t="b">
        <v>0</v>
      </c>
      <c r="G468" s="88" t="b">
        <v>0</v>
      </c>
    </row>
    <row r="469" spans="1:7" ht="15">
      <c r="A469" s="88" t="s">
        <v>475</v>
      </c>
      <c r="B469" s="88">
        <v>8</v>
      </c>
      <c r="C469" s="120">
        <v>0.007850201769317968</v>
      </c>
      <c r="D469" s="88" t="s">
        <v>2227</v>
      </c>
      <c r="E469" s="88" t="b">
        <v>0</v>
      </c>
      <c r="F469" s="88" t="b">
        <v>0</v>
      </c>
      <c r="G469" s="88" t="b">
        <v>0</v>
      </c>
    </row>
    <row r="470" spans="1:7" ht="15">
      <c r="A470" s="88" t="s">
        <v>2373</v>
      </c>
      <c r="B470" s="88">
        <v>8</v>
      </c>
      <c r="C470" s="120">
        <v>0.007850201769317968</v>
      </c>
      <c r="D470" s="88" t="s">
        <v>2227</v>
      </c>
      <c r="E470" s="88" t="b">
        <v>0</v>
      </c>
      <c r="F470" s="88" t="b">
        <v>0</v>
      </c>
      <c r="G470" s="88" t="b">
        <v>0</v>
      </c>
    </row>
    <row r="471" spans="1:7" ht="15">
      <c r="A471" s="88" t="s">
        <v>2374</v>
      </c>
      <c r="B471" s="88">
        <v>8</v>
      </c>
      <c r="C471" s="120">
        <v>0.007850201769317968</v>
      </c>
      <c r="D471" s="88" t="s">
        <v>2227</v>
      </c>
      <c r="E471" s="88" t="b">
        <v>0</v>
      </c>
      <c r="F471" s="88" t="b">
        <v>0</v>
      </c>
      <c r="G471" s="88" t="b">
        <v>0</v>
      </c>
    </row>
    <row r="472" spans="1:7" ht="15">
      <c r="A472" s="88" t="s">
        <v>2375</v>
      </c>
      <c r="B472" s="88">
        <v>8</v>
      </c>
      <c r="C472" s="120">
        <v>0.007850201769317968</v>
      </c>
      <c r="D472" s="88" t="s">
        <v>2227</v>
      </c>
      <c r="E472" s="88" t="b">
        <v>0</v>
      </c>
      <c r="F472" s="88" t="b">
        <v>0</v>
      </c>
      <c r="G472" s="88" t="b">
        <v>0</v>
      </c>
    </row>
    <row r="473" spans="1:7" ht="15">
      <c r="A473" s="88" t="s">
        <v>2376</v>
      </c>
      <c r="B473" s="88">
        <v>8</v>
      </c>
      <c r="C473" s="120">
        <v>0.007850201769317968</v>
      </c>
      <c r="D473" s="88" t="s">
        <v>2227</v>
      </c>
      <c r="E473" s="88" t="b">
        <v>0</v>
      </c>
      <c r="F473" s="88" t="b">
        <v>0</v>
      </c>
      <c r="G473" s="88" t="b">
        <v>0</v>
      </c>
    </row>
    <row r="474" spans="1:7" ht="15">
      <c r="A474" s="88" t="s">
        <v>2389</v>
      </c>
      <c r="B474" s="88">
        <v>7</v>
      </c>
      <c r="C474" s="120">
        <v>0.007380835285661177</v>
      </c>
      <c r="D474" s="88" t="s">
        <v>2227</v>
      </c>
      <c r="E474" s="88" t="b">
        <v>0</v>
      </c>
      <c r="F474" s="88" t="b">
        <v>0</v>
      </c>
      <c r="G474" s="88" t="b">
        <v>0</v>
      </c>
    </row>
    <row r="475" spans="1:7" ht="15">
      <c r="A475" s="88" t="s">
        <v>2465</v>
      </c>
      <c r="B475" s="88">
        <v>4</v>
      </c>
      <c r="C475" s="120">
        <v>0.005443537180568095</v>
      </c>
      <c r="D475" s="88" t="s">
        <v>2227</v>
      </c>
      <c r="E475" s="88" t="b">
        <v>0</v>
      </c>
      <c r="F475" s="88" t="b">
        <v>0</v>
      </c>
      <c r="G475" s="88" t="b">
        <v>0</v>
      </c>
    </row>
    <row r="476" spans="1:7" ht="15">
      <c r="A476" s="88" t="s">
        <v>2466</v>
      </c>
      <c r="B476" s="88">
        <v>4</v>
      </c>
      <c r="C476" s="120">
        <v>0.005443537180568095</v>
      </c>
      <c r="D476" s="88" t="s">
        <v>2227</v>
      </c>
      <c r="E476" s="88" t="b">
        <v>0</v>
      </c>
      <c r="F476" s="88" t="b">
        <v>0</v>
      </c>
      <c r="G476" s="88" t="b">
        <v>0</v>
      </c>
    </row>
    <row r="477" spans="1:7" ht="15">
      <c r="A477" s="88" t="s">
        <v>539</v>
      </c>
      <c r="B477" s="88">
        <v>4</v>
      </c>
      <c r="C477" s="120">
        <v>0.005443537180568095</v>
      </c>
      <c r="D477" s="88" t="s">
        <v>2227</v>
      </c>
      <c r="E477" s="88" t="b">
        <v>0</v>
      </c>
      <c r="F477" s="88" t="b">
        <v>0</v>
      </c>
      <c r="G477" s="88" t="b">
        <v>0</v>
      </c>
    </row>
    <row r="478" spans="1:7" ht="15">
      <c r="A478" s="88" t="s">
        <v>2467</v>
      </c>
      <c r="B478" s="88">
        <v>4</v>
      </c>
      <c r="C478" s="120">
        <v>0.005443537180568095</v>
      </c>
      <c r="D478" s="88" t="s">
        <v>2227</v>
      </c>
      <c r="E478" s="88" t="b">
        <v>0</v>
      </c>
      <c r="F478" s="88" t="b">
        <v>0</v>
      </c>
      <c r="G478" s="88" t="b">
        <v>0</v>
      </c>
    </row>
    <row r="479" spans="1:7" ht="15">
      <c r="A479" s="88" t="s">
        <v>2519</v>
      </c>
      <c r="B479" s="88">
        <v>3</v>
      </c>
      <c r="C479" s="120">
        <v>0.004555308887727332</v>
      </c>
      <c r="D479" s="88" t="s">
        <v>2227</v>
      </c>
      <c r="E479" s="88" t="b">
        <v>0</v>
      </c>
      <c r="F479" s="88" t="b">
        <v>0</v>
      </c>
      <c r="G479" s="88" t="b">
        <v>0</v>
      </c>
    </row>
    <row r="480" spans="1:7" ht="15">
      <c r="A480" s="88" t="s">
        <v>2518</v>
      </c>
      <c r="B480" s="88">
        <v>3</v>
      </c>
      <c r="C480" s="120">
        <v>0.004555308887727332</v>
      </c>
      <c r="D480" s="88" t="s">
        <v>2227</v>
      </c>
      <c r="E480" s="88" t="b">
        <v>0</v>
      </c>
      <c r="F480" s="88" t="b">
        <v>0</v>
      </c>
      <c r="G480" s="88" t="b">
        <v>0</v>
      </c>
    </row>
    <row r="481" spans="1:7" ht="15">
      <c r="A481" s="88" t="s">
        <v>550</v>
      </c>
      <c r="B481" s="88">
        <v>3</v>
      </c>
      <c r="C481" s="120">
        <v>0.0052214801073579035</v>
      </c>
      <c r="D481" s="88" t="s">
        <v>2227</v>
      </c>
      <c r="E481" s="88" t="b">
        <v>0</v>
      </c>
      <c r="F481" s="88" t="b">
        <v>0</v>
      </c>
      <c r="G481" s="88" t="b">
        <v>0</v>
      </c>
    </row>
    <row r="482" spans="1:7" ht="15">
      <c r="A482" s="88" t="s">
        <v>2508</v>
      </c>
      <c r="B482" s="88">
        <v>3</v>
      </c>
      <c r="C482" s="120">
        <v>0.004555308887727332</v>
      </c>
      <c r="D482" s="88" t="s">
        <v>2227</v>
      </c>
      <c r="E482" s="88" t="b">
        <v>0</v>
      </c>
      <c r="F482" s="88" t="b">
        <v>0</v>
      </c>
      <c r="G482" s="88" t="b">
        <v>0</v>
      </c>
    </row>
    <row r="483" spans="1:7" ht="15">
      <c r="A483" s="88" t="s">
        <v>2509</v>
      </c>
      <c r="B483" s="88">
        <v>3</v>
      </c>
      <c r="C483" s="120">
        <v>0.004555308887727332</v>
      </c>
      <c r="D483" s="88" t="s">
        <v>2227</v>
      </c>
      <c r="E483" s="88" t="b">
        <v>0</v>
      </c>
      <c r="F483" s="88" t="b">
        <v>0</v>
      </c>
      <c r="G483" s="88" t="b">
        <v>0</v>
      </c>
    </row>
    <row r="484" spans="1:7" ht="15">
      <c r="A484" s="88" t="s">
        <v>2510</v>
      </c>
      <c r="B484" s="88">
        <v>3</v>
      </c>
      <c r="C484" s="120">
        <v>0.004555308887727332</v>
      </c>
      <c r="D484" s="88" t="s">
        <v>2227</v>
      </c>
      <c r="E484" s="88" t="b">
        <v>0</v>
      </c>
      <c r="F484" s="88" t="b">
        <v>0</v>
      </c>
      <c r="G484" s="88" t="b">
        <v>0</v>
      </c>
    </row>
    <row r="485" spans="1:7" ht="15">
      <c r="A485" s="88" t="s">
        <v>2511</v>
      </c>
      <c r="B485" s="88">
        <v>3</v>
      </c>
      <c r="C485" s="120">
        <v>0.004555308887727332</v>
      </c>
      <c r="D485" s="88" t="s">
        <v>2227</v>
      </c>
      <c r="E485" s="88" t="b">
        <v>0</v>
      </c>
      <c r="F485" s="88" t="b">
        <v>0</v>
      </c>
      <c r="G485" s="88" t="b">
        <v>0</v>
      </c>
    </row>
    <row r="486" spans="1:7" ht="15">
      <c r="A486" s="88" t="s">
        <v>2512</v>
      </c>
      <c r="B486" s="88">
        <v>3</v>
      </c>
      <c r="C486" s="120">
        <v>0.004555308887727332</v>
      </c>
      <c r="D486" s="88" t="s">
        <v>2227</v>
      </c>
      <c r="E486" s="88" t="b">
        <v>0</v>
      </c>
      <c r="F486" s="88" t="b">
        <v>0</v>
      </c>
      <c r="G486" s="88" t="b">
        <v>0</v>
      </c>
    </row>
    <row r="487" spans="1:7" ht="15">
      <c r="A487" s="88" t="s">
        <v>2513</v>
      </c>
      <c r="B487" s="88">
        <v>3</v>
      </c>
      <c r="C487" s="120">
        <v>0.004555308887727332</v>
      </c>
      <c r="D487" s="88" t="s">
        <v>2227</v>
      </c>
      <c r="E487" s="88" t="b">
        <v>0</v>
      </c>
      <c r="F487" s="88" t="b">
        <v>0</v>
      </c>
      <c r="G487" s="88" t="b">
        <v>0</v>
      </c>
    </row>
    <row r="488" spans="1:7" ht="15">
      <c r="A488" s="88" t="s">
        <v>2514</v>
      </c>
      <c r="B488" s="88">
        <v>3</v>
      </c>
      <c r="C488" s="120">
        <v>0.004555308887727332</v>
      </c>
      <c r="D488" s="88" t="s">
        <v>2227</v>
      </c>
      <c r="E488" s="88" t="b">
        <v>0</v>
      </c>
      <c r="F488" s="88" t="b">
        <v>0</v>
      </c>
      <c r="G488" s="88" t="b">
        <v>0</v>
      </c>
    </row>
    <row r="489" spans="1:7" ht="15">
      <c r="A489" s="88" t="s">
        <v>2515</v>
      </c>
      <c r="B489" s="88">
        <v>3</v>
      </c>
      <c r="C489" s="120">
        <v>0.004555308887727332</v>
      </c>
      <c r="D489" s="88" t="s">
        <v>2227</v>
      </c>
      <c r="E489" s="88" t="b">
        <v>0</v>
      </c>
      <c r="F489" s="88" t="b">
        <v>0</v>
      </c>
      <c r="G489" s="88" t="b">
        <v>0</v>
      </c>
    </row>
    <row r="490" spans="1:7" ht="15">
      <c r="A490" s="88" t="s">
        <v>2516</v>
      </c>
      <c r="B490" s="88">
        <v>3</v>
      </c>
      <c r="C490" s="120">
        <v>0.004555308887727332</v>
      </c>
      <c r="D490" s="88" t="s">
        <v>2227</v>
      </c>
      <c r="E490" s="88" t="b">
        <v>0</v>
      </c>
      <c r="F490" s="88" t="b">
        <v>0</v>
      </c>
      <c r="G490" s="88" t="b">
        <v>0</v>
      </c>
    </row>
    <row r="491" spans="1:7" ht="15">
      <c r="A491" s="88" t="s">
        <v>2507</v>
      </c>
      <c r="B491" s="88">
        <v>3</v>
      </c>
      <c r="C491" s="120">
        <v>0.004555308887727332</v>
      </c>
      <c r="D491" s="88" t="s">
        <v>2227</v>
      </c>
      <c r="E491" s="88" t="b">
        <v>0</v>
      </c>
      <c r="F491" s="88" t="b">
        <v>0</v>
      </c>
      <c r="G491" s="88" t="b">
        <v>0</v>
      </c>
    </row>
    <row r="492" spans="1:7" ht="15">
      <c r="A492" s="88" t="s">
        <v>2517</v>
      </c>
      <c r="B492" s="88">
        <v>3</v>
      </c>
      <c r="C492" s="120">
        <v>0.004555308887727332</v>
      </c>
      <c r="D492" s="88" t="s">
        <v>2227</v>
      </c>
      <c r="E492" s="88" t="b">
        <v>0</v>
      </c>
      <c r="F492" s="88" t="b">
        <v>0</v>
      </c>
      <c r="G492" s="88" t="b">
        <v>0</v>
      </c>
    </row>
    <row r="493" spans="1:7" ht="15">
      <c r="A493" s="88" t="s">
        <v>2277</v>
      </c>
      <c r="B493" s="88">
        <v>3</v>
      </c>
      <c r="C493" s="120">
        <v>0.004555308887727332</v>
      </c>
      <c r="D493" s="88" t="s">
        <v>2227</v>
      </c>
      <c r="E493" s="88" t="b">
        <v>0</v>
      </c>
      <c r="F493" s="88" t="b">
        <v>0</v>
      </c>
      <c r="G493" s="88" t="b">
        <v>0</v>
      </c>
    </row>
    <row r="494" spans="1:7" ht="15">
      <c r="A494" s="88" t="s">
        <v>2607</v>
      </c>
      <c r="B494" s="88">
        <v>2</v>
      </c>
      <c r="C494" s="120">
        <v>0.0034809867382386028</v>
      </c>
      <c r="D494" s="88" t="s">
        <v>2227</v>
      </c>
      <c r="E494" s="88" t="b">
        <v>0</v>
      </c>
      <c r="F494" s="88" t="b">
        <v>0</v>
      </c>
      <c r="G494" s="88" t="b">
        <v>0</v>
      </c>
    </row>
    <row r="495" spans="1:7" ht="15">
      <c r="A495" s="88" t="s">
        <v>2608</v>
      </c>
      <c r="B495" s="88">
        <v>2</v>
      </c>
      <c r="C495" s="120">
        <v>0.0034809867382386028</v>
      </c>
      <c r="D495" s="88" t="s">
        <v>2227</v>
      </c>
      <c r="E495" s="88" t="b">
        <v>0</v>
      </c>
      <c r="F495" s="88" t="b">
        <v>0</v>
      </c>
      <c r="G495" s="88" t="b">
        <v>0</v>
      </c>
    </row>
    <row r="496" spans="1:7" ht="15">
      <c r="A496" s="88" t="s">
        <v>2606</v>
      </c>
      <c r="B496" s="88">
        <v>2</v>
      </c>
      <c r="C496" s="120">
        <v>0.004240204886193158</v>
      </c>
      <c r="D496" s="88" t="s">
        <v>2227</v>
      </c>
      <c r="E496" s="88" t="b">
        <v>0</v>
      </c>
      <c r="F496" s="88" t="b">
        <v>0</v>
      </c>
      <c r="G496" s="88" t="b">
        <v>0</v>
      </c>
    </row>
    <row r="497" spans="1:7" ht="15">
      <c r="A497" s="88" t="s">
        <v>2595</v>
      </c>
      <c r="B497" s="88">
        <v>2</v>
      </c>
      <c r="C497" s="120">
        <v>0.0034809867382386028</v>
      </c>
      <c r="D497" s="88" t="s">
        <v>2227</v>
      </c>
      <c r="E497" s="88" t="b">
        <v>0</v>
      </c>
      <c r="F497" s="88" t="b">
        <v>0</v>
      </c>
      <c r="G497" s="88" t="b">
        <v>0</v>
      </c>
    </row>
    <row r="498" spans="1:7" ht="15">
      <c r="A498" s="88" t="s">
        <v>549</v>
      </c>
      <c r="B498" s="88">
        <v>2</v>
      </c>
      <c r="C498" s="120">
        <v>0.0034809867382386028</v>
      </c>
      <c r="D498" s="88" t="s">
        <v>2227</v>
      </c>
      <c r="E498" s="88" t="b">
        <v>0</v>
      </c>
      <c r="F498" s="88" t="b">
        <v>0</v>
      </c>
      <c r="G498" s="88" t="b">
        <v>0</v>
      </c>
    </row>
    <row r="499" spans="1:7" ht="15">
      <c r="A499" s="88" t="s">
        <v>2598</v>
      </c>
      <c r="B499" s="88">
        <v>2</v>
      </c>
      <c r="C499" s="120">
        <v>0.0034809867382386028</v>
      </c>
      <c r="D499" s="88" t="s">
        <v>2227</v>
      </c>
      <c r="E499" s="88" t="b">
        <v>0</v>
      </c>
      <c r="F499" s="88" t="b">
        <v>0</v>
      </c>
      <c r="G499" s="88" t="b">
        <v>0</v>
      </c>
    </row>
    <row r="500" spans="1:7" ht="15">
      <c r="A500" s="88" t="s">
        <v>2599</v>
      </c>
      <c r="B500" s="88">
        <v>2</v>
      </c>
      <c r="C500" s="120">
        <v>0.0034809867382386028</v>
      </c>
      <c r="D500" s="88" t="s">
        <v>2227</v>
      </c>
      <c r="E500" s="88" t="b">
        <v>0</v>
      </c>
      <c r="F500" s="88" t="b">
        <v>0</v>
      </c>
      <c r="G500" s="88" t="b">
        <v>0</v>
      </c>
    </row>
    <row r="501" spans="1:7" ht="15">
      <c r="A501" s="88" t="s">
        <v>2600</v>
      </c>
      <c r="B501" s="88">
        <v>2</v>
      </c>
      <c r="C501" s="120">
        <v>0.0034809867382386028</v>
      </c>
      <c r="D501" s="88" t="s">
        <v>2227</v>
      </c>
      <c r="E501" s="88" t="b">
        <v>0</v>
      </c>
      <c r="F501" s="88" t="b">
        <v>0</v>
      </c>
      <c r="G501" s="88" t="b">
        <v>0</v>
      </c>
    </row>
    <row r="502" spans="1:7" ht="15">
      <c r="A502" s="88" t="s">
        <v>2601</v>
      </c>
      <c r="B502" s="88">
        <v>2</v>
      </c>
      <c r="C502" s="120">
        <v>0.0034809867382386028</v>
      </c>
      <c r="D502" s="88" t="s">
        <v>2227</v>
      </c>
      <c r="E502" s="88" t="b">
        <v>0</v>
      </c>
      <c r="F502" s="88" t="b">
        <v>0</v>
      </c>
      <c r="G502" s="88" t="b">
        <v>0</v>
      </c>
    </row>
    <row r="503" spans="1:7" ht="15">
      <c r="A503" s="88" t="s">
        <v>2602</v>
      </c>
      <c r="B503" s="88">
        <v>2</v>
      </c>
      <c r="C503" s="120">
        <v>0.0034809867382386028</v>
      </c>
      <c r="D503" s="88" t="s">
        <v>2227</v>
      </c>
      <c r="E503" s="88" t="b">
        <v>0</v>
      </c>
      <c r="F503" s="88" t="b">
        <v>0</v>
      </c>
      <c r="G503" s="88" t="b">
        <v>0</v>
      </c>
    </row>
    <row r="504" spans="1:7" ht="15">
      <c r="A504" s="88" t="s">
        <v>2603</v>
      </c>
      <c r="B504" s="88">
        <v>2</v>
      </c>
      <c r="C504" s="120">
        <v>0.0034809867382386028</v>
      </c>
      <c r="D504" s="88" t="s">
        <v>2227</v>
      </c>
      <c r="E504" s="88" t="b">
        <v>0</v>
      </c>
      <c r="F504" s="88" t="b">
        <v>0</v>
      </c>
      <c r="G504" s="88" t="b">
        <v>0</v>
      </c>
    </row>
    <row r="505" spans="1:7" ht="15">
      <c r="A505" s="88" t="s">
        <v>2604</v>
      </c>
      <c r="B505" s="88">
        <v>2</v>
      </c>
      <c r="C505" s="120">
        <v>0.0034809867382386028</v>
      </c>
      <c r="D505" s="88" t="s">
        <v>2227</v>
      </c>
      <c r="E505" s="88" t="b">
        <v>0</v>
      </c>
      <c r="F505" s="88" t="b">
        <v>0</v>
      </c>
      <c r="G505" s="88" t="b">
        <v>0</v>
      </c>
    </row>
    <row r="506" spans="1:7" ht="15">
      <c r="A506" s="88" t="s">
        <v>1806</v>
      </c>
      <c r="B506" s="88">
        <v>2</v>
      </c>
      <c r="C506" s="120">
        <v>0.0034809867382386028</v>
      </c>
      <c r="D506" s="88" t="s">
        <v>2227</v>
      </c>
      <c r="E506" s="88" t="b">
        <v>0</v>
      </c>
      <c r="F506" s="88" t="b">
        <v>0</v>
      </c>
      <c r="G506" s="88" t="b">
        <v>0</v>
      </c>
    </row>
    <row r="507" spans="1:7" ht="15">
      <c r="A507" s="88" t="s">
        <v>548</v>
      </c>
      <c r="B507" s="88">
        <v>2</v>
      </c>
      <c r="C507" s="120">
        <v>0.0034809867382386028</v>
      </c>
      <c r="D507" s="88" t="s">
        <v>2227</v>
      </c>
      <c r="E507" s="88" t="b">
        <v>0</v>
      </c>
      <c r="F507" s="88" t="b">
        <v>0</v>
      </c>
      <c r="G507" s="88" t="b">
        <v>0</v>
      </c>
    </row>
    <row r="508" spans="1:7" ht="15">
      <c r="A508" s="88" t="s">
        <v>2388</v>
      </c>
      <c r="B508" s="88">
        <v>2</v>
      </c>
      <c r="C508" s="120">
        <v>0.0034809867382386028</v>
      </c>
      <c r="D508" s="88" t="s">
        <v>2227</v>
      </c>
      <c r="E508" s="88" t="b">
        <v>0</v>
      </c>
      <c r="F508" s="88" t="b">
        <v>0</v>
      </c>
      <c r="G508" s="88" t="b">
        <v>0</v>
      </c>
    </row>
    <row r="509" spans="1:7" ht="15">
      <c r="A509" s="88" t="s">
        <v>2605</v>
      </c>
      <c r="B509" s="88">
        <v>2</v>
      </c>
      <c r="C509" s="120">
        <v>0.0034809867382386028</v>
      </c>
      <c r="D509" s="88" t="s">
        <v>2227</v>
      </c>
      <c r="E509" s="88" t="b">
        <v>0</v>
      </c>
      <c r="F509" s="88" t="b">
        <v>0</v>
      </c>
      <c r="G509" s="88" t="b">
        <v>0</v>
      </c>
    </row>
    <row r="510" spans="1:7" ht="15">
      <c r="A510" s="88" t="s">
        <v>2597</v>
      </c>
      <c r="B510" s="88">
        <v>2</v>
      </c>
      <c r="C510" s="120">
        <v>0.0034809867382386028</v>
      </c>
      <c r="D510" s="88" t="s">
        <v>2227</v>
      </c>
      <c r="E510" s="88" t="b">
        <v>0</v>
      </c>
      <c r="F510" s="88" t="b">
        <v>0</v>
      </c>
      <c r="G510" s="88" t="b">
        <v>0</v>
      </c>
    </row>
    <row r="511" spans="1:7" ht="15">
      <c r="A511" s="88" t="s">
        <v>554</v>
      </c>
      <c r="B511" s="88">
        <v>2</v>
      </c>
      <c r="C511" s="120">
        <v>0.0034809867382386028</v>
      </c>
      <c r="D511" s="88" t="s">
        <v>2227</v>
      </c>
      <c r="E511" s="88" t="b">
        <v>0</v>
      </c>
      <c r="F511" s="88" t="b">
        <v>0</v>
      </c>
      <c r="G511" s="88" t="b">
        <v>0</v>
      </c>
    </row>
    <row r="512" spans="1:7" ht="15">
      <c r="A512" s="88" t="s">
        <v>557</v>
      </c>
      <c r="B512" s="88">
        <v>2</v>
      </c>
      <c r="C512" s="120">
        <v>0.0034809867382386028</v>
      </c>
      <c r="D512" s="88" t="s">
        <v>2227</v>
      </c>
      <c r="E512" s="88" t="b">
        <v>0</v>
      </c>
      <c r="F512" s="88" t="b">
        <v>0</v>
      </c>
      <c r="G512" s="88" t="b">
        <v>0</v>
      </c>
    </row>
    <row r="513" spans="1:7" ht="15">
      <c r="A513" s="88" t="s">
        <v>556</v>
      </c>
      <c r="B513" s="88">
        <v>2</v>
      </c>
      <c r="C513" s="120">
        <v>0.0034809867382386028</v>
      </c>
      <c r="D513" s="88" t="s">
        <v>2227</v>
      </c>
      <c r="E513" s="88" t="b">
        <v>0</v>
      </c>
      <c r="F513" s="88" t="b">
        <v>0</v>
      </c>
      <c r="G513" s="88" t="b">
        <v>0</v>
      </c>
    </row>
    <row r="514" spans="1:7" ht="15">
      <c r="A514" s="88" t="s">
        <v>555</v>
      </c>
      <c r="B514" s="88">
        <v>2</v>
      </c>
      <c r="C514" s="120">
        <v>0.0034809867382386028</v>
      </c>
      <c r="D514" s="88" t="s">
        <v>2227</v>
      </c>
      <c r="E514" s="88" t="b">
        <v>0</v>
      </c>
      <c r="F514" s="88" t="b">
        <v>0</v>
      </c>
      <c r="G514" s="88" t="b">
        <v>0</v>
      </c>
    </row>
    <row r="515" spans="1:7" ht="15">
      <c r="A515" s="88" t="s">
        <v>563</v>
      </c>
      <c r="B515" s="88">
        <v>2</v>
      </c>
      <c r="C515" s="120">
        <v>0.0034809867382386028</v>
      </c>
      <c r="D515" s="88" t="s">
        <v>2227</v>
      </c>
      <c r="E515" s="88" t="b">
        <v>0</v>
      </c>
      <c r="F515" s="88" t="b">
        <v>0</v>
      </c>
      <c r="G515" s="88" t="b">
        <v>0</v>
      </c>
    </row>
    <row r="516" spans="1:7" ht="15">
      <c r="A516" s="88" t="s">
        <v>2596</v>
      </c>
      <c r="B516" s="88">
        <v>2</v>
      </c>
      <c r="C516" s="120">
        <v>0.0034809867382386028</v>
      </c>
      <c r="D516" s="88" t="s">
        <v>2227</v>
      </c>
      <c r="E516" s="88" t="b">
        <v>0</v>
      </c>
      <c r="F516" s="88" t="b">
        <v>0</v>
      </c>
      <c r="G516" s="88" t="b">
        <v>0</v>
      </c>
    </row>
    <row r="517" spans="1:7" ht="15">
      <c r="A517" s="88" t="s">
        <v>565</v>
      </c>
      <c r="B517" s="88">
        <v>2</v>
      </c>
      <c r="C517" s="120">
        <v>0.0034809867382386028</v>
      </c>
      <c r="D517" s="88" t="s">
        <v>2227</v>
      </c>
      <c r="E517" s="88" t="b">
        <v>0</v>
      </c>
      <c r="F517" s="88" t="b">
        <v>0</v>
      </c>
      <c r="G517" s="88" t="b">
        <v>0</v>
      </c>
    </row>
    <row r="518" spans="1:7" ht="15">
      <c r="A518" s="88" t="s">
        <v>474</v>
      </c>
      <c r="B518" s="88">
        <v>2</v>
      </c>
      <c r="C518" s="120">
        <v>0.0034809867382386028</v>
      </c>
      <c r="D518" s="88" t="s">
        <v>2227</v>
      </c>
      <c r="E518" s="88" t="b">
        <v>0</v>
      </c>
      <c r="F518" s="88" t="b">
        <v>0</v>
      </c>
      <c r="G518" s="88" t="b">
        <v>0</v>
      </c>
    </row>
    <row r="519" spans="1:7" ht="15">
      <c r="A519" s="88" t="s">
        <v>2594</v>
      </c>
      <c r="B519" s="88">
        <v>2</v>
      </c>
      <c r="C519" s="120">
        <v>0.0034809867382386028</v>
      </c>
      <c r="D519" s="88" t="s">
        <v>2227</v>
      </c>
      <c r="E519" s="88" t="b">
        <v>0</v>
      </c>
      <c r="F519" s="88" t="b">
        <v>0</v>
      </c>
      <c r="G519" s="88" t="b">
        <v>0</v>
      </c>
    </row>
    <row r="520" spans="1:7" ht="15">
      <c r="A520" s="88" t="s">
        <v>1999</v>
      </c>
      <c r="B520" s="88">
        <v>2</v>
      </c>
      <c r="C520" s="120">
        <v>0.004240204886193158</v>
      </c>
      <c r="D520" s="88" t="s">
        <v>2227</v>
      </c>
      <c r="E520" s="88" t="b">
        <v>0</v>
      </c>
      <c r="F520" s="88" t="b">
        <v>0</v>
      </c>
      <c r="G520" s="88" t="b">
        <v>0</v>
      </c>
    </row>
    <row r="521" spans="1:7" ht="15">
      <c r="A521" s="88" t="s">
        <v>699</v>
      </c>
      <c r="B521" s="88">
        <v>76</v>
      </c>
      <c r="C521" s="120">
        <v>0.003686822240360342</v>
      </c>
      <c r="D521" s="88" t="s">
        <v>2228</v>
      </c>
      <c r="E521" s="88" t="b">
        <v>0</v>
      </c>
      <c r="F521" s="88" t="b">
        <v>0</v>
      </c>
      <c r="G521" s="88" t="b">
        <v>0</v>
      </c>
    </row>
    <row r="522" spans="1:7" ht="15">
      <c r="A522" s="88" t="s">
        <v>2272</v>
      </c>
      <c r="B522" s="88">
        <v>76</v>
      </c>
      <c r="C522" s="120">
        <v>0.003686822240360342</v>
      </c>
      <c r="D522" s="88" t="s">
        <v>2228</v>
      </c>
      <c r="E522" s="88" t="b">
        <v>1</v>
      </c>
      <c r="F522" s="88" t="b">
        <v>0</v>
      </c>
      <c r="G522" s="88" t="b">
        <v>0</v>
      </c>
    </row>
    <row r="523" spans="1:7" ht="15">
      <c r="A523" s="88" t="s">
        <v>2277</v>
      </c>
      <c r="B523" s="88">
        <v>42</v>
      </c>
      <c r="C523" s="120">
        <v>0</v>
      </c>
      <c r="D523" s="88" t="s">
        <v>2228</v>
      </c>
      <c r="E523" s="88" t="b">
        <v>0</v>
      </c>
      <c r="F523" s="88" t="b">
        <v>0</v>
      </c>
      <c r="G523" s="88" t="b">
        <v>0</v>
      </c>
    </row>
    <row r="524" spans="1:7" ht="15">
      <c r="A524" s="88" t="s">
        <v>2271</v>
      </c>
      <c r="B524" s="88">
        <v>42</v>
      </c>
      <c r="C524" s="120">
        <v>0</v>
      </c>
      <c r="D524" s="88" t="s">
        <v>2228</v>
      </c>
      <c r="E524" s="88" t="b">
        <v>0</v>
      </c>
      <c r="F524" s="88" t="b">
        <v>0</v>
      </c>
      <c r="G524" s="88" t="b">
        <v>0</v>
      </c>
    </row>
    <row r="525" spans="1:7" ht="15">
      <c r="A525" s="88" t="s">
        <v>2278</v>
      </c>
      <c r="B525" s="88">
        <v>38</v>
      </c>
      <c r="C525" s="120">
        <v>0.001843411120180171</v>
      </c>
      <c r="D525" s="88" t="s">
        <v>2228</v>
      </c>
      <c r="E525" s="88" t="b">
        <v>0</v>
      </c>
      <c r="F525" s="88" t="b">
        <v>0</v>
      </c>
      <c r="G525" s="88" t="b">
        <v>0</v>
      </c>
    </row>
    <row r="526" spans="1:7" ht="15">
      <c r="A526" s="88" t="s">
        <v>2279</v>
      </c>
      <c r="B526" s="88">
        <v>38</v>
      </c>
      <c r="C526" s="120">
        <v>0.001843411120180171</v>
      </c>
      <c r="D526" s="88" t="s">
        <v>2228</v>
      </c>
      <c r="E526" s="88" t="b">
        <v>0</v>
      </c>
      <c r="F526" s="88" t="b">
        <v>0</v>
      </c>
      <c r="G526" s="88" t="b">
        <v>0</v>
      </c>
    </row>
    <row r="527" spans="1:7" ht="15">
      <c r="A527" s="88" t="s">
        <v>2280</v>
      </c>
      <c r="B527" s="88">
        <v>38</v>
      </c>
      <c r="C527" s="120">
        <v>0.001843411120180171</v>
      </c>
      <c r="D527" s="88" t="s">
        <v>2228</v>
      </c>
      <c r="E527" s="88" t="b">
        <v>0</v>
      </c>
      <c r="F527" s="88" t="b">
        <v>0</v>
      </c>
      <c r="G527" s="88" t="b">
        <v>0</v>
      </c>
    </row>
    <row r="528" spans="1:7" ht="15">
      <c r="A528" s="88" t="s">
        <v>2281</v>
      </c>
      <c r="B528" s="88">
        <v>38</v>
      </c>
      <c r="C528" s="120">
        <v>0.001843411120180171</v>
      </c>
      <c r="D528" s="88" t="s">
        <v>2228</v>
      </c>
      <c r="E528" s="88" t="b">
        <v>0</v>
      </c>
      <c r="F528" s="88" t="b">
        <v>0</v>
      </c>
      <c r="G528" s="88" t="b">
        <v>0</v>
      </c>
    </row>
    <row r="529" spans="1:7" ht="15">
      <c r="A529" s="88" t="s">
        <v>2276</v>
      </c>
      <c r="B529" s="88">
        <v>38</v>
      </c>
      <c r="C529" s="120">
        <v>0.001843411120180171</v>
      </c>
      <c r="D529" s="88" t="s">
        <v>2228</v>
      </c>
      <c r="E529" s="88" t="b">
        <v>0</v>
      </c>
      <c r="F529" s="88" t="b">
        <v>0</v>
      </c>
      <c r="G529" s="88" t="b">
        <v>0</v>
      </c>
    </row>
    <row r="530" spans="1:7" ht="15">
      <c r="A530" s="88" t="s">
        <v>2282</v>
      </c>
      <c r="B530" s="88">
        <v>38</v>
      </c>
      <c r="C530" s="120">
        <v>0.001843411120180171</v>
      </c>
      <c r="D530" s="88" t="s">
        <v>2228</v>
      </c>
      <c r="E530" s="88" t="b">
        <v>1</v>
      </c>
      <c r="F530" s="88" t="b">
        <v>0</v>
      </c>
      <c r="G530" s="88" t="b">
        <v>0</v>
      </c>
    </row>
    <row r="531" spans="1:7" ht="15">
      <c r="A531" s="88" t="s">
        <v>2283</v>
      </c>
      <c r="B531" s="88">
        <v>38</v>
      </c>
      <c r="C531" s="120">
        <v>0.001843411120180171</v>
      </c>
      <c r="D531" s="88" t="s">
        <v>2228</v>
      </c>
      <c r="E531" s="88" t="b">
        <v>0</v>
      </c>
      <c r="F531" s="88" t="b">
        <v>0</v>
      </c>
      <c r="G531" s="88" t="b">
        <v>0</v>
      </c>
    </row>
    <row r="532" spans="1:7" ht="15">
      <c r="A532" s="88" t="s">
        <v>2284</v>
      </c>
      <c r="B532" s="88">
        <v>38</v>
      </c>
      <c r="C532" s="120">
        <v>0.001843411120180171</v>
      </c>
      <c r="D532" s="88" t="s">
        <v>2228</v>
      </c>
      <c r="E532" s="88" t="b">
        <v>0</v>
      </c>
      <c r="F532" s="88" t="b">
        <v>0</v>
      </c>
      <c r="G532" s="88" t="b">
        <v>0</v>
      </c>
    </row>
    <row r="533" spans="1:7" ht="15">
      <c r="A533" s="88" t="s">
        <v>2285</v>
      </c>
      <c r="B533" s="88">
        <v>38</v>
      </c>
      <c r="C533" s="120">
        <v>0.001843411120180171</v>
      </c>
      <c r="D533" s="88" t="s">
        <v>2228</v>
      </c>
      <c r="E533" s="88" t="b">
        <v>0</v>
      </c>
      <c r="F533" s="88" t="b">
        <v>0</v>
      </c>
      <c r="G533" s="88" t="b">
        <v>0</v>
      </c>
    </row>
    <row r="534" spans="1:7" ht="15">
      <c r="A534" s="88" t="s">
        <v>2286</v>
      </c>
      <c r="B534" s="88">
        <v>38</v>
      </c>
      <c r="C534" s="120">
        <v>0.001843411120180171</v>
      </c>
      <c r="D534" s="88" t="s">
        <v>2228</v>
      </c>
      <c r="E534" s="88" t="b">
        <v>0</v>
      </c>
      <c r="F534" s="88" t="b">
        <v>0</v>
      </c>
      <c r="G534" s="88" t="b">
        <v>0</v>
      </c>
    </row>
    <row r="535" spans="1:7" ht="15">
      <c r="A535" s="88" t="s">
        <v>2287</v>
      </c>
      <c r="B535" s="88">
        <v>38</v>
      </c>
      <c r="C535" s="120">
        <v>0.001843411120180171</v>
      </c>
      <c r="D535" s="88" t="s">
        <v>2228</v>
      </c>
      <c r="E535" s="88" t="b">
        <v>0</v>
      </c>
      <c r="F535" s="88" t="b">
        <v>0</v>
      </c>
      <c r="G535" s="88" t="b">
        <v>0</v>
      </c>
    </row>
    <row r="536" spans="1:7" ht="15">
      <c r="A536" s="88" t="s">
        <v>2288</v>
      </c>
      <c r="B536" s="88">
        <v>38</v>
      </c>
      <c r="C536" s="120">
        <v>0.001843411120180171</v>
      </c>
      <c r="D536" s="88" t="s">
        <v>2228</v>
      </c>
      <c r="E536" s="88" t="b">
        <v>0</v>
      </c>
      <c r="F536" s="88" t="b">
        <v>0</v>
      </c>
      <c r="G536" s="88" t="b">
        <v>0</v>
      </c>
    </row>
    <row r="537" spans="1:7" ht="15">
      <c r="A537" s="88" t="s">
        <v>2289</v>
      </c>
      <c r="B537" s="88">
        <v>38</v>
      </c>
      <c r="C537" s="120">
        <v>0.001843411120180171</v>
      </c>
      <c r="D537" s="88" t="s">
        <v>2228</v>
      </c>
      <c r="E537" s="88" t="b">
        <v>0</v>
      </c>
      <c r="F537" s="88" t="b">
        <v>0</v>
      </c>
      <c r="G537" s="88" t="b">
        <v>0</v>
      </c>
    </row>
    <row r="538" spans="1:7" ht="15">
      <c r="A538" s="88" t="s">
        <v>2290</v>
      </c>
      <c r="B538" s="88">
        <v>38</v>
      </c>
      <c r="C538" s="120">
        <v>0.001843411120180171</v>
      </c>
      <c r="D538" s="88" t="s">
        <v>2228</v>
      </c>
      <c r="E538" s="88" t="b">
        <v>0</v>
      </c>
      <c r="F538" s="88" t="b">
        <v>0</v>
      </c>
      <c r="G538" s="88" t="b">
        <v>0</v>
      </c>
    </row>
    <row r="539" spans="1:7" ht="15">
      <c r="A539" s="88" t="s">
        <v>513</v>
      </c>
      <c r="B539" s="88">
        <v>38</v>
      </c>
      <c r="C539" s="120">
        <v>0.001843411120180171</v>
      </c>
      <c r="D539" s="88" t="s">
        <v>2228</v>
      </c>
      <c r="E539" s="88" t="b">
        <v>0</v>
      </c>
      <c r="F539" s="88" t="b">
        <v>0</v>
      </c>
      <c r="G539" s="88" t="b">
        <v>0</v>
      </c>
    </row>
    <row r="540" spans="1:7" ht="15">
      <c r="A540" s="88" t="s">
        <v>2291</v>
      </c>
      <c r="B540" s="88">
        <v>38</v>
      </c>
      <c r="C540" s="120">
        <v>0.001843411120180171</v>
      </c>
      <c r="D540" s="88" t="s">
        <v>2228</v>
      </c>
      <c r="E540" s="88" t="b">
        <v>0</v>
      </c>
      <c r="F540" s="88" t="b">
        <v>0</v>
      </c>
      <c r="G540" s="88" t="b">
        <v>0</v>
      </c>
    </row>
    <row r="541" spans="1:7" ht="15">
      <c r="A541" s="88" t="s">
        <v>2377</v>
      </c>
      <c r="B541" s="88">
        <v>8</v>
      </c>
      <c r="C541" s="120">
        <v>0.009117761598838732</v>
      </c>
      <c r="D541" s="88" t="s">
        <v>2228</v>
      </c>
      <c r="E541" s="88" t="b">
        <v>0</v>
      </c>
      <c r="F541" s="88" t="b">
        <v>0</v>
      </c>
      <c r="G541" s="88" t="b">
        <v>0</v>
      </c>
    </row>
    <row r="542" spans="1:7" ht="15">
      <c r="A542" s="88" t="s">
        <v>2468</v>
      </c>
      <c r="B542" s="88">
        <v>4</v>
      </c>
      <c r="C542" s="120">
        <v>0.004558880799419366</v>
      </c>
      <c r="D542" s="88" t="s">
        <v>2228</v>
      </c>
      <c r="E542" s="88" t="b">
        <v>0</v>
      </c>
      <c r="F542" s="88" t="b">
        <v>0</v>
      </c>
      <c r="G542" s="88" t="b">
        <v>0</v>
      </c>
    </row>
    <row r="543" spans="1:7" ht="15">
      <c r="A543" s="88" t="s">
        <v>2469</v>
      </c>
      <c r="B543" s="88">
        <v>4</v>
      </c>
      <c r="C543" s="120">
        <v>0.004558880799419366</v>
      </c>
      <c r="D543" s="88" t="s">
        <v>2228</v>
      </c>
      <c r="E543" s="88" t="b">
        <v>0</v>
      </c>
      <c r="F543" s="88" t="b">
        <v>1</v>
      </c>
      <c r="G543" s="88" t="b">
        <v>0</v>
      </c>
    </row>
    <row r="544" spans="1:7" ht="15">
      <c r="A544" s="88" t="s">
        <v>2296</v>
      </c>
      <c r="B544" s="88">
        <v>4</v>
      </c>
      <c r="C544" s="120">
        <v>0.004558880799419366</v>
      </c>
      <c r="D544" s="88" t="s">
        <v>2228</v>
      </c>
      <c r="E544" s="88" t="b">
        <v>0</v>
      </c>
      <c r="F544" s="88" t="b">
        <v>0</v>
      </c>
      <c r="G544" s="88" t="b">
        <v>0</v>
      </c>
    </row>
    <row r="545" spans="1:7" ht="15">
      <c r="A545" s="88" t="s">
        <v>2470</v>
      </c>
      <c r="B545" s="88">
        <v>4</v>
      </c>
      <c r="C545" s="120">
        <v>0.004558880799419366</v>
      </c>
      <c r="D545" s="88" t="s">
        <v>2228</v>
      </c>
      <c r="E545" s="88" t="b">
        <v>0</v>
      </c>
      <c r="F545" s="88" t="b">
        <v>0</v>
      </c>
      <c r="G545" s="88" t="b">
        <v>0</v>
      </c>
    </row>
    <row r="546" spans="1:7" ht="15">
      <c r="A546" s="88" t="s">
        <v>2471</v>
      </c>
      <c r="B546" s="88">
        <v>4</v>
      </c>
      <c r="C546" s="120">
        <v>0.004558880799419366</v>
      </c>
      <c r="D546" s="88" t="s">
        <v>2228</v>
      </c>
      <c r="E546" s="88" t="b">
        <v>1</v>
      </c>
      <c r="F546" s="88" t="b">
        <v>0</v>
      </c>
      <c r="G546" s="88" t="b">
        <v>0</v>
      </c>
    </row>
    <row r="547" spans="1:7" ht="15">
      <c r="A547" s="88" t="s">
        <v>2472</v>
      </c>
      <c r="B547" s="88">
        <v>4</v>
      </c>
      <c r="C547" s="120">
        <v>0.004558880799419366</v>
      </c>
      <c r="D547" s="88" t="s">
        <v>2228</v>
      </c>
      <c r="E547" s="88" t="b">
        <v>0</v>
      </c>
      <c r="F547" s="88" t="b">
        <v>0</v>
      </c>
      <c r="G547" s="88" t="b">
        <v>0</v>
      </c>
    </row>
    <row r="548" spans="1:7" ht="15">
      <c r="A548" s="88" t="s">
        <v>2473</v>
      </c>
      <c r="B548" s="88">
        <v>4</v>
      </c>
      <c r="C548" s="120">
        <v>0.004558880799419366</v>
      </c>
      <c r="D548" s="88" t="s">
        <v>2228</v>
      </c>
      <c r="E548" s="88" t="b">
        <v>0</v>
      </c>
      <c r="F548" s="88" t="b">
        <v>0</v>
      </c>
      <c r="G548" s="88" t="b">
        <v>0</v>
      </c>
    </row>
    <row r="549" spans="1:7" ht="15">
      <c r="A549" s="88" t="s">
        <v>2474</v>
      </c>
      <c r="B549" s="88">
        <v>4</v>
      </c>
      <c r="C549" s="120">
        <v>0.004558880799419366</v>
      </c>
      <c r="D549" s="88" t="s">
        <v>2228</v>
      </c>
      <c r="E549" s="88" t="b">
        <v>0</v>
      </c>
      <c r="F549" s="88" t="b">
        <v>0</v>
      </c>
      <c r="G549" s="88" t="b">
        <v>0</v>
      </c>
    </row>
    <row r="550" spans="1:7" ht="15">
      <c r="A550" s="88" t="s">
        <v>2475</v>
      </c>
      <c r="B550" s="88">
        <v>4</v>
      </c>
      <c r="C550" s="120">
        <v>0.004558880799419366</v>
      </c>
      <c r="D550" s="88" t="s">
        <v>2228</v>
      </c>
      <c r="E550" s="88" t="b">
        <v>0</v>
      </c>
      <c r="F550" s="88" t="b">
        <v>0</v>
      </c>
      <c r="G550" s="88" t="b">
        <v>0</v>
      </c>
    </row>
    <row r="551" spans="1:7" ht="15">
      <c r="A551" s="88" t="s">
        <v>2476</v>
      </c>
      <c r="B551" s="88">
        <v>4</v>
      </c>
      <c r="C551" s="120">
        <v>0.004558880799419366</v>
      </c>
      <c r="D551" s="88" t="s">
        <v>2228</v>
      </c>
      <c r="E551" s="88" t="b">
        <v>0</v>
      </c>
      <c r="F551" s="88" t="b">
        <v>0</v>
      </c>
      <c r="G551" s="88" t="b">
        <v>0</v>
      </c>
    </row>
    <row r="552" spans="1:7" ht="15">
      <c r="A552" s="88" t="s">
        <v>2275</v>
      </c>
      <c r="B552" s="88">
        <v>4</v>
      </c>
      <c r="C552" s="120">
        <v>0.004558880799419366</v>
      </c>
      <c r="D552" s="88" t="s">
        <v>2228</v>
      </c>
      <c r="E552" s="88" t="b">
        <v>0</v>
      </c>
      <c r="F552" s="88" t="b">
        <v>0</v>
      </c>
      <c r="G552" s="88" t="b">
        <v>0</v>
      </c>
    </row>
    <row r="553" spans="1:7" ht="15">
      <c r="A553" s="88" t="s">
        <v>2299</v>
      </c>
      <c r="B553" s="88">
        <v>23</v>
      </c>
      <c r="C553" s="120">
        <v>0</v>
      </c>
      <c r="D553" s="88" t="s">
        <v>2229</v>
      </c>
      <c r="E553" s="88" t="b">
        <v>0</v>
      </c>
      <c r="F553" s="88" t="b">
        <v>0</v>
      </c>
      <c r="G553" s="88" t="b">
        <v>0</v>
      </c>
    </row>
    <row r="554" spans="1:7" ht="15">
      <c r="A554" s="88" t="s">
        <v>2300</v>
      </c>
      <c r="B554" s="88">
        <v>22</v>
      </c>
      <c r="C554" s="120">
        <v>0</v>
      </c>
      <c r="D554" s="88" t="s">
        <v>2229</v>
      </c>
      <c r="E554" s="88" t="b">
        <v>0</v>
      </c>
      <c r="F554" s="88" t="b">
        <v>0</v>
      </c>
      <c r="G554" s="88" t="b">
        <v>0</v>
      </c>
    </row>
    <row r="555" spans="1:7" ht="15">
      <c r="A555" s="88" t="s">
        <v>2301</v>
      </c>
      <c r="B555" s="88">
        <v>22</v>
      </c>
      <c r="C555" s="120">
        <v>0</v>
      </c>
      <c r="D555" s="88" t="s">
        <v>2229</v>
      </c>
      <c r="E555" s="88" t="b">
        <v>0</v>
      </c>
      <c r="F555" s="88" t="b">
        <v>0</v>
      </c>
      <c r="G555" s="88" t="b">
        <v>0</v>
      </c>
    </row>
    <row r="556" spans="1:7" ht="15">
      <c r="A556" s="88" t="s">
        <v>2302</v>
      </c>
      <c r="B556" s="88">
        <v>22</v>
      </c>
      <c r="C556" s="120">
        <v>0</v>
      </c>
      <c r="D556" s="88" t="s">
        <v>2229</v>
      </c>
      <c r="E556" s="88" t="b">
        <v>0</v>
      </c>
      <c r="F556" s="88" t="b">
        <v>0</v>
      </c>
      <c r="G556" s="88" t="b">
        <v>0</v>
      </c>
    </row>
    <row r="557" spans="1:7" ht="15">
      <c r="A557" s="88" t="s">
        <v>2303</v>
      </c>
      <c r="B557" s="88">
        <v>22</v>
      </c>
      <c r="C557" s="120">
        <v>0</v>
      </c>
      <c r="D557" s="88" t="s">
        <v>2229</v>
      </c>
      <c r="E557" s="88" t="b">
        <v>0</v>
      </c>
      <c r="F557" s="88" t="b">
        <v>0</v>
      </c>
      <c r="G557" s="88" t="b">
        <v>0</v>
      </c>
    </row>
    <row r="558" spans="1:7" ht="15">
      <c r="A558" s="88" t="s">
        <v>2304</v>
      </c>
      <c r="B558" s="88">
        <v>22</v>
      </c>
      <c r="C558" s="120">
        <v>0</v>
      </c>
      <c r="D558" s="88" t="s">
        <v>2229</v>
      </c>
      <c r="E558" s="88" t="b">
        <v>0</v>
      </c>
      <c r="F558" s="88" t="b">
        <v>0</v>
      </c>
      <c r="G558" s="88" t="b">
        <v>0</v>
      </c>
    </row>
    <row r="559" spans="1:7" ht="15">
      <c r="A559" s="88" t="s">
        <v>2305</v>
      </c>
      <c r="B559" s="88">
        <v>22</v>
      </c>
      <c r="C559" s="120">
        <v>0</v>
      </c>
      <c r="D559" s="88" t="s">
        <v>2229</v>
      </c>
      <c r="E559" s="88" t="b">
        <v>0</v>
      </c>
      <c r="F559" s="88" t="b">
        <v>0</v>
      </c>
      <c r="G559" s="88" t="b">
        <v>0</v>
      </c>
    </row>
    <row r="560" spans="1:7" ht="15">
      <c r="A560" s="88" t="s">
        <v>2306</v>
      </c>
      <c r="B560" s="88">
        <v>22</v>
      </c>
      <c r="C560" s="120">
        <v>0</v>
      </c>
      <c r="D560" s="88" t="s">
        <v>2229</v>
      </c>
      <c r="E560" s="88" t="b">
        <v>1</v>
      </c>
      <c r="F560" s="88" t="b">
        <v>0</v>
      </c>
      <c r="G560" s="88" t="b">
        <v>0</v>
      </c>
    </row>
    <row r="561" spans="1:7" ht="15">
      <c r="A561" s="88" t="s">
        <v>2307</v>
      </c>
      <c r="B561" s="88">
        <v>22</v>
      </c>
      <c r="C561" s="120">
        <v>0</v>
      </c>
      <c r="D561" s="88" t="s">
        <v>2229</v>
      </c>
      <c r="E561" s="88" t="b">
        <v>0</v>
      </c>
      <c r="F561" s="88" t="b">
        <v>0</v>
      </c>
      <c r="G561" s="88" t="b">
        <v>0</v>
      </c>
    </row>
    <row r="562" spans="1:7" ht="15">
      <c r="A562" s="88" t="s">
        <v>2275</v>
      </c>
      <c r="B562" s="88">
        <v>22</v>
      </c>
      <c r="C562" s="120">
        <v>0</v>
      </c>
      <c r="D562" s="88" t="s">
        <v>2229</v>
      </c>
      <c r="E562" s="88" t="b">
        <v>0</v>
      </c>
      <c r="F562" s="88" t="b">
        <v>0</v>
      </c>
      <c r="G562" s="88" t="b">
        <v>0</v>
      </c>
    </row>
    <row r="563" spans="1:7" ht="15">
      <c r="A563" s="88" t="s">
        <v>2271</v>
      </c>
      <c r="B563" s="88">
        <v>22</v>
      </c>
      <c r="C563" s="120">
        <v>0</v>
      </c>
      <c r="D563" s="88" t="s">
        <v>2229</v>
      </c>
      <c r="E563" s="88" t="b">
        <v>0</v>
      </c>
      <c r="F563" s="88" t="b">
        <v>0</v>
      </c>
      <c r="G563" s="88" t="b">
        <v>0</v>
      </c>
    </row>
    <row r="564" spans="1:7" ht="15">
      <c r="A564" s="88" t="s">
        <v>527</v>
      </c>
      <c r="B564" s="88">
        <v>22</v>
      </c>
      <c r="C564" s="120">
        <v>0</v>
      </c>
      <c r="D564" s="88" t="s">
        <v>2229</v>
      </c>
      <c r="E564" s="88" t="b">
        <v>0</v>
      </c>
      <c r="F564" s="88" t="b">
        <v>0</v>
      </c>
      <c r="G564" s="88" t="b">
        <v>0</v>
      </c>
    </row>
    <row r="565" spans="1:7" ht="15">
      <c r="A565" s="88" t="s">
        <v>526</v>
      </c>
      <c r="B565" s="88">
        <v>22</v>
      </c>
      <c r="C565" s="120">
        <v>0</v>
      </c>
      <c r="D565" s="88" t="s">
        <v>2229</v>
      </c>
      <c r="E565" s="88" t="b">
        <v>0</v>
      </c>
      <c r="F565" s="88" t="b">
        <v>0</v>
      </c>
      <c r="G565" s="88" t="b">
        <v>0</v>
      </c>
    </row>
    <row r="566" spans="1:7" ht="15">
      <c r="A566" s="88" t="s">
        <v>2326</v>
      </c>
      <c r="B566" s="88">
        <v>12</v>
      </c>
      <c r="C566" s="120">
        <v>0.00993363904809741</v>
      </c>
      <c r="D566" s="88" t="s">
        <v>2229</v>
      </c>
      <c r="E566" s="88" t="b">
        <v>0</v>
      </c>
      <c r="F566" s="88" t="b">
        <v>0</v>
      </c>
      <c r="G566" s="88" t="b">
        <v>0</v>
      </c>
    </row>
    <row r="567" spans="1:7" ht="15">
      <c r="A567" s="88" t="s">
        <v>2333</v>
      </c>
      <c r="B567" s="88">
        <v>12</v>
      </c>
      <c r="C567" s="120">
        <v>0.00993363904809741</v>
      </c>
      <c r="D567" s="88" t="s">
        <v>2229</v>
      </c>
      <c r="E567" s="88" t="b">
        <v>0</v>
      </c>
      <c r="F567" s="88" t="b">
        <v>0</v>
      </c>
      <c r="G567" s="88" t="b">
        <v>0</v>
      </c>
    </row>
    <row r="568" spans="1:7" ht="15">
      <c r="A568" s="88" t="s">
        <v>2309</v>
      </c>
      <c r="B568" s="88">
        <v>20</v>
      </c>
      <c r="C568" s="120">
        <v>0</v>
      </c>
      <c r="D568" s="88" t="s">
        <v>2230</v>
      </c>
      <c r="E568" s="88" t="b">
        <v>0</v>
      </c>
      <c r="F568" s="88" t="b">
        <v>0</v>
      </c>
      <c r="G568" s="88" t="b">
        <v>0</v>
      </c>
    </row>
    <row r="569" spans="1:7" ht="15">
      <c r="A569" s="88" t="s">
        <v>2310</v>
      </c>
      <c r="B569" s="88">
        <v>20</v>
      </c>
      <c r="C569" s="120">
        <v>0</v>
      </c>
      <c r="D569" s="88" t="s">
        <v>2230</v>
      </c>
      <c r="E569" s="88" t="b">
        <v>0</v>
      </c>
      <c r="F569" s="88" t="b">
        <v>0</v>
      </c>
      <c r="G569" s="88" t="b">
        <v>0</v>
      </c>
    </row>
    <row r="570" spans="1:7" ht="15">
      <c r="A570" s="88" t="s">
        <v>2311</v>
      </c>
      <c r="B570" s="88">
        <v>20</v>
      </c>
      <c r="C570" s="120">
        <v>0</v>
      </c>
      <c r="D570" s="88" t="s">
        <v>2230</v>
      </c>
      <c r="E570" s="88" t="b">
        <v>0</v>
      </c>
      <c r="F570" s="88" t="b">
        <v>0</v>
      </c>
      <c r="G570" s="88" t="b">
        <v>0</v>
      </c>
    </row>
    <row r="571" spans="1:7" ht="15">
      <c r="A571" s="88" t="s">
        <v>2312</v>
      </c>
      <c r="B571" s="88">
        <v>20</v>
      </c>
      <c r="C571" s="120">
        <v>0</v>
      </c>
      <c r="D571" s="88" t="s">
        <v>2230</v>
      </c>
      <c r="E571" s="88" t="b">
        <v>1</v>
      </c>
      <c r="F571" s="88" t="b">
        <v>0</v>
      </c>
      <c r="G571" s="88" t="b">
        <v>0</v>
      </c>
    </row>
    <row r="572" spans="1:7" ht="15">
      <c r="A572" s="88" t="s">
        <v>2297</v>
      </c>
      <c r="B572" s="88">
        <v>20</v>
      </c>
      <c r="C572" s="120">
        <v>0</v>
      </c>
      <c r="D572" s="88" t="s">
        <v>2230</v>
      </c>
      <c r="E572" s="88" t="b">
        <v>0</v>
      </c>
      <c r="F572" s="88" t="b">
        <v>0</v>
      </c>
      <c r="G572" s="88" t="b">
        <v>0</v>
      </c>
    </row>
    <row r="573" spans="1:7" ht="15">
      <c r="A573" s="88" t="s">
        <v>2313</v>
      </c>
      <c r="B573" s="88">
        <v>20</v>
      </c>
      <c r="C573" s="120">
        <v>0</v>
      </c>
      <c r="D573" s="88" t="s">
        <v>2230</v>
      </c>
      <c r="E573" s="88" t="b">
        <v>0</v>
      </c>
      <c r="F573" s="88" t="b">
        <v>0</v>
      </c>
      <c r="G573" s="88" t="b">
        <v>0</v>
      </c>
    </row>
    <row r="574" spans="1:7" ht="15">
      <c r="A574" s="88" t="s">
        <v>2314</v>
      </c>
      <c r="B574" s="88">
        <v>20</v>
      </c>
      <c r="C574" s="120">
        <v>0</v>
      </c>
      <c r="D574" s="88" t="s">
        <v>2230</v>
      </c>
      <c r="E574" s="88" t="b">
        <v>0</v>
      </c>
      <c r="F574" s="88" t="b">
        <v>0</v>
      </c>
      <c r="G574" s="88" t="b">
        <v>0</v>
      </c>
    </row>
    <row r="575" spans="1:7" ht="15">
      <c r="A575" s="88" t="s">
        <v>699</v>
      </c>
      <c r="B575" s="88">
        <v>20</v>
      </c>
      <c r="C575" s="120">
        <v>0</v>
      </c>
      <c r="D575" s="88" t="s">
        <v>2230</v>
      </c>
      <c r="E575" s="88" t="b">
        <v>0</v>
      </c>
      <c r="F575" s="88" t="b">
        <v>0</v>
      </c>
      <c r="G575" s="88" t="b">
        <v>0</v>
      </c>
    </row>
    <row r="576" spans="1:7" ht="15">
      <c r="A576" s="88" t="s">
        <v>2308</v>
      </c>
      <c r="B576" s="88">
        <v>20</v>
      </c>
      <c r="C576" s="120">
        <v>0</v>
      </c>
      <c r="D576" s="88" t="s">
        <v>2230</v>
      </c>
      <c r="E576" s="88" t="b">
        <v>0</v>
      </c>
      <c r="F576" s="88" t="b">
        <v>0</v>
      </c>
      <c r="G576" s="88" t="b">
        <v>0</v>
      </c>
    </row>
    <row r="577" spans="1:7" ht="15">
      <c r="A577" s="88" t="s">
        <v>2315</v>
      </c>
      <c r="B577" s="88">
        <v>20</v>
      </c>
      <c r="C577" s="120">
        <v>0</v>
      </c>
      <c r="D577" s="88" t="s">
        <v>2230</v>
      </c>
      <c r="E577" s="88" t="b">
        <v>0</v>
      </c>
      <c r="F577" s="88" t="b">
        <v>0</v>
      </c>
      <c r="G577" s="88" t="b">
        <v>0</v>
      </c>
    </row>
    <row r="578" spans="1:7" ht="15">
      <c r="A578" s="88" t="s">
        <v>2316</v>
      </c>
      <c r="B578" s="88">
        <v>20</v>
      </c>
      <c r="C578" s="120">
        <v>0</v>
      </c>
      <c r="D578" s="88" t="s">
        <v>2230</v>
      </c>
      <c r="E578" s="88" t="b">
        <v>0</v>
      </c>
      <c r="F578" s="88" t="b">
        <v>0</v>
      </c>
      <c r="G578" s="88" t="b">
        <v>0</v>
      </c>
    </row>
    <row r="579" spans="1:7" ht="15">
      <c r="A579" s="88" t="s">
        <v>2317</v>
      </c>
      <c r="B579" s="88">
        <v>20</v>
      </c>
      <c r="C579" s="120">
        <v>0</v>
      </c>
      <c r="D579" s="88" t="s">
        <v>2230</v>
      </c>
      <c r="E579" s="88" t="b">
        <v>0</v>
      </c>
      <c r="F579" s="88" t="b">
        <v>0</v>
      </c>
      <c r="G579" s="88" t="b">
        <v>0</v>
      </c>
    </row>
    <row r="580" spans="1:7" ht="15">
      <c r="A580" s="88" t="s">
        <v>534</v>
      </c>
      <c r="B580" s="88">
        <v>20</v>
      </c>
      <c r="C580" s="120">
        <v>0</v>
      </c>
      <c r="D580" s="88" t="s">
        <v>2230</v>
      </c>
      <c r="E580" s="88" t="b">
        <v>0</v>
      </c>
      <c r="F580" s="88" t="b">
        <v>0</v>
      </c>
      <c r="G580" s="88" t="b">
        <v>0</v>
      </c>
    </row>
    <row r="581" spans="1:7" ht="15">
      <c r="A581" s="88" t="s">
        <v>2294</v>
      </c>
      <c r="B581" s="88">
        <v>20</v>
      </c>
      <c r="C581" s="120">
        <v>0</v>
      </c>
      <c r="D581" s="88" t="s">
        <v>2230</v>
      </c>
      <c r="E581" s="88" t="b">
        <v>0</v>
      </c>
      <c r="F581" s="88" t="b">
        <v>0</v>
      </c>
      <c r="G581" s="88" t="b">
        <v>0</v>
      </c>
    </row>
    <row r="582" spans="1:7" ht="15">
      <c r="A582" s="88" t="s">
        <v>2318</v>
      </c>
      <c r="B582" s="88">
        <v>20</v>
      </c>
      <c r="C582" s="120">
        <v>0</v>
      </c>
      <c r="D582" s="88" t="s">
        <v>2230</v>
      </c>
      <c r="E582" s="88" t="b">
        <v>0</v>
      </c>
      <c r="F582" s="88" t="b">
        <v>0</v>
      </c>
      <c r="G582" s="88" t="b">
        <v>0</v>
      </c>
    </row>
    <row r="583" spans="1:7" ht="15">
      <c r="A583" s="88" t="s">
        <v>2319</v>
      </c>
      <c r="B583" s="88">
        <v>20</v>
      </c>
      <c r="C583" s="120">
        <v>0</v>
      </c>
      <c r="D583" s="88" t="s">
        <v>2230</v>
      </c>
      <c r="E583" s="88" t="b">
        <v>0</v>
      </c>
      <c r="F583" s="88" t="b">
        <v>0</v>
      </c>
      <c r="G583" s="88" t="b">
        <v>0</v>
      </c>
    </row>
    <row r="584" spans="1:7" ht="15">
      <c r="A584" s="88" t="s">
        <v>2320</v>
      </c>
      <c r="B584" s="88">
        <v>20</v>
      </c>
      <c r="C584" s="120">
        <v>0</v>
      </c>
      <c r="D584" s="88" t="s">
        <v>2230</v>
      </c>
      <c r="E584" s="88" t="b">
        <v>0</v>
      </c>
      <c r="F584" s="88" t="b">
        <v>0</v>
      </c>
      <c r="G584" s="88" t="b">
        <v>0</v>
      </c>
    </row>
    <row r="585" spans="1:7" ht="15">
      <c r="A585" s="88" t="s">
        <v>2321</v>
      </c>
      <c r="B585" s="88">
        <v>20</v>
      </c>
      <c r="C585" s="120">
        <v>0</v>
      </c>
      <c r="D585" s="88" t="s">
        <v>2230</v>
      </c>
      <c r="E585" s="88" t="b">
        <v>0</v>
      </c>
      <c r="F585" s="88" t="b">
        <v>1</v>
      </c>
      <c r="G585" s="88" t="b">
        <v>0</v>
      </c>
    </row>
    <row r="586" spans="1:7" ht="15">
      <c r="A586" s="88" t="s">
        <v>2322</v>
      </c>
      <c r="B586" s="88">
        <v>20</v>
      </c>
      <c r="C586" s="120">
        <v>0</v>
      </c>
      <c r="D586" s="88" t="s">
        <v>2230</v>
      </c>
      <c r="E586" s="88" t="b">
        <v>0</v>
      </c>
      <c r="F586" s="88" t="b">
        <v>0</v>
      </c>
      <c r="G586" s="88" t="b">
        <v>0</v>
      </c>
    </row>
    <row r="587" spans="1:7" ht="15">
      <c r="A587" s="88" t="s">
        <v>2271</v>
      </c>
      <c r="B587" s="88">
        <v>20</v>
      </c>
      <c r="C587" s="120">
        <v>0</v>
      </c>
      <c r="D587" s="88" t="s">
        <v>2230</v>
      </c>
      <c r="E587" s="88" t="b">
        <v>0</v>
      </c>
      <c r="F587" s="88" t="b">
        <v>0</v>
      </c>
      <c r="G587" s="88" t="b">
        <v>0</v>
      </c>
    </row>
    <row r="588" spans="1:7" ht="15">
      <c r="A588" s="88" t="s">
        <v>2271</v>
      </c>
      <c r="B588" s="88">
        <v>17</v>
      </c>
      <c r="C588" s="120">
        <v>0</v>
      </c>
      <c r="D588" s="88" t="s">
        <v>2231</v>
      </c>
      <c r="E588" s="88" t="b">
        <v>0</v>
      </c>
      <c r="F588" s="88" t="b">
        <v>0</v>
      </c>
      <c r="G588" s="88" t="b">
        <v>0</v>
      </c>
    </row>
    <row r="589" spans="1:7" ht="15">
      <c r="A589" s="88" t="s">
        <v>2293</v>
      </c>
      <c r="B589" s="88">
        <v>17</v>
      </c>
      <c r="C589" s="120">
        <v>0</v>
      </c>
      <c r="D589" s="88" t="s">
        <v>2231</v>
      </c>
      <c r="E589" s="88" t="b">
        <v>0</v>
      </c>
      <c r="F589" s="88" t="b">
        <v>0</v>
      </c>
      <c r="G589" s="88" t="b">
        <v>0</v>
      </c>
    </row>
    <row r="590" spans="1:7" ht="15">
      <c r="A590" s="88" t="s">
        <v>2332</v>
      </c>
      <c r="B590" s="88">
        <v>14</v>
      </c>
      <c r="C590" s="120">
        <v>0.015914195690549377</v>
      </c>
      <c r="D590" s="88" t="s">
        <v>2231</v>
      </c>
      <c r="E590" s="88" t="b">
        <v>0</v>
      </c>
      <c r="F590" s="88" t="b">
        <v>0</v>
      </c>
      <c r="G590" s="88" t="b">
        <v>0</v>
      </c>
    </row>
    <row r="591" spans="1:7" ht="15">
      <c r="A591" s="88" t="s">
        <v>2340</v>
      </c>
      <c r="B591" s="88">
        <v>10</v>
      </c>
      <c r="C591" s="120">
        <v>0.0156778441605385</v>
      </c>
      <c r="D591" s="88" t="s">
        <v>2231</v>
      </c>
      <c r="E591" s="88" t="b">
        <v>0</v>
      </c>
      <c r="F591" s="88" t="b">
        <v>0</v>
      </c>
      <c r="G591" s="88" t="b">
        <v>0</v>
      </c>
    </row>
    <row r="592" spans="1:7" ht="15">
      <c r="A592" s="88" t="s">
        <v>2296</v>
      </c>
      <c r="B592" s="88">
        <v>9</v>
      </c>
      <c r="C592" s="120">
        <v>0.007332913591299533</v>
      </c>
      <c r="D592" s="88" t="s">
        <v>2231</v>
      </c>
      <c r="E592" s="88" t="b">
        <v>0</v>
      </c>
      <c r="F592" s="88" t="b">
        <v>0</v>
      </c>
      <c r="G592" s="88" t="b">
        <v>0</v>
      </c>
    </row>
    <row r="593" spans="1:7" ht="15">
      <c r="A593" s="88" t="s">
        <v>2342</v>
      </c>
      <c r="B593" s="88">
        <v>9</v>
      </c>
      <c r="C593" s="120">
        <v>0.007332913591299533</v>
      </c>
      <c r="D593" s="88" t="s">
        <v>2231</v>
      </c>
      <c r="E593" s="88" t="b">
        <v>0</v>
      </c>
      <c r="F593" s="88" t="b">
        <v>0</v>
      </c>
      <c r="G593" s="88" t="b">
        <v>0</v>
      </c>
    </row>
    <row r="594" spans="1:7" ht="15">
      <c r="A594" s="88" t="s">
        <v>2379</v>
      </c>
      <c r="B594" s="88">
        <v>7</v>
      </c>
      <c r="C594" s="120">
        <v>0.007957097845274689</v>
      </c>
      <c r="D594" s="88" t="s">
        <v>2231</v>
      </c>
      <c r="E594" s="88" t="b">
        <v>1</v>
      </c>
      <c r="F594" s="88" t="b">
        <v>0</v>
      </c>
      <c r="G594" s="88" t="b">
        <v>0</v>
      </c>
    </row>
    <row r="595" spans="1:7" ht="15">
      <c r="A595" s="88" t="s">
        <v>2380</v>
      </c>
      <c r="B595" s="88">
        <v>7</v>
      </c>
      <c r="C595" s="120">
        <v>0.007957097845274689</v>
      </c>
      <c r="D595" s="88" t="s">
        <v>2231</v>
      </c>
      <c r="E595" s="88" t="b">
        <v>0</v>
      </c>
      <c r="F595" s="88" t="b">
        <v>0</v>
      </c>
      <c r="G595" s="88" t="b">
        <v>0</v>
      </c>
    </row>
    <row r="596" spans="1:7" ht="15">
      <c r="A596" s="88" t="s">
        <v>699</v>
      </c>
      <c r="B596" s="88">
        <v>7</v>
      </c>
      <c r="C596" s="120">
        <v>0.007957097845274689</v>
      </c>
      <c r="D596" s="88" t="s">
        <v>2231</v>
      </c>
      <c r="E596" s="88" t="b">
        <v>0</v>
      </c>
      <c r="F596" s="88" t="b">
        <v>0</v>
      </c>
      <c r="G596" s="88" t="b">
        <v>0</v>
      </c>
    </row>
    <row r="597" spans="1:7" ht="15">
      <c r="A597" s="88" t="s">
        <v>2381</v>
      </c>
      <c r="B597" s="88">
        <v>7</v>
      </c>
      <c r="C597" s="120">
        <v>0.007957097845274689</v>
      </c>
      <c r="D597" s="88" t="s">
        <v>2231</v>
      </c>
      <c r="E597" s="88" t="b">
        <v>0</v>
      </c>
      <c r="F597" s="88" t="b">
        <v>0</v>
      </c>
      <c r="G597" s="88" t="b">
        <v>0</v>
      </c>
    </row>
    <row r="598" spans="1:7" ht="15">
      <c r="A598" s="88" t="s">
        <v>2382</v>
      </c>
      <c r="B598" s="88">
        <v>7</v>
      </c>
      <c r="C598" s="120">
        <v>0.007957097845274689</v>
      </c>
      <c r="D598" s="88" t="s">
        <v>2231</v>
      </c>
      <c r="E598" s="88" t="b">
        <v>0</v>
      </c>
      <c r="F598" s="88" t="b">
        <v>0</v>
      </c>
      <c r="G598" s="88" t="b">
        <v>0</v>
      </c>
    </row>
    <row r="599" spans="1:7" ht="15">
      <c r="A599" s="88" t="s">
        <v>2339</v>
      </c>
      <c r="B599" s="88">
        <v>7</v>
      </c>
      <c r="C599" s="120">
        <v>0.007957097845274689</v>
      </c>
      <c r="D599" s="88" t="s">
        <v>2231</v>
      </c>
      <c r="E599" s="88" t="b">
        <v>0</v>
      </c>
      <c r="F599" s="88" t="b">
        <v>0</v>
      </c>
      <c r="G599" s="88" t="b">
        <v>0</v>
      </c>
    </row>
    <row r="600" spans="1:7" ht="15">
      <c r="A600" s="88" t="s">
        <v>2383</v>
      </c>
      <c r="B600" s="88">
        <v>7</v>
      </c>
      <c r="C600" s="120">
        <v>0.007957097845274689</v>
      </c>
      <c r="D600" s="88" t="s">
        <v>2231</v>
      </c>
      <c r="E600" s="88" t="b">
        <v>0</v>
      </c>
      <c r="F600" s="88" t="b">
        <v>0</v>
      </c>
      <c r="G600" s="88" t="b">
        <v>0</v>
      </c>
    </row>
    <row r="601" spans="1:7" ht="15">
      <c r="A601" s="88" t="s">
        <v>2384</v>
      </c>
      <c r="B601" s="88">
        <v>7</v>
      </c>
      <c r="C601" s="120">
        <v>0.007957097845274689</v>
      </c>
      <c r="D601" s="88" t="s">
        <v>2231</v>
      </c>
      <c r="E601" s="88" t="b">
        <v>0</v>
      </c>
      <c r="F601" s="88" t="b">
        <v>0</v>
      </c>
      <c r="G601" s="88" t="b">
        <v>0</v>
      </c>
    </row>
    <row r="602" spans="1:7" ht="15">
      <c r="A602" s="88" t="s">
        <v>2343</v>
      </c>
      <c r="B602" s="88">
        <v>7</v>
      </c>
      <c r="C602" s="120">
        <v>0.007957097845274689</v>
      </c>
      <c r="D602" s="88" t="s">
        <v>2231</v>
      </c>
      <c r="E602" s="88" t="b">
        <v>0</v>
      </c>
      <c r="F602" s="88" t="b">
        <v>0</v>
      </c>
      <c r="G602" s="88" t="b">
        <v>0</v>
      </c>
    </row>
    <row r="603" spans="1:7" ht="15">
      <c r="A603" s="88" t="s">
        <v>2385</v>
      </c>
      <c r="B603" s="88">
        <v>7</v>
      </c>
      <c r="C603" s="120">
        <v>0.007957097845274689</v>
      </c>
      <c r="D603" s="88" t="s">
        <v>2231</v>
      </c>
      <c r="E603" s="88" t="b">
        <v>1</v>
      </c>
      <c r="F603" s="88" t="b">
        <v>0</v>
      </c>
      <c r="G603" s="88" t="b">
        <v>0</v>
      </c>
    </row>
    <row r="604" spans="1:7" ht="15">
      <c r="A604" s="88" t="s">
        <v>2386</v>
      </c>
      <c r="B604" s="88">
        <v>7</v>
      </c>
      <c r="C604" s="120">
        <v>0.007957097845274689</v>
      </c>
      <c r="D604" s="88" t="s">
        <v>2231</v>
      </c>
      <c r="E604" s="88" t="b">
        <v>0</v>
      </c>
      <c r="F604" s="88" t="b">
        <v>0</v>
      </c>
      <c r="G604" s="88" t="b">
        <v>0</v>
      </c>
    </row>
    <row r="605" spans="1:7" ht="15">
      <c r="A605" s="88" t="s">
        <v>2387</v>
      </c>
      <c r="B605" s="88">
        <v>7</v>
      </c>
      <c r="C605" s="120">
        <v>0.007957097845274689</v>
      </c>
      <c r="D605" s="88" t="s">
        <v>2231</v>
      </c>
      <c r="E605" s="88" t="b">
        <v>0</v>
      </c>
      <c r="F605" s="88" t="b">
        <v>0</v>
      </c>
      <c r="G605" s="88" t="b">
        <v>0</v>
      </c>
    </row>
    <row r="606" spans="1:7" ht="15">
      <c r="A606" s="88" t="s">
        <v>525</v>
      </c>
      <c r="B606" s="88">
        <v>7</v>
      </c>
      <c r="C606" s="120">
        <v>0.007957097845274689</v>
      </c>
      <c r="D606" s="88" t="s">
        <v>2231</v>
      </c>
      <c r="E606" s="88" t="b">
        <v>0</v>
      </c>
      <c r="F606" s="88" t="b">
        <v>0</v>
      </c>
      <c r="G606" s="88" t="b">
        <v>0</v>
      </c>
    </row>
    <row r="607" spans="1:7" ht="15">
      <c r="A607" s="88" t="s">
        <v>524</v>
      </c>
      <c r="B607" s="88">
        <v>7</v>
      </c>
      <c r="C607" s="120">
        <v>0.007957097845274689</v>
      </c>
      <c r="D607" s="88" t="s">
        <v>2231</v>
      </c>
      <c r="E607" s="88" t="b">
        <v>0</v>
      </c>
      <c r="F607" s="88" t="b">
        <v>0</v>
      </c>
      <c r="G607" s="88" t="b">
        <v>0</v>
      </c>
    </row>
    <row r="608" spans="1:7" ht="15">
      <c r="A608" s="88" t="s">
        <v>2294</v>
      </c>
      <c r="B608" s="88">
        <v>7</v>
      </c>
      <c r="C608" s="120">
        <v>0.007957097845274689</v>
      </c>
      <c r="D608" s="88" t="s">
        <v>2231</v>
      </c>
      <c r="E608" s="88" t="b">
        <v>0</v>
      </c>
      <c r="F608" s="88" t="b">
        <v>0</v>
      </c>
      <c r="G608" s="88" t="b">
        <v>0</v>
      </c>
    </row>
    <row r="609" spans="1:7" ht="15">
      <c r="A609" s="88" t="s">
        <v>2393</v>
      </c>
      <c r="B609" s="88">
        <v>6</v>
      </c>
      <c r="C609" s="120">
        <v>0.013333233038205513</v>
      </c>
      <c r="D609" s="88" t="s">
        <v>2231</v>
      </c>
      <c r="E609" s="88" t="b">
        <v>0</v>
      </c>
      <c r="F609" s="88" t="b">
        <v>0</v>
      </c>
      <c r="G609" s="88" t="b">
        <v>0</v>
      </c>
    </row>
    <row r="610" spans="1:7" ht="15">
      <c r="A610" s="88" t="s">
        <v>2410</v>
      </c>
      <c r="B610" s="88">
        <v>5</v>
      </c>
      <c r="C610" s="120">
        <v>0.00783892208026925</v>
      </c>
      <c r="D610" s="88" t="s">
        <v>2231</v>
      </c>
      <c r="E610" s="88" t="b">
        <v>0</v>
      </c>
      <c r="F610" s="88" t="b">
        <v>0</v>
      </c>
      <c r="G610" s="88" t="b">
        <v>0</v>
      </c>
    </row>
    <row r="611" spans="1:7" ht="15">
      <c r="A611" s="88" t="s">
        <v>2411</v>
      </c>
      <c r="B611" s="88">
        <v>5</v>
      </c>
      <c r="C611" s="120">
        <v>0.00783892208026925</v>
      </c>
      <c r="D611" s="88" t="s">
        <v>2231</v>
      </c>
      <c r="E611" s="88" t="b">
        <v>0</v>
      </c>
      <c r="F611" s="88" t="b">
        <v>0</v>
      </c>
      <c r="G611" s="88" t="b">
        <v>0</v>
      </c>
    </row>
    <row r="612" spans="1:7" ht="15">
      <c r="A612" s="88" t="s">
        <v>2388</v>
      </c>
      <c r="B612" s="88">
        <v>5</v>
      </c>
      <c r="C612" s="120">
        <v>0.00783892208026925</v>
      </c>
      <c r="D612" s="88" t="s">
        <v>2231</v>
      </c>
      <c r="E612" s="88" t="b">
        <v>0</v>
      </c>
      <c r="F612" s="88" t="b">
        <v>0</v>
      </c>
      <c r="G612" s="88" t="b">
        <v>0</v>
      </c>
    </row>
    <row r="613" spans="1:7" ht="15">
      <c r="A613" s="88" t="s">
        <v>2412</v>
      </c>
      <c r="B613" s="88">
        <v>5</v>
      </c>
      <c r="C613" s="120">
        <v>0.00783892208026925</v>
      </c>
      <c r="D613" s="88" t="s">
        <v>2231</v>
      </c>
      <c r="E613" s="88" t="b">
        <v>0</v>
      </c>
      <c r="F613" s="88" t="b">
        <v>0</v>
      </c>
      <c r="G613" s="88" t="b">
        <v>0</v>
      </c>
    </row>
    <row r="614" spans="1:7" ht="15">
      <c r="A614" s="88" t="s">
        <v>2413</v>
      </c>
      <c r="B614" s="88">
        <v>5</v>
      </c>
      <c r="C614" s="120">
        <v>0.00783892208026925</v>
      </c>
      <c r="D614" s="88" t="s">
        <v>2231</v>
      </c>
      <c r="E614" s="88" t="b">
        <v>0</v>
      </c>
      <c r="F614" s="88" t="b">
        <v>0</v>
      </c>
      <c r="G614" s="88" t="b">
        <v>0</v>
      </c>
    </row>
    <row r="615" spans="1:7" ht="15">
      <c r="A615" s="88" t="s">
        <v>2414</v>
      </c>
      <c r="B615" s="88">
        <v>5</v>
      </c>
      <c r="C615" s="120">
        <v>0.00783892208026925</v>
      </c>
      <c r="D615" s="88" t="s">
        <v>2231</v>
      </c>
      <c r="E615" s="88" t="b">
        <v>0</v>
      </c>
      <c r="F615" s="88" t="b">
        <v>0</v>
      </c>
      <c r="G615" s="88" t="b">
        <v>0</v>
      </c>
    </row>
    <row r="616" spans="1:7" ht="15">
      <c r="A616" s="88" t="s">
        <v>2415</v>
      </c>
      <c r="B616" s="88">
        <v>5</v>
      </c>
      <c r="C616" s="120">
        <v>0.00783892208026925</v>
      </c>
      <c r="D616" s="88" t="s">
        <v>2231</v>
      </c>
      <c r="E616" s="88" t="b">
        <v>0</v>
      </c>
      <c r="F616" s="88" t="b">
        <v>0</v>
      </c>
      <c r="G616" s="88" t="b">
        <v>0</v>
      </c>
    </row>
    <row r="617" spans="1:7" ht="15">
      <c r="A617" s="88" t="s">
        <v>2416</v>
      </c>
      <c r="B617" s="88">
        <v>5</v>
      </c>
      <c r="C617" s="120">
        <v>0.00783892208026925</v>
      </c>
      <c r="D617" s="88" t="s">
        <v>2231</v>
      </c>
      <c r="E617" s="88" t="b">
        <v>0</v>
      </c>
      <c r="F617" s="88" t="b">
        <v>0</v>
      </c>
      <c r="G617" s="88" t="b">
        <v>0</v>
      </c>
    </row>
    <row r="618" spans="1:7" ht="15">
      <c r="A618" s="88" t="s">
        <v>2417</v>
      </c>
      <c r="B618" s="88">
        <v>5</v>
      </c>
      <c r="C618" s="120">
        <v>0.00783892208026925</v>
      </c>
      <c r="D618" s="88" t="s">
        <v>2231</v>
      </c>
      <c r="E618" s="88" t="b">
        <v>0</v>
      </c>
      <c r="F618" s="88" t="b">
        <v>0</v>
      </c>
      <c r="G618" s="88" t="b">
        <v>0</v>
      </c>
    </row>
    <row r="619" spans="1:7" ht="15">
      <c r="A619" s="88" t="s">
        <v>2418</v>
      </c>
      <c r="B619" s="88">
        <v>5</v>
      </c>
      <c r="C619" s="120">
        <v>0.00783892208026925</v>
      </c>
      <c r="D619" s="88" t="s">
        <v>2231</v>
      </c>
      <c r="E619" s="88" t="b">
        <v>1</v>
      </c>
      <c r="F619" s="88" t="b">
        <v>0</v>
      </c>
      <c r="G619" s="88" t="b">
        <v>0</v>
      </c>
    </row>
    <row r="620" spans="1:7" ht="15">
      <c r="A620" s="88" t="s">
        <v>2419</v>
      </c>
      <c r="B620" s="88">
        <v>5</v>
      </c>
      <c r="C620" s="120">
        <v>0.00783892208026925</v>
      </c>
      <c r="D620" s="88" t="s">
        <v>2231</v>
      </c>
      <c r="E620" s="88" t="b">
        <v>0</v>
      </c>
      <c r="F620" s="88" t="b">
        <v>0</v>
      </c>
      <c r="G620" s="88" t="b">
        <v>0</v>
      </c>
    </row>
    <row r="621" spans="1:7" ht="15">
      <c r="A621" s="88" t="s">
        <v>2494</v>
      </c>
      <c r="B621" s="88">
        <v>3</v>
      </c>
      <c r="C621" s="120">
        <v>0.006666616519102757</v>
      </c>
      <c r="D621" s="88" t="s">
        <v>2231</v>
      </c>
      <c r="E621" s="88" t="b">
        <v>0</v>
      </c>
      <c r="F621" s="88" t="b">
        <v>0</v>
      </c>
      <c r="G621" s="88" t="b">
        <v>0</v>
      </c>
    </row>
    <row r="622" spans="1:7" ht="15">
      <c r="A622" s="88" t="s">
        <v>2495</v>
      </c>
      <c r="B622" s="88">
        <v>3</v>
      </c>
      <c r="C622" s="120">
        <v>0.006666616519102757</v>
      </c>
      <c r="D622" s="88" t="s">
        <v>2231</v>
      </c>
      <c r="E622" s="88" t="b">
        <v>0</v>
      </c>
      <c r="F622" s="88" t="b">
        <v>0</v>
      </c>
      <c r="G622" s="88" t="b">
        <v>0</v>
      </c>
    </row>
    <row r="623" spans="1:7" ht="15">
      <c r="A623" s="88" t="s">
        <v>2334</v>
      </c>
      <c r="B623" s="88">
        <v>3</v>
      </c>
      <c r="C623" s="120">
        <v>0.006666616519102757</v>
      </c>
      <c r="D623" s="88" t="s">
        <v>2231</v>
      </c>
      <c r="E623" s="88" t="b">
        <v>0</v>
      </c>
      <c r="F623" s="88" t="b">
        <v>0</v>
      </c>
      <c r="G623" s="88" t="b">
        <v>0</v>
      </c>
    </row>
    <row r="624" spans="1:7" ht="15">
      <c r="A624" s="88" t="s">
        <v>2496</v>
      </c>
      <c r="B624" s="88">
        <v>3</v>
      </c>
      <c r="C624" s="120">
        <v>0.006666616519102757</v>
      </c>
      <c r="D624" s="88" t="s">
        <v>2231</v>
      </c>
      <c r="E624" s="88" t="b">
        <v>0</v>
      </c>
      <c r="F624" s="88" t="b">
        <v>0</v>
      </c>
      <c r="G624" s="88" t="b">
        <v>0</v>
      </c>
    </row>
    <row r="625" spans="1:7" ht="15">
      <c r="A625" s="88" t="s">
        <v>2497</v>
      </c>
      <c r="B625" s="88">
        <v>3</v>
      </c>
      <c r="C625" s="120">
        <v>0.006666616519102757</v>
      </c>
      <c r="D625" s="88" t="s">
        <v>2231</v>
      </c>
      <c r="E625" s="88" t="b">
        <v>0</v>
      </c>
      <c r="F625" s="88" t="b">
        <v>0</v>
      </c>
      <c r="G625" s="88" t="b">
        <v>0</v>
      </c>
    </row>
    <row r="626" spans="1:7" ht="15">
      <c r="A626" s="88" t="s">
        <v>2498</v>
      </c>
      <c r="B626" s="88">
        <v>3</v>
      </c>
      <c r="C626" s="120">
        <v>0.006666616519102757</v>
      </c>
      <c r="D626" s="88" t="s">
        <v>2231</v>
      </c>
      <c r="E626" s="88" t="b">
        <v>0</v>
      </c>
      <c r="F626" s="88" t="b">
        <v>0</v>
      </c>
      <c r="G626" s="88" t="b">
        <v>0</v>
      </c>
    </row>
    <row r="627" spans="1:7" ht="15">
      <c r="A627" s="88" t="s">
        <v>2499</v>
      </c>
      <c r="B627" s="88">
        <v>3</v>
      </c>
      <c r="C627" s="120">
        <v>0.006666616519102757</v>
      </c>
      <c r="D627" s="88" t="s">
        <v>2231</v>
      </c>
      <c r="E627" s="88" t="b">
        <v>0</v>
      </c>
      <c r="F627" s="88" t="b">
        <v>0</v>
      </c>
      <c r="G627" s="88" t="b">
        <v>0</v>
      </c>
    </row>
    <row r="628" spans="1:7" ht="15">
      <c r="A628" s="88" t="s">
        <v>2500</v>
      </c>
      <c r="B628" s="88">
        <v>3</v>
      </c>
      <c r="C628" s="120">
        <v>0.006666616519102757</v>
      </c>
      <c r="D628" s="88" t="s">
        <v>2231</v>
      </c>
      <c r="E628" s="88" t="b">
        <v>0</v>
      </c>
      <c r="F628" s="88" t="b">
        <v>0</v>
      </c>
      <c r="G628" s="88" t="b">
        <v>0</v>
      </c>
    </row>
    <row r="629" spans="1:7" ht="15">
      <c r="A629" s="88" t="s">
        <v>2501</v>
      </c>
      <c r="B629" s="88">
        <v>3</v>
      </c>
      <c r="C629" s="120">
        <v>0.006666616519102757</v>
      </c>
      <c r="D629" s="88" t="s">
        <v>2231</v>
      </c>
      <c r="E629" s="88" t="b">
        <v>0</v>
      </c>
      <c r="F629" s="88" t="b">
        <v>0</v>
      </c>
      <c r="G629" s="88" t="b">
        <v>0</v>
      </c>
    </row>
    <row r="630" spans="1:7" ht="15">
      <c r="A630" s="88" t="s">
        <v>2502</v>
      </c>
      <c r="B630" s="88">
        <v>3</v>
      </c>
      <c r="C630" s="120">
        <v>0.006666616519102757</v>
      </c>
      <c r="D630" s="88" t="s">
        <v>2231</v>
      </c>
      <c r="E630" s="88" t="b">
        <v>0</v>
      </c>
      <c r="F630" s="88" t="b">
        <v>0</v>
      </c>
      <c r="G630" s="88" t="b">
        <v>0</v>
      </c>
    </row>
    <row r="631" spans="1:7" ht="15">
      <c r="A631" s="88" t="s">
        <v>2503</v>
      </c>
      <c r="B631" s="88">
        <v>3</v>
      </c>
      <c r="C631" s="120">
        <v>0.006666616519102757</v>
      </c>
      <c r="D631" s="88" t="s">
        <v>2231</v>
      </c>
      <c r="E631" s="88" t="b">
        <v>0</v>
      </c>
      <c r="F631" s="88" t="b">
        <v>0</v>
      </c>
      <c r="G631" s="88" t="b">
        <v>0</v>
      </c>
    </row>
    <row r="632" spans="1:7" ht="15">
      <c r="A632" s="88" t="s">
        <v>2504</v>
      </c>
      <c r="B632" s="88">
        <v>3</v>
      </c>
      <c r="C632" s="120">
        <v>0.006666616519102757</v>
      </c>
      <c r="D632" s="88" t="s">
        <v>2231</v>
      </c>
      <c r="E632" s="88" t="b">
        <v>0</v>
      </c>
      <c r="F632" s="88" t="b">
        <v>0</v>
      </c>
      <c r="G632" s="88" t="b">
        <v>0</v>
      </c>
    </row>
    <row r="633" spans="1:7" ht="15">
      <c r="A633" s="88" t="s">
        <v>2505</v>
      </c>
      <c r="B633" s="88">
        <v>3</v>
      </c>
      <c r="C633" s="120">
        <v>0.006666616519102757</v>
      </c>
      <c r="D633" s="88" t="s">
        <v>2231</v>
      </c>
      <c r="E633" s="88" t="b">
        <v>0</v>
      </c>
      <c r="F633" s="88" t="b">
        <v>0</v>
      </c>
      <c r="G633" s="88" t="b">
        <v>0</v>
      </c>
    </row>
    <row r="634" spans="1:7" ht="15">
      <c r="A634" s="88" t="s">
        <v>581</v>
      </c>
      <c r="B634" s="88">
        <v>3</v>
      </c>
      <c r="C634" s="120">
        <v>0.006666616519102757</v>
      </c>
      <c r="D634" s="88" t="s">
        <v>2231</v>
      </c>
      <c r="E634" s="88" t="b">
        <v>0</v>
      </c>
      <c r="F634" s="88" t="b">
        <v>0</v>
      </c>
      <c r="G634" s="88" t="b">
        <v>0</v>
      </c>
    </row>
    <row r="635" spans="1:7" ht="15">
      <c r="A635" s="88" t="s">
        <v>580</v>
      </c>
      <c r="B635" s="88">
        <v>3</v>
      </c>
      <c r="C635" s="120">
        <v>0.006666616519102757</v>
      </c>
      <c r="D635" s="88" t="s">
        <v>2231</v>
      </c>
      <c r="E635" s="88" t="b">
        <v>0</v>
      </c>
      <c r="F635" s="88" t="b">
        <v>0</v>
      </c>
      <c r="G635" s="88" t="b">
        <v>0</v>
      </c>
    </row>
    <row r="636" spans="1:7" ht="15">
      <c r="A636" s="88" t="s">
        <v>484</v>
      </c>
      <c r="B636" s="88">
        <v>3</v>
      </c>
      <c r="C636" s="120">
        <v>0.006666616519102757</v>
      </c>
      <c r="D636" s="88" t="s">
        <v>2231</v>
      </c>
      <c r="E636" s="88" t="b">
        <v>0</v>
      </c>
      <c r="F636" s="88" t="b">
        <v>0</v>
      </c>
      <c r="G636" s="88" t="b">
        <v>0</v>
      </c>
    </row>
    <row r="637" spans="1:7" ht="15">
      <c r="A637" s="88" t="s">
        <v>483</v>
      </c>
      <c r="B637" s="88">
        <v>3</v>
      </c>
      <c r="C637" s="120">
        <v>0.006666616519102757</v>
      </c>
      <c r="D637" s="88" t="s">
        <v>2231</v>
      </c>
      <c r="E637" s="88" t="b">
        <v>0</v>
      </c>
      <c r="F637" s="88" t="b">
        <v>0</v>
      </c>
      <c r="G637" s="88" t="b">
        <v>0</v>
      </c>
    </row>
    <row r="638" spans="1:7" ht="15">
      <c r="A638" s="88" t="s">
        <v>2371</v>
      </c>
      <c r="B638" s="88">
        <v>3</v>
      </c>
      <c r="C638" s="120">
        <v>0.006666616519102757</v>
      </c>
      <c r="D638" s="88" t="s">
        <v>2231</v>
      </c>
      <c r="E638" s="88" t="b">
        <v>0</v>
      </c>
      <c r="F638" s="88" t="b">
        <v>0</v>
      </c>
      <c r="G638" s="88" t="b">
        <v>0</v>
      </c>
    </row>
    <row r="639" spans="1:7" ht="15">
      <c r="A639" s="88" t="s">
        <v>2506</v>
      </c>
      <c r="B639" s="88">
        <v>3</v>
      </c>
      <c r="C639" s="120">
        <v>0.006666616519102757</v>
      </c>
      <c r="D639" s="88" t="s">
        <v>2231</v>
      </c>
      <c r="E639" s="88" t="b">
        <v>0</v>
      </c>
      <c r="F639" s="88" t="b">
        <v>0</v>
      </c>
      <c r="G639" s="88" t="b">
        <v>0</v>
      </c>
    </row>
    <row r="640" spans="1:7" ht="15">
      <c r="A640" s="88" t="s">
        <v>2631</v>
      </c>
      <c r="B640" s="88">
        <v>2</v>
      </c>
      <c r="C640" s="120">
        <v>0.005483297496839485</v>
      </c>
      <c r="D640" s="88" t="s">
        <v>2231</v>
      </c>
      <c r="E640" s="88" t="b">
        <v>1</v>
      </c>
      <c r="F640" s="88" t="b">
        <v>0</v>
      </c>
      <c r="G640" s="88" t="b">
        <v>0</v>
      </c>
    </row>
    <row r="641" spans="1:7" ht="15">
      <c r="A641" s="88" t="s">
        <v>2276</v>
      </c>
      <c r="B641" s="88">
        <v>2</v>
      </c>
      <c r="C641" s="120">
        <v>0.005483297496839485</v>
      </c>
      <c r="D641" s="88" t="s">
        <v>2231</v>
      </c>
      <c r="E641" s="88" t="b">
        <v>0</v>
      </c>
      <c r="F641" s="88" t="b">
        <v>0</v>
      </c>
      <c r="G641" s="88" t="b">
        <v>0</v>
      </c>
    </row>
    <row r="642" spans="1:7" ht="15">
      <c r="A642" s="88" t="s">
        <v>2632</v>
      </c>
      <c r="B642" s="88">
        <v>2</v>
      </c>
      <c r="C642" s="120">
        <v>0.005483297496839485</v>
      </c>
      <c r="D642" s="88" t="s">
        <v>2231</v>
      </c>
      <c r="E642" s="88" t="b">
        <v>0</v>
      </c>
      <c r="F642" s="88" t="b">
        <v>0</v>
      </c>
      <c r="G642" s="88" t="b">
        <v>0</v>
      </c>
    </row>
    <row r="643" spans="1:7" ht="15">
      <c r="A643" s="88" t="s">
        <v>2633</v>
      </c>
      <c r="B643" s="88">
        <v>2</v>
      </c>
      <c r="C643" s="120">
        <v>0.005483297496839485</v>
      </c>
      <c r="D643" s="88" t="s">
        <v>2231</v>
      </c>
      <c r="E643" s="88" t="b">
        <v>0</v>
      </c>
      <c r="F643" s="88" t="b">
        <v>0</v>
      </c>
      <c r="G643" s="88" t="b">
        <v>0</v>
      </c>
    </row>
    <row r="644" spans="1:7" ht="15">
      <c r="A644" s="88" t="s">
        <v>2634</v>
      </c>
      <c r="B644" s="88">
        <v>2</v>
      </c>
      <c r="C644" s="120">
        <v>0.005483297496839485</v>
      </c>
      <c r="D644" s="88" t="s">
        <v>2231</v>
      </c>
      <c r="E644" s="88" t="b">
        <v>0</v>
      </c>
      <c r="F644" s="88" t="b">
        <v>0</v>
      </c>
      <c r="G644" s="88" t="b">
        <v>0</v>
      </c>
    </row>
    <row r="645" spans="1:7" ht="15">
      <c r="A645" s="88" t="s">
        <v>522</v>
      </c>
      <c r="B645" s="88">
        <v>2</v>
      </c>
      <c r="C645" s="120">
        <v>0.005483297496839485</v>
      </c>
      <c r="D645" s="88" t="s">
        <v>2231</v>
      </c>
      <c r="E645" s="88" t="b">
        <v>0</v>
      </c>
      <c r="F645" s="88" t="b">
        <v>0</v>
      </c>
      <c r="G645" s="88" t="b">
        <v>0</v>
      </c>
    </row>
    <row r="646" spans="1:7" ht="15">
      <c r="A646" s="88" t="s">
        <v>2635</v>
      </c>
      <c r="B646" s="88">
        <v>2</v>
      </c>
      <c r="C646" s="120">
        <v>0.005483297496839485</v>
      </c>
      <c r="D646" s="88" t="s">
        <v>2231</v>
      </c>
      <c r="E646" s="88" t="b">
        <v>0</v>
      </c>
      <c r="F646" s="88" t="b">
        <v>0</v>
      </c>
      <c r="G646" s="88" t="b">
        <v>0</v>
      </c>
    </row>
    <row r="647" spans="1:7" ht="15">
      <c r="A647" s="88" t="s">
        <v>2636</v>
      </c>
      <c r="B647" s="88">
        <v>2</v>
      </c>
      <c r="C647" s="120">
        <v>0.005483297496839485</v>
      </c>
      <c r="D647" s="88" t="s">
        <v>2231</v>
      </c>
      <c r="E647" s="88" t="b">
        <v>0</v>
      </c>
      <c r="F647" s="88" t="b">
        <v>0</v>
      </c>
      <c r="G647" s="88" t="b">
        <v>0</v>
      </c>
    </row>
    <row r="648" spans="1:7" ht="15">
      <c r="A648" s="88" t="s">
        <v>2637</v>
      </c>
      <c r="B648" s="88">
        <v>2</v>
      </c>
      <c r="C648" s="120">
        <v>0.005483297496839485</v>
      </c>
      <c r="D648" s="88" t="s">
        <v>2231</v>
      </c>
      <c r="E648" s="88" t="b">
        <v>0</v>
      </c>
      <c r="F648" s="88" t="b">
        <v>0</v>
      </c>
      <c r="G648" s="88" t="b">
        <v>0</v>
      </c>
    </row>
    <row r="649" spans="1:7" ht="15">
      <c r="A649" s="88" t="s">
        <v>2638</v>
      </c>
      <c r="B649" s="88">
        <v>2</v>
      </c>
      <c r="C649" s="120">
        <v>0.005483297496839485</v>
      </c>
      <c r="D649" s="88" t="s">
        <v>2231</v>
      </c>
      <c r="E649" s="88" t="b">
        <v>0</v>
      </c>
      <c r="F649" s="88" t="b">
        <v>0</v>
      </c>
      <c r="G649" s="88" t="b">
        <v>0</v>
      </c>
    </row>
    <row r="650" spans="1:7" ht="15">
      <c r="A650" s="88" t="s">
        <v>2639</v>
      </c>
      <c r="B650" s="88">
        <v>2</v>
      </c>
      <c r="C650" s="120">
        <v>0.005483297496839485</v>
      </c>
      <c r="D650" s="88" t="s">
        <v>2231</v>
      </c>
      <c r="E650" s="88" t="b">
        <v>1</v>
      </c>
      <c r="F650" s="88" t="b">
        <v>0</v>
      </c>
      <c r="G650" s="88" t="b">
        <v>0</v>
      </c>
    </row>
    <row r="651" spans="1:7" ht="15">
      <c r="A651" s="88" t="s">
        <v>2640</v>
      </c>
      <c r="B651" s="88">
        <v>2</v>
      </c>
      <c r="C651" s="120">
        <v>0.005483297496839485</v>
      </c>
      <c r="D651" s="88" t="s">
        <v>2231</v>
      </c>
      <c r="E651" s="88" t="b">
        <v>0</v>
      </c>
      <c r="F651" s="88" t="b">
        <v>0</v>
      </c>
      <c r="G651" s="88" t="b">
        <v>0</v>
      </c>
    </row>
    <row r="652" spans="1:7" ht="15">
      <c r="A652" s="88" t="s">
        <v>2641</v>
      </c>
      <c r="B652" s="88">
        <v>2</v>
      </c>
      <c r="C652" s="120">
        <v>0.005483297496839485</v>
      </c>
      <c r="D652" s="88" t="s">
        <v>2231</v>
      </c>
      <c r="E652" s="88" t="b">
        <v>0</v>
      </c>
      <c r="F652" s="88" t="b">
        <v>0</v>
      </c>
      <c r="G652" s="88" t="b">
        <v>0</v>
      </c>
    </row>
    <row r="653" spans="1:7" ht="15">
      <c r="A653" s="88" t="s">
        <v>2642</v>
      </c>
      <c r="B653" s="88">
        <v>2</v>
      </c>
      <c r="C653" s="120">
        <v>0.005483297496839485</v>
      </c>
      <c r="D653" s="88" t="s">
        <v>2231</v>
      </c>
      <c r="E653" s="88" t="b">
        <v>0</v>
      </c>
      <c r="F653" s="88" t="b">
        <v>0</v>
      </c>
      <c r="G653" s="88" t="b">
        <v>0</v>
      </c>
    </row>
    <row r="654" spans="1:7" ht="15">
      <c r="A654" s="88" t="s">
        <v>2643</v>
      </c>
      <c r="B654" s="88">
        <v>2</v>
      </c>
      <c r="C654" s="120">
        <v>0.005483297496839485</v>
      </c>
      <c r="D654" s="88" t="s">
        <v>2231</v>
      </c>
      <c r="E654" s="88" t="b">
        <v>0</v>
      </c>
      <c r="F654" s="88" t="b">
        <v>0</v>
      </c>
      <c r="G654" s="88" t="b">
        <v>0</v>
      </c>
    </row>
    <row r="655" spans="1:7" ht="15">
      <c r="A655" s="88" t="s">
        <v>2644</v>
      </c>
      <c r="B655" s="88">
        <v>2</v>
      </c>
      <c r="C655" s="120">
        <v>0.005483297496839485</v>
      </c>
      <c r="D655" s="88" t="s">
        <v>2231</v>
      </c>
      <c r="E655" s="88" t="b">
        <v>0</v>
      </c>
      <c r="F655" s="88" t="b">
        <v>0</v>
      </c>
      <c r="G655" s="88" t="b">
        <v>0</v>
      </c>
    </row>
    <row r="656" spans="1:7" ht="15">
      <c r="A656" s="88" t="s">
        <v>2645</v>
      </c>
      <c r="B656" s="88">
        <v>2</v>
      </c>
      <c r="C656" s="120">
        <v>0.005483297496839485</v>
      </c>
      <c r="D656" s="88" t="s">
        <v>2231</v>
      </c>
      <c r="E656" s="88" t="b">
        <v>0</v>
      </c>
      <c r="F656" s="88" t="b">
        <v>0</v>
      </c>
      <c r="G656" s="88" t="b">
        <v>0</v>
      </c>
    </row>
    <row r="657" spans="1:7" ht="15">
      <c r="A657" s="88" t="s">
        <v>2646</v>
      </c>
      <c r="B657" s="88">
        <v>2</v>
      </c>
      <c r="C657" s="120">
        <v>0.005483297496839485</v>
      </c>
      <c r="D657" s="88" t="s">
        <v>2231</v>
      </c>
      <c r="E657" s="88" t="b">
        <v>0</v>
      </c>
      <c r="F657" s="88" t="b">
        <v>0</v>
      </c>
      <c r="G657" s="88" t="b">
        <v>0</v>
      </c>
    </row>
    <row r="658" spans="1:7" ht="15">
      <c r="A658" s="88" t="s">
        <v>2647</v>
      </c>
      <c r="B658" s="88">
        <v>2</v>
      </c>
      <c r="C658" s="120">
        <v>0.005483297496839485</v>
      </c>
      <c r="D658" s="88" t="s">
        <v>2231</v>
      </c>
      <c r="E658" s="88" t="b">
        <v>0</v>
      </c>
      <c r="F658" s="88" t="b">
        <v>0</v>
      </c>
      <c r="G658" s="88" t="b">
        <v>0</v>
      </c>
    </row>
    <row r="659" spans="1:7" ht="15">
      <c r="A659" s="88" t="s">
        <v>521</v>
      </c>
      <c r="B659" s="88">
        <v>2</v>
      </c>
      <c r="C659" s="120">
        <v>0.005483297496839485</v>
      </c>
      <c r="D659" s="88" t="s">
        <v>2231</v>
      </c>
      <c r="E659" s="88" t="b">
        <v>0</v>
      </c>
      <c r="F659" s="88" t="b">
        <v>0</v>
      </c>
      <c r="G659" s="88" t="b">
        <v>0</v>
      </c>
    </row>
    <row r="660" spans="1:7" ht="15">
      <c r="A660" s="88" t="s">
        <v>2323</v>
      </c>
      <c r="B660" s="88">
        <v>18</v>
      </c>
      <c r="C660" s="120">
        <v>0</v>
      </c>
      <c r="D660" s="88" t="s">
        <v>2232</v>
      </c>
      <c r="E660" s="88" t="b">
        <v>0</v>
      </c>
      <c r="F660" s="88" t="b">
        <v>0</v>
      </c>
      <c r="G660" s="88" t="b">
        <v>0</v>
      </c>
    </row>
    <row r="661" spans="1:7" ht="15">
      <c r="A661" s="88" t="s">
        <v>2347</v>
      </c>
      <c r="B661" s="88">
        <v>9</v>
      </c>
      <c r="C661" s="120">
        <v>0</v>
      </c>
      <c r="D661" s="88" t="s">
        <v>2232</v>
      </c>
      <c r="E661" s="88" t="b">
        <v>0</v>
      </c>
      <c r="F661" s="88" t="b">
        <v>0</v>
      </c>
      <c r="G661" s="88" t="b">
        <v>0</v>
      </c>
    </row>
    <row r="662" spans="1:7" ht="15">
      <c r="A662" s="88" t="s">
        <v>2348</v>
      </c>
      <c r="B662" s="88">
        <v>9</v>
      </c>
      <c r="C662" s="120">
        <v>0</v>
      </c>
      <c r="D662" s="88" t="s">
        <v>2232</v>
      </c>
      <c r="E662" s="88" t="b">
        <v>0</v>
      </c>
      <c r="F662" s="88" t="b">
        <v>0</v>
      </c>
      <c r="G662" s="88" t="b">
        <v>0</v>
      </c>
    </row>
    <row r="663" spans="1:7" ht="15">
      <c r="A663" s="88" t="s">
        <v>2349</v>
      </c>
      <c r="B663" s="88">
        <v>9</v>
      </c>
      <c r="C663" s="120">
        <v>0</v>
      </c>
      <c r="D663" s="88" t="s">
        <v>2232</v>
      </c>
      <c r="E663" s="88" t="b">
        <v>0</v>
      </c>
      <c r="F663" s="88" t="b">
        <v>0</v>
      </c>
      <c r="G663" s="88" t="b">
        <v>0</v>
      </c>
    </row>
    <row r="664" spans="1:7" ht="15">
      <c r="A664" s="88" t="s">
        <v>2275</v>
      </c>
      <c r="B664" s="88">
        <v>9</v>
      </c>
      <c r="C664" s="120">
        <v>0</v>
      </c>
      <c r="D664" s="88" t="s">
        <v>2232</v>
      </c>
      <c r="E664" s="88" t="b">
        <v>0</v>
      </c>
      <c r="F664" s="88" t="b">
        <v>0</v>
      </c>
      <c r="G664" s="88" t="b">
        <v>0</v>
      </c>
    </row>
    <row r="665" spans="1:7" ht="15">
      <c r="A665" s="88" t="s">
        <v>2350</v>
      </c>
      <c r="B665" s="88">
        <v>9</v>
      </c>
      <c r="C665" s="120">
        <v>0</v>
      </c>
      <c r="D665" s="88" t="s">
        <v>2232</v>
      </c>
      <c r="E665" s="88" t="b">
        <v>1</v>
      </c>
      <c r="F665" s="88" t="b">
        <v>0</v>
      </c>
      <c r="G665" s="88" t="b">
        <v>0</v>
      </c>
    </row>
    <row r="666" spans="1:7" ht="15">
      <c r="A666" s="88" t="s">
        <v>2351</v>
      </c>
      <c r="B666" s="88">
        <v>9</v>
      </c>
      <c r="C666" s="120">
        <v>0</v>
      </c>
      <c r="D666" s="88" t="s">
        <v>2232</v>
      </c>
      <c r="E666" s="88" t="b">
        <v>0</v>
      </c>
      <c r="F666" s="88" t="b">
        <v>0</v>
      </c>
      <c r="G666" s="88" t="b">
        <v>0</v>
      </c>
    </row>
    <row r="667" spans="1:7" ht="15">
      <c r="A667" s="88" t="s">
        <v>2352</v>
      </c>
      <c r="B667" s="88">
        <v>9</v>
      </c>
      <c r="C667" s="120">
        <v>0</v>
      </c>
      <c r="D667" s="88" t="s">
        <v>2232</v>
      </c>
      <c r="E667" s="88" t="b">
        <v>0</v>
      </c>
      <c r="F667" s="88" t="b">
        <v>0</v>
      </c>
      <c r="G667" s="88" t="b">
        <v>0</v>
      </c>
    </row>
    <row r="668" spans="1:7" ht="15">
      <c r="A668" s="88" t="s">
        <v>2296</v>
      </c>
      <c r="B668" s="88">
        <v>9</v>
      </c>
      <c r="C668" s="120">
        <v>0</v>
      </c>
      <c r="D668" s="88" t="s">
        <v>2232</v>
      </c>
      <c r="E668" s="88" t="b">
        <v>0</v>
      </c>
      <c r="F668" s="88" t="b">
        <v>0</v>
      </c>
      <c r="G668" s="88" t="b">
        <v>0</v>
      </c>
    </row>
    <row r="669" spans="1:7" ht="15">
      <c r="A669" s="88" t="s">
        <v>2353</v>
      </c>
      <c r="B669" s="88">
        <v>9</v>
      </c>
      <c r="C669" s="120">
        <v>0</v>
      </c>
      <c r="D669" s="88" t="s">
        <v>2232</v>
      </c>
      <c r="E669" s="88" t="b">
        <v>0</v>
      </c>
      <c r="F669" s="88" t="b">
        <v>0</v>
      </c>
      <c r="G669" s="88" t="b">
        <v>0</v>
      </c>
    </row>
    <row r="670" spans="1:7" ht="15">
      <c r="A670" s="88" t="s">
        <v>2354</v>
      </c>
      <c r="B670" s="88">
        <v>9</v>
      </c>
      <c r="C670" s="120">
        <v>0</v>
      </c>
      <c r="D670" s="88" t="s">
        <v>2232</v>
      </c>
      <c r="E670" s="88" t="b">
        <v>0</v>
      </c>
      <c r="F670" s="88" t="b">
        <v>0</v>
      </c>
      <c r="G670" s="88" t="b">
        <v>0</v>
      </c>
    </row>
    <row r="671" spans="1:7" ht="15">
      <c r="A671" s="88" t="s">
        <v>2355</v>
      </c>
      <c r="B671" s="88">
        <v>9</v>
      </c>
      <c r="C671" s="120">
        <v>0</v>
      </c>
      <c r="D671" s="88" t="s">
        <v>2232</v>
      </c>
      <c r="E671" s="88" t="b">
        <v>0</v>
      </c>
      <c r="F671" s="88" t="b">
        <v>0</v>
      </c>
      <c r="G671" s="88" t="b">
        <v>0</v>
      </c>
    </row>
    <row r="672" spans="1:7" ht="15">
      <c r="A672" s="88" t="s">
        <v>2331</v>
      </c>
      <c r="B672" s="88">
        <v>9</v>
      </c>
      <c r="C672" s="120">
        <v>0</v>
      </c>
      <c r="D672" s="88" t="s">
        <v>2232</v>
      </c>
      <c r="E672" s="88" t="b">
        <v>0</v>
      </c>
      <c r="F672" s="88" t="b">
        <v>0</v>
      </c>
      <c r="G672" s="88" t="b">
        <v>0</v>
      </c>
    </row>
    <row r="673" spans="1:7" ht="15">
      <c r="A673" s="88" t="s">
        <v>2356</v>
      </c>
      <c r="B673" s="88">
        <v>9</v>
      </c>
      <c r="C673" s="120">
        <v>0</v>
      </c>
      <c r="D673" s="88" t="s">
        <v>2232</v>
      </c>
      <c r="E673" s="88" t="b">
        <v>0</v>
      </c>
      <c r="F673" s="88" t="b">
        <v>0</v>
      </c>
      <c r="G673" s="88" t="b">
        <v>0</v>
      </c>
    </row>
    <row r="674" spans="1:7" ht="15">
      <c r="A674" s="88" t="s">
        <v>2357</v>
      </c>
      <c r="B674" s="88">
        <v>9</v>
      </c>
      <c r="C674" s="120">
        <v>0</v>
      </c>
      <c r="D674" s="88" t="s">
        <v>2232</v>
      </c>
      <c r="E674" s="88" t="b">
        <v>0</v>
      </c>
      <c r="F674" s="88" t="b">
        <v>0</v>
      </c>
      <c r="G674" s="88" t="b">
        <v>0</v>
      </c>
    </row>
    <row r="675" spans="1:7" ht="15">
      <c r="A675" s="88" t="s">
        <v>2358</v>
      </c>
      <c r="B675" s="88">
        <v>9</v>
      </c>
      <c r="C675" s="120">
        <v>0</v>
      </c>
      <c r="D675" s="88" t="s">
        <v>2232</v>
      </c>
      <c r="E675" s="88" t="b">
        <v>0</v>
      </c>
      <c r="F675" s="88" t="b">
        <v>0</v>
      </c>
      <c r="G675" s="88" t="b">
        <v>0</v>
      </c>
    </row>
    <row r="676" spans="1:7" ht="15">
      <c r="A676" s="88" t="s">
        <v>2271</v>
      </c>
      <c r="B676" s="88">
        <v>9</v>
      </c>
      <c r="C676" s="120">
        <v>0</v>
      </c>
      <c r="D676" s="88" t="s">
        <v>2232</v>
      </c>
      <c r="E676" s="88" t="b">
        <v>0</v>
      </c>
      <c r="F676" s="88" t="b">
        <v>0</v>
      </c>
      <c r="G676" s="88" t="b">
        <v>0</v>
      </c>
    </row>
    <row r="677" spans="1:7" ht="15">
      <c r="A677" s="88" t="s">
        <v>2359</v>
      </c>
      <c r="B677" s="88">
        <v>9</v>
      </c>
      <c r="C677" s="120">
        <v>0</v>
      </c>
      <c r="D677" s="88" t="s">
        <v>2232</v>
      </c>
      <c r="E677" s="88" t="b">
        <v>0</v>
      </c>
      <c r="F677" s="88" t="b">
        <v>0</v>
      </c>
      <c r="G677" s="88" t="b">
        <v>0</v>
      </c>
    </row>
    <row r="678" spans="1:7" ht="15">
      <c r="A678" s="88" t="s">
        <v>2293</v>
      </c>
      <c r="B678" s="88">
        <v>9</v>
      </c>
      <c r="C678" s="120">
        <v>0</v>
      </c>
      <c r="D678" s="88" t="s">
        <v>2232</v>
      </c>
      <c r="E678" s="88" t="b">
        <v>0</v>
      </c>
      <c r="F678" s="88" t="b">
        <v>0</v>
      </c>
      <c r="G678" s="88" t="b">
        <v>0</v>
      </c>
    </row>
    <row r="679" spans="1:7" ht="15">
      <c r="A679" s="88" t="s">
        <v>2360</v>
      </c>
      <c r="B679" s="88">
        <v>9</v>
      </c>
      <c r="C679" s="120">
        <v>0</v>
      </c>
      <c r="D679" s="88" t="s">
        <v>2232</v>
      </c>
      <c r="E679" s="88" t="b">
        <v>0</v>
      </c>
      <c r="F679" s="88" t="b">
        <v>0</v>
      </c>
      <c r="G679" s="88" t="b">
        <v>0</v>
      </c>
    </row>
    <row r="680" spans="1:7" ht="15">
      <c r="A680" s="88" t="s">
        <v>2361</v>
      </c>
      <c r="B680" s="88">
        <v>9</v>
      </c>
      <c r="C680" s="120">
        <v>0</v>
      </c>
      <c r="D680" s="88" t="s">
        <v>2232</v>
      </c>
      <c r="E680" s="88" t="b">
        <v>0</v>
      </c>
      <c r="F680" s="88" t="b">
        <v>0</v>
      </c>
      <c r="G680" s="88" t="b">
        <v>0</v>
      </c>
    </row>
    <row r="681" spans="1:7" ht="15">
      <c r="A681" s="88" t="s">
        <v>2362</v>
      </c>
      <c r="B681" s="88">
        <v>9</v>
      </c>
      <c r="C681" s="120">
        <v>0</v>
      </c>
      <c r="D681" s="88" t="s">
        <v>2232</v>
      </c>
      <c r="E681" s="88" t="b">
        <v>0</v>
      </c>
      <c r="F681" s="88" t="b">
        <v>0</v>
      </c>
      <c r="G681" s="88" t="b">
        <v>0</v>
      </c>
    </row>
    <row r="682" spans="1:7" ht="15">
      <c r="A682" s="88" t="s">
        <v>2363</v>
      </c>
      <c r="B682" s="88">
        <v>9</v>
      </c>
      <c r="C682" s="120">
        <v>0</v>
      </c>
      <c r="D682" s="88" t="s">
        <v>2232</v>
      </c>
      <c r="E682" s="88" t="b">
        <v>0</v>
      </c>
      <c r="F682" s="88" t="b">
        <v>0</v>
      </c>
      <c r="G682" s="88" t="b">
        <v>0</v>
      </c>
    </row>
    <row r="683" spans="1:7" ht="15">
      <c r="A683" s="88" t="s">
        <v>2364</v>
      </c>
      <c r="B683" s="88">
        <v>9</v>
      </c>
      <c r="C683" s="120">
        <v>0</v>
      </c>
      <c r="D683" s="88" t="s">
        <v>2232</v>
      </c>
      <c r="E683" s="88" t="b">
        <v>0</v>
      </c>
      <c r="F683" s="88" t="b">
        <v>0</v>
      </c>
      <c r="G683" s="88" t="b">
        <v>0</v>
      </c>
    </row>
    <row r="684" spans="1:7" ht="15">
      <c r="A684" s="88" t="s">
        <v>2365</v>
      </c>
      <c r="B684" s="88">
        <v>9</v>
      </c>
      <c r="C684" s="120">
        <v>0</v>
      </c>
      <c r="D684" s="88" t="s">
        <v>2232</v>
      </c>
      <c r="E684" s="88" t="b">
        <v>0</v>
      </c>
      <c r="F684" s="88" t="b">
        <v>0</v>
      </c>
      <c r="G684" s="88" t="b">
        <v>0</v>
      </c>
    </row>
    <row r="685" spans="1:7" ht="15">
      <c r="A685" s="88" t="s">
        <v>2366</v>
      </c>
      <c r="B685" s="88">
        <v>9</v>
      </c>
      <c r="C685" s="120">
        <v>0</v>
      </c>
      <c r="D685" s="88" t="s">
        <v>2232</v>
      </c>
      <c r="E685" s="88" t="b">
        <v>0</v>
      </c>
      <c r="F685" s="88" t="b">
        <v>0</v>
      </c>
      <c r="G685" s="88" t="b">
        <v>0</v>
      </c>
    </row>
    <row r="686" spans="1:7" ht="15">
      <c r="A686" s="88" t="s">
        <v>2367</v>
      </c>
      <c r="B686" s="88">
        <v>9</v>
      </c>
      <c r="C686" s="120">
        <v>0</v>
      </c>
      <c r="D686" s="88" t="s">
        <v>2232</v>
      </c>
      <c r="E686" s="88" t="b">
        <v>0</v>
      </c>
      <c r="F686" s="88" t="b">
        <v>0</v>
      </c>
      <c r="G686" s="88" t="b">
        <v>0</v>
      </c>
    </row>
    <row r="687" spans="1:7" ht="15">
      <c r="A687" s="88" t="s">
        <v>2368</v>
      </c>
      <c r="B687" s="88">
        <v>9</v>
      </c>
      <c r="C687" s="120">
        <v>0</v>
      </c>
      <c r="D687" s="88" t="s">
        <v>2232</v>
      </c>
      <c r="E687" s="88" t="b">
        <v>0</v>
      </c>
      <c r="F687" s="88" t="b">
        <v>0</v>
      </c>
      <c r="G687" s="88" t="b">
        <v>0</v>
      </c>
    </row>
    <row r="688" spans="1:7" ht="15">
      <c r="A688" s="88" t="s">
        <v>2369</v>
      </c>
      <c r="B688" s="88">
        <v>9</v>
      </c>
      <c r="C688" s="120">
        <v>0</v>
      </c>
      <c r="D688" s="88" t="s">
        <v>2232</v>
      </c>
      <c r="E688" s="88" t="b">
        <v>0</v>
      </c>
      <c r="F688" s="88" t="b">
        <v>0</v>
      </c>
      <c r="G688" s="88" t="b">
        <v>0</v>
      </c>
    </row>
    <row r="689" spans="1:7" ht="15">
      <c r="A689" s="88" t="s">
        <v>2394</v>
      </c>
      <c r="B689" s="88">
        <v>6</v>
      </c>
      <c r="C689" s="120">
        <v>0</v>
      </c>
      <c r="D689" s="88" t="s">
        <v>2233</v>
      </c>
      <c r="E689" s="88" t="b">
        <v>0</v>
      </c>
      <c r="F689" s="88" t="b">
        <v>0</v>
      </c>
      <c r="G689" s="88" t="b">
        <v>0</v>
      </c>
    </row>
    <row r="690" spans="1:7" ht="15">
      <c r="A690" s="88" t="s">
        <v>2395</v>
      </c>
      <c r="B690" s="88">
        <v>6</v>
      </c>
      <c r="C690" s="120">
        <v>0</v>
      </c>
      <c r="D690" s="88" t="s">
        <v>2233</v>
      </c>
      <c r="E690" s="88" t="b">
        <v>0</v>
      </c>
      <c r="F690" s="88" t="b">
        <v>0</v>
      </c>
      <c r="G690" s="88" t="b">
        <v>0</v>
      </c>
    </row>
    <row r="691" spans="1:7" ht="15">
      <c r="A691" s="88" t="s">
        <v>2396</v>
      </c>
      <c r="B691" s="88">
        <v>6</v>
      </c>
      <c r="C691" s="120">
        <v>0</v>
      </c>
      <c r="D691" s="88" t="s">
        <v>2233</v>
      </c>
      <c r="E691" s="88" t="b">
        <v>0</v>
      </c>
      <c r="F691" s="88" t="b">
        <v>0</v>
      </c>
      <c r="G691" s="88" t="b">
        <v>0</v>
      </c>
    </row>
    <row r="692" spans="1:7" ht="15">
      <c r="A692" s="88" t="s">
        <v>2397</v>
      </c>
      <c r="B692" s="88">
        <v>6</v>
      </c>
      <c r="C692" s="120">
        <v>0</v>
      </c>
      <c r="D692" s="88" t="s">
        <v>2233</v>
      </c>
      <c r="E692" s="88" t="b">
        <v>0</v>
      </c>
      <c r="F692" s="88" t="b">
        <v>0</v>
      </c>
      <c r="G692" s="88" t="b">
        <v>0</v>
      </c>
    </row>
    <row r="693" spans="1:7" ht="15">
      <c r="A693" s="88" t="s">
        <v>2398</v>
      </c>
      <c r="B693" s="88">
        <v>6</v>
      </c>
      <c r="C693" s="120">
        <v>0</v>
      </c>
      <c r="D693" s="88" t="s">
        <v>2233</v>
      </c>
      <c r="E693" s="88" t="b">
        <v>0</v>
      </c>
      <c r="F693" s="88" t="b">
        <v>0</v>
      </c>
      <c r="G693" s="88" t="b">
        <v>0</v>
      </c>
    </row>
    <row r="694" spans="1:7" ht="15">
      <c r="A694" s="88" t="s">
        <v>2399</v>
      </c>
      <c r="B694" s="88">
        <v>6</v>
      </c>
      <c r="C694" s="120">
        <v>0</v>
      </c>
      <c r="D694" s="88" t="s">
        <v>2233</v>
      </c>
      <c r="E694" s="88" t="b">
        <v>0</v>
      </c>
      <c r="F694" s="88" t="b">
        <v>0</v>
      </c>
      <c r="G694" s="88" t="b">
        <v>0</v>
      </c>
    </row>
    <row r="695" spans="1:7" ht="15">
      <c r="A695" s="88" t="s">
        <v>2400</v>
      </c>
      <c r="B695" s="88">
        <v>6</v>
      </c>
      <c r="C695" s="120">
        <v>0</v>
      </c>
      <c r="D695" s="88" t="s">
        <v>2233</v>
      </c>
      <c r="E695" s="88" t="b">
        <v>0</v>
      </c>
      <c r="F695" s="88" t="b">
        <v>0</v>
      </c>
      <c r="G695" s="88" t="b">
        <v>0</v>
      </c>
    </row>
    <row r="696" spans="1:7" ht="15">
      <c r="A696" s="88" t="s">
        <v>699</v>
      </c>
      <c r="B696" s="88">
        <v>6</v>
      </c>
      <c r="C696" s="120">
        <v>0</v>
      </c>
      <c r="D696" s="88" t="s">
        <v>2233</v>
      </c>
      <c r="E696" s="88" t="b">
        <v>0</v>
      </c>
      <c r="F696" s="88" t="b">
        <v>0</v>
      </c>
      <c r="G696" s="88" t="b">
        <v>0</v>
      </c>
    </row>
    <row r="697" spans="1:7" ht="15">
      <c r="A697" s="88" t="s">
        <v>2401</v>
      </c>
      <c r="B697" s="88">
        <v>6</v>
      </c>
      <c r="C697" s="120">
        <v>0</v>
      </c>
      <c r="D697" s="88" t="s">
        <v>2233</v>
      </c>
      <c r="E697" s="88" t="b">
        <v>0</v>
      </c>
      <c r="F697" s="88" t="b">
        <v>0</v>
      </c>
      <c r="G697" s="88" t="b">
        <v>0</v>
      </c>
    </row>
    <row r="698" spans="1:7" ht="15">
      <c r="A698" s="88" t="s">
        <v>2402</v>
      </c>
      <c r="B698" s="88">
        <v>6</v>
      </c>
      <c r="C698" s="120">
        <v>0</v>
      </c>
      <c r="D698" s="88" t="s">
        <v>2233</v>
      </c>
      <c r="E698" s="88" t="b">
        <v>0</v>
      </c>
      <c r="F698" s="88" t="b">
        <v>0</v>
      </c>
      <c r="G698" s="88" t="b">
        <v>0</v>
      </c>
    </row>
    <row r="699" spans="1:7" ht="15">
      <c r="A699" s="88" t="s">
        <v>532</v>
      </c>
      <c r="B699" s="88">
        <v>6</v>
      </c>
      <c r="C699" s="120">
        <v>0</v>
      </c>
      <c r="D699" s="88" t="s">
        <v>2233</v>
      </c>
      <c r="E699" s="88" t="b">
        <v>0</v>
      </c>
      <c r="F699" s="88" t="b">
        <v>0</v>
      </c>
      <c r="G699" s="88" t="b">
        <v>0</v>
      </c>
    </row>
    <row r="700" spans="1:7" ht="15">
      <c r="A700" s="88" t="s">
        <v>2403</v>
      </c>
      <c r="B700" s="88">
        <v>6</v>
      </c>
      <c r="C700" s="120">
        <v>0</v>
      </c>
      <c r="D700" s="88" t="s">
        <v>2233</v>
      </c>
      <c r="E700" s="88" t="b">
        <v>0</v>
      </c>
      <c r="F700" s="88" t="b">
        <v>0</v>
      </c>
      <c r="G700" s="88" t="b">
        <v>0</v>
      </c>
    </row>
    <row r="701" spans="1:7" ht="15">
      <c r="A701" s="88" t="s">
        <v>2271</v>
      </c>
      <c r="B701" s="88">
        <v>6</v>
      </c>
      <c r="C701" s="120">
        <v>0</v>
      </c>
      <c r="D701" s="88" t="s">
        <v>2233</v>
      </c>
      <c r="E701" s="88" t="b">
        <v>0</v>
      </c>
      <c r="F701" s="88" t="b">
        <v>0</v>
      </c>
      <c r="G701" s="88" t="b">
        <v>0</v>
      </c>
    </row>
    <row r="702" spans="1:7" ht="15">
      <c r="A702" s="88" t="s">
        <v>2404</v>
      </c>
      <c r="B702" s="88">
        <v>6</v>
      </c>
      <c r="C702" s="120">
        <v>0</v>
      </c>
      <c r="D702" s="88" t="s">
        <v>2233</v>
      </c>
      <c r="E702" s="88" t="b">
        <v>0</v>
      </c>
      <c r="F702" s="88" t="b">
        <v>0</v>
      </c>
      <c r="G702" s="88" t="b">
        <v>0</v>
      </c>
    </row>
    <row r="703" spans="1:7" ht="15">
      <c r="A703" s="88" t="s">
        <v>2405</v>
      </c>
      <c r="B703" s="88">
        <v>6</v>
      </c>
      <c r="C703" s="120">
        <v>0</v>
      </c>
      <c r="D703" s="88" t="s">
        <v>2233</v>
      </c>
      <c r="E703" s="88" t="b">
        <v>0</v>
      </c>
      <c r="F703" s="88" t="b">
        <v>1</v>
      </c>
      <c r="G703" s="88" t="b">
        <v>0</v>
      </c>
    </row>
    <row r="704" spans="1:7" ht="15">
      <c r="A704" s="88" t="s">
        <v>2406</v>
      </c>
      <c r="B704" s="88">
        <v>6</v>
      </c>
      <c r="C704" s="120">
        <v>0</v>
      </c>
      <c r="D704" s="88" t="s">
        <v>2233</v>
      </c>
      <c r="E704" s="88" t="b">
        <v>0</v>
      </c>
      <c r="F704" s="88" t="b">
        <v>0</v>
      </c>
      <c r="G704" s="88" t="b">
        <v>0</v>
      </c>
    </row>
    <row r="705" spans="1:7" ht="15">
      <c r="A705" s="88" t="s">
        <v>2334</v>
      </c>
      <c r="B705" s="88">
        <v>6</v>
      </c>
      <c r="C705" s="120">
        <v>0</v>
      </c>
      <c r="D705" s="88" t="s">
        <v>2233</v>
      </c>
      <c r="E705" s="88" t="b">
        <v>0</v>
      </c>
      <c r="F705" s="88" t="b">
        <v>0</v>
      </c>
      <c r="G705" s="88" t="b">
        <v>0</v>
      </c>
    </row>
    <row r="706" spans="1:7" ht="15">
      <c r="A706" s="88" t="s">
        <v>2372</v>
      </c>
      <c r="B706" s="88">
        <v>6</v>
      </c>
      <c r="C706" s="120">
        <v>0</v>
      </c>
      <c r="D706" s="88" t="s">
        <v>2233</v>
      </c>
      <c r="E706" s="88" t="b">
        <v>1</v>
      </c>
      <c r="F706" s="88" t="b">
        <v>0</v>
      </c>
      <c r="G706" s="88" t="b">
        <v>0</v>
      </c>
    </row>
    <row r="707" spans="1:7" ht="15">
      <c r="A707" s="88" t="s">
        <v>2407</v>
      </c>
      <c r="B707" s="88">
        <v>6</v>
      </c>
      <c r="C707" s="120">
        <v>0</v>
      </c>
      <c r="D707" s="88" t="s">
        <v>2233</v>
      </c>
      <c r="E707" s="88" t="b">
        <v>0</v>
      </c>
      <c r="F707" s="88" t="b">
        <v>0</v>
      </c>
      <c r="G707" s="88" t="b">
        <v>0</v>
      </c>
    </row>
    <row r="708" spans="1:7" ht="15">
      <c r="A708" s="88" t="s">
        <v>531</v>
      </c>
      <c r="B708" s="88">
        <v>6</v>
      </c>
      <c r="C708" s="120">
        <v>0</v>
      </c>
      <c r="D708" s="88" t="s">
        <v>2233</v>
      </c>
      <c r="E708" s="88" t="b">
        <v>0</v>
      </c>
      <c r="F708" s="88" t="b">
        <v>0</v>
      </c>
      <c r="G708" s="88" t="b">
        <v>0</v>
      </c>
    </row>
    <row r="709" spans="1:7" ht="15">
      <c r="A709" s="88" t="s">
        <v>2408</v>
      </c>
      <c r="B709" s="88">
        <v>6</v>
      </c>
      <c r="C709" s="120">
        <v>0</v>
      </c>
      <c r="D709" s="88" t="s">
        <v>2233</v>
      </c>
      <c r="E709" s="88" t="b">
        <v>1</v>
      </c>
      <c r="F709" s="88" t="b">
        <v>0</v>
      </c>
      <c r="G709" s="88" t="b">
        <v>0</v>
      </c>
    </row>
    <row r="710" spans="1:7" ht="15">
      <c r="A710" s="88" t="s">
        <v>2409</v>
      </c>
      <c r="B710" s="88">
        <v>6</v>
      </c>
      <c r="C710" s="120">
        <v>0</v>
      </c>
      <c r="D710" s="88" t="s">
        <v>2233</v>
      </c>
      <c r="E710" s="88" t="b">
        <v>0</v>
      </c>
      <c r="F710" s="88" t="b">
        <v>0</v>
      </c>
      <c r="G710" s="88" t="b">
        <v>0</v>
      </c>
    </row>
    <row r="711" spans="1:7" ht="15">
      <c r="A711" s="88" t="s">
        <v>2271</v>
      </c>
      <c r="B711" s="88">
        <v>8</v>
      </c>
      <c r="C711" s="120">
        <v>0</v>
      </c>
      <c r="D711" s="88" t="s">
        <v>2234</v>
      </c>
      <c r="E711" s="88" t="b">
        <v>0</v>
      </c>
      <c r="F711" s="88" t="b">
        <v>0</v>
      </c>
      <c r="G711" s="88" t="b">
        <v>0</v>
      </c>
    </row>
    <row r="712" spans="1:7" ht="15">
      <c r="A712" s="88" t="s">
        <v>2420</v>
      </c>
      <c r="B712" s="88">
        <v>5</v>
      </c>
      <c r="C712" s="120">
        <v>0.006942856552922613</v>
      </c>
      <c r="D712" s="88" t="s">
        <v>2234</v>
      </c>
      <c r="E712" s="88" t="b">
        <v>0</v>
      </c>
      <c r="F712" s="88" t="b">
        <v>0</v>
      </c>
      <c r="G712" s="88" t="b">
        <v>0</v>
      </c>
    </row>
    <row r="713" spans="1:7" ht="15">
      <c r="A713" s="88" t="s">
        <v>2445</v>
      </c>
      <c r="B713" s="88">
        <v>4</v>
      </c>
      <c r="C713" s="120">
        <v>0.008191292399019896</v>
      </c>
      <c r="D713" s="88" t="s">
        <v>2234</v>
      </c>
      <c r="E713" s="88" t="b">
        <v>0</v>
      </c>
      <c r="F713" s="88" t="b">
        <v>0</v>
      </c>
      <c r="G713" s="88" t="b">
        <v>0</v>
      </c>
    </row>
    <row r="714" spans="1:7" ht="15">
      <c r="A714" s="88" t="s">
        <v>2444</v>
      </c>
      <c r="B714" s="88">
        <v>4</v>
      </c>
      <c r="C714" s="120">
        <v>0.008191292399019896</v>
      </c>
      <c r="D714" s="88" t="s">
        <v>2234</v>
      </c>
      <c r="E714" s="88" t="b">
        <v>0</v>
      </c>
      <c r="F714" s="88" t="b">
        <v>0</v>
      </c>
      <c r="G714" s="88" t="b">
        <v>0</v>
      </c>
    </row>
    <row r="715" spans="1:7" ht="15">
      <c r="A715" s="88" t="s">
        <v>2493</v>
      </c>
      <c r="B715" s="88">
        <v>3</v>
      </c>
      <c r="C715" s="120">
        <v>0.008693239434128185</v>
      </c>
      <c r="D715" s="88" t="s">
        <v>2234</v>
      </c>
      <c r="E715" s="88" t="b">
        <v>0</v>
      </c>
      <c r="F715" s="88" t="b">
        <v>0</v>
      </c>
      <c r="G715" s="88" t="b">
        <v>0</v>
      </c>
    </row>
    <row r="716" spans="1:7" ht="15">
      <c r="A716" s="88" t="s">
        <v>2492</v>
      </c>
      <c r="B716" s="88">
        <v>3</v>
      </c>
      <c r="C716" s="120">
        <v>0.008693239434128185</v>
      </c>
      <c r="D716" s="88" t="s">
        <v>2234</v>
      </c>
      <c r="E716" s="88" t="b">
        <v>0</v>
      </c>
      <c r="F716" s="88" t="b">
        <v>0</v>
      </c>
      <c r="G716" s="88" t="b">
        <v>0</v>
      </c>
    </row>
    <row r="717" spans="1:7" ht="15">
      <c r="A717" s="88" t="s">
        <v>2658</v>
      </c>
      <c r="B717" s="88">
        <v>2</v>
      </c>
      <c r="C717" s="120">
        <v>0.012286938598529844</v>
      </c>
      <c r="D717" s="88" t="s">
        <v>2234</v>
      </c>
      <c r="E717" s="88" t="b">
        <v>0</v>
      </c>
      <c r="F717" s="88" t="b">
        <v>0</v>
      </c>
      <c r="G717" s="88" t="b">
        <v>0</v>
      </c>
    </row>
    <row r="718" spans="1:7" ht="15">
      <c r="A718" s="88" t="s">
        <v>2659</v>
      </c>
      <c r="B718" s="88">
        <v>2</v>
      </c>
      <c r="C718" s="120">
        <v>0.012286938598529844</v>
      </c>
      <c r="D718" s="88" t="s">
        <v>2234</v>
      </c>
      <c r="E718" s="88" t="b">
        <v>0</v>
      </c>
      <c r="F718" s="88" t="b">
        <v>0</v>
      </c>
      <c r="G718" s="88" t="b">
        <v>0</v>
      </c>
    </row>
    <row r="719" spans="1:7" ht="15">
      <c r="A719" s="88" t="s">
        <v>2630</v>
      </c>
      <c r="B719" s="88">
        <v>2</v>
      </c>
      <c r="C719" s="120">
        <v>0.012286938598529844</v>
      </c>
      <c r="D719" s="88" t="s">
        <v>2234</v>
      </c>
      <c r="E719" s="88" t="b">
        <v>0</v>
      </c>
      <c r="F719" s="88" t="b">
        <v>0</v>
      </c>
      <c r="G719" s="88" t="b">
        <v>0</v>
      </c>
    </row>
    <row r="720" spans="1:7" ht="15">
      <c r="A720" s="88" t="s">
        <v>2583</v>
      </c>
      <c r="B720" s="88">
        <v>2</v>
      </c>
      <c r="C720" s="120">
        <v>0.008191292399019896</v>
      </c>
      <c r="D720" s="88" t="s">
        <v>2234</v>
      </c>
      <c r="E720" s="88" t="b">
        <v>0</v>
      </c>
      <c r="F720" s="88" t="b">
        <v>0</v>
      </c>
      <c r="G720" s="88" t="b">
        <v>0</v>
      </c>
    </row>
    <row r="721" spans="1:7" ht="15">
      <c r="A721" s="88" t="s">
        <v>2584</v>
      </c>
      <c r="B721" s="88">
        <v>2</v>
      </c>
      <c r="C721" s="120">
        <v>0.008191292399019896</v>
      </c>
      <c r="D721" s="88" t="s">
        <v>2234</v>
      </c>
      <c r="E721" s="88" t="b">
        <v>0</v>
      </c>
      <c r="F721" s="88" t="b">
        <v>0</v>
      </c>
      <c r="G721" s="88" t="b">
        <v>0</v>
      </c>
    </row>
    <row r="722" spans="1:7" ht="15">
      <c r="A722" s="88" t="s">
        <v>2585</v>
      </c>
      <c r="B722" s="88">
        <v>2</v>
      </c>
      <c r="C722" s="120">
        <v>0.008191292399019896</v>
      </c>
      <c r="D722" s="88" t="s">
        <v>2234</v>
      </c>
      <c r="E722" s="88" t="b">
        <v>0</v>
      </c>
      <c r="F722" s="88" t="b">
        <v>0</v>
      </c>
      <c r="G722" s="88" t="b">
        <v>0</v>
      </c>
    </row>
    <row r="723" spans="1:7" ht="15">
      <c r="A723" s="88" t="s">
        <v>2586</v>
      </c>
      <c r="B723" s="88">
        <v>2</v>
      </c>
      <c r="C723" s="120">
        <v>0.008191292399019896</v>
      </c>
      <c r="D723" s="88" t="s">
        <v>2234</v>
      </c>
      <c r="E723" s="88" t="b">
        <v>0</v>
      </c>
      <c r="F723" s="88" t="b">
        <v>0</v>
      </c>
      <c r="G723" s="88" t="b">
        <v>0</v>
      </c>
    </row>
    <row r="724" spans="1:7" ht="15">
      <c r="A724" s="88" t="s">
        <v>2587</v>
      </c>
      <c r="B724" s="88">
        <v>2</v>
      </c>
      <c r="C724" s="120">
        <v>0.008191292399019896</v>
      </c>
      <c r="D724" s="88" t="s">
        <v>2234</v>
      </c>
      <c r="E724" s="88" t="b">
        <v>0</v>
      </c>
      <c r="F724" s="88" t="b">
        <v>0</v>
      </c>
      <c r="G724" s="88" t="b">
        <v>0</v>
      </c>
    </row>
    <row r="725" spans="1:7" ht="15">
      <c r="A725" s="88" t="s">
        <v>2588</v>
      </c>
      <c r="B725" s="88">
        <v>2</v>
      </c>
      <c r="C725" s="120">
        <v>0.008191292399019896</v>
      </c>
      <c r="D725" s="88" t="s">
        <v>2234</v>
      </c>
      <c r="E725" s="88" t="b">
        <v>0</v>
      </c>
      <c r="F725" s="88" t="b">
        <v>0</v>
      </c>
      <c r="G725" s="88" t="b">
        <v>0</v>
      </c>
    </row>
    <row r="726" spans="1:7" ht="15">
      <c r="A726" s="88" t="s">
        <v>2589</v>
      </c>
      <c r="B726" s="88">
        <v>2</v>
      </c>
      <c r="C726" s="120">
        <v>0.008191292399019896</v>
      </c>
      <c r="D726" s="88" t="s">
        <v>2234</v>
      </c>
      <c r="E726" s="88" t="b">
        <v>0</v>
      </c>
      <c r="F726" s="88" t="b">
        <v>0</v>
      </c>
      <c r="G726" s="88" t="b">
        <v>0</v>
      </c>
    </row>
    <row r="727" spans="1:7" ht="15">
      <c r="A727" s="88" t="s">
        <v>2590</v>
      </c>
      <c r="B727" s="88">
        <v>2</v>
      </c>
      <c r="C727" s="120">
        <v>0.008191292399019896</v>
      </c>
      <c r="D727" s="88" t="s">
        <v>2234</v>
      </c>
      <c r="E727" s="88" t="b">
        <v>0</v>
      </c>
      <c r="F727" s="88" t="b">
        <v>0</v>
      </c>
      <c r="G727" s="88" t="b">
        <v>0</v>
      </c>
    </row>
    <row r="728" spans="1:7" ht="15">
      <c r="A728" s="88" t="s">
        <v>2591</v>
      </c>
      <c r="B728" s="88">
        <v>2</v>
      </c>
      <c r="C728" s="120">
        <v>0.008191292399019896</v>
      </c>
      <c r="D728" s="88" t="s">
        <v>2234</v>
      </c>
      <c r="E728" s="88" t="b">
        <v>0</v>
      </c>
      <c r="F728" s="88" t="b">
        <v>0</v>
      </c>
      <c r="G728" s="88" t="b">
        <v>0</v>
      </c>
    </row>
    <row r="729" spans="1:7" ht="15">
      <c r="A729" s="88" t="s">
        <v>2592</v>
      </c>
      <c r="B729" s="88">
        <v>2</v>
      </c>
      <c r="C729" s="120">
        <v>0.008191292399019896</v>
      </c>
      <c r="D729" s="88" t="s">
        <v>2234</v>
      </c>
      <c r="E729" s="88" t="b">
        <v>0</v>
      </c>
      <c r="F729" s="88" t="b">
        <v>0</v>
      </c>
      <c r="G729" s="88" t="b">
        <v>0</v>
      </c>
    </row>
    <row r="730" spans="1:7" ht="15">
      <c r="A730" s="88" t="s">
        <v>2593</v>
      </c>
      <c r="B730" s="88">
        <v>2</v>
      </c>
      <c r="C730" s="120">
        <v>0.008191292399019896</v>
      </c>
      <c r="D730" s="88" t="s">
        <v>2234</v>
      </c>
      <c r="E730" s="88" t="b">
        <v>0</v>
      </c>
      <c r="F730" s="88" t="b">
        <v>0</v>
      </c>
      <c r="G730" s="88" t="b">
        <v>0</v>
      </c>
    </row>
    <row r="731" spans="1:7" ht="15">
      <c r="A731" s="88" t="s">
        <v>2391</v>
      </c>
      <c r="B731" s="88">
        <v>6</v>
      </c>
      <c r="C731" s="120">
        <v>0</v>
      </c>
      <c r="D731" s="88" t="s">
        <v>2235</v>
      </c>
      <c r="E731" s="88" t="b">
        <v>0</v>
      </c>
      <c r="F731" s="88" t="b">
        <v>0</v>
      </c>
      <c r="G731" s="88" t="b">
        <v>0</v>
      </c>
    </row>
    <row r="732" spans="1:7" ht="15">
      <c r="A732" s="88" t="s">
        <v>2392</v>
      </c>
      <c r="B732" s="88">
        <v>6</v>
      </c>
      <c r="C732" s="120">
        <v>0</v>
      </c>
      <c r="D732" s="88" t="s">
        <v>2235</v>
      </c>
      <c r="E732" s="88" t="b">
        <v>1</v>
      </c>
      <c r="F732" s="88" t="b">
        <v>0</v>
      </c>
      <c r="G732" s="88" t="b">
        <v>0</v>
      </c>
    </row>
    <row r="733" spans="1:7" ht="15">
      <c r="A733" s="88" t="s">
        <v>2275</v>
      </c>
      <c r="B733" s="88">
        <v>6</v>
      </c>
      <c r="C733" s="120">
        <v>0</v>
      </c>
      <c r="D733" s="88" t="s">
        <v>2235</v>
      </c>
      <c r="E733" s="88" t="b">
        <v>0</v>
      </c>
      <c r="F733" s="88" t="b">
        <v>0</v>
      </c>
      <c r="G733" s="88" t="b">
        <v>0</v>
      </c>
    </row>
    <row r="734" spans="1:7" ht="15">
      <c r="A734" s="88" t="s">
        <v>2331</v>
      </c>
      <c r="B734" s="88">
        <v>6</v>
      </c>
      <c r="C734" s="120">
        <v>0</v>
      </c>
      <c r="D734" s="88" t="s">
        <v>2235</v>
      </c>
      <c r="E734" s="88" t="b">
        <v>0</v>
      </c>
      <c r="F734" s="88" t="b">
        <v>0</v>
      </c>
      <c r="G734" s="88" t="b">
        <v>0</v>
      </c>
    </row>
    <row r="735" spans="1:7" ht="15">
      <c r="A735" s="88" t="s">
        <v>2271</v>
      </c>
      <c r="B735" s="88">
        <v>6</v>
      </c>
      <c r="C735" s="120">
        <v>0</v>
      </c>
      <c r="D735" s="88" t="s">
        <v>2235</v>
      </c>
      <c r="E735" s="88" t="b">
        <v>0</v>
      </c>
      <c r="F735" s="88" t="b">
        <v>0</v>
      </c>
      <c r="G735" s="88" t="b">
        <v>0</v>
      </c>
    </row>
    <row r="736" spans="1:7" ht="15">
      <c r="A736" s="88" t="s">
        <v>2370</v>
      </c>
      <c r="B736" s="88">
        <v>8</v>
      </c>
      <c r="C736" s="120">
        <v>0</v>
      </c>
      <c r="D736" s="88" t="s">
        <v>2236</v>
      </c>
      <c r="E736" s="88" t="b">
        <v>0</v>
      </c>
      <c r="F736" s="88" t="b">
        <v>1</v>
      </c>
      <c r="G736" s="88" t="b">
        <v>0</v>
      </c>
    </row>
    <row r="737" spans="1:7" ht="15">
      <c r="A737" s="88" t="s">
        <v>2422</v>
      </c>
      <c r="B737" s="88">
        <v>4</v>
      </c>
      <c r="C737" s="120">
        <v>0</v>
      </c>
      <c r="D737" s="88" t="s">
        <v>2236</v>
      </c>
      <c r="E737" s="88" t="b">
        <v>0</v>
      </c>
      <c r="F737" s="88" t="b">
        <v>0</v>
      </c>
      <c r="G737" s="88" t="b">
        <v>0</v>
      </c>
    </row>
    <row r="738" spans="1:7" ht="15">
      <c r="A738" s="88" t="s">
        <v>2423</v>
      </c>
      <c r="B738" s="88">
        <v>4</v>
      </c>
      <c r="C738" s="120">
        <v>0</v>
      </c>
      <c r="D738" s="88" t="s">
        <v>2236</v>
      </c>
      <c r="E738" s="88" t="b">
        <v>0</v>
      </c>
      <c r="F738" s="88" t="b">
        <v>0</v>
      </c>
      <c r="G738" s="88" t="b">
        <v>0</v>
      </c>
    </row>
    <row r="739" spans="1:7" ht="15">
      <c r="A739" s="88" t="s">
        <v>2424</v>
      </c>
      <c r="B739" s="88">
        <v>4</v>
      </c>
      <c r="C739" s="120">
        <v>0</v>
      </c>
      <c r="D739" s="88" t="s">
        <v>2236</v>
      </c>
      <c r="E739" s="88" t="b">
        <v>0</v>
      </c>
      <c r="F739" s="88" t="b">
        <v>0</v>
      </c>
      <c r="G739" s="88" t="b">
        <v>0</v>
      </c>
    </row>
    <row r="740" spans="1:7" ht="15">
      <c r="A740" s="88" t="s">
        <v>2425</v>
      </c>
      <c r="B740" s="88">
        <v>4</v>
      </c>
      <c r="C740" s="120">
        <v>0</v>
      </c>
      <c r="D740" s="88" t="s">
        <v>2236</v>
      </c>
      <c r="E740" s="88" t="b">
        <v>0</v>
      </c>
      <c r="F740" s="88" t="b">
        <v>0</v>
      </c>
      <c r="G740" s="88" t="b">
        <v>0</v>
      </c>
    </row>
    <row r="741" spans="1:7" ht="15">
      <c r="A741" s="88" t="s">
        <v>2426</v>
      </c>
      <c r="B741" s="88">
        <v>4</v>
      </c>
      <c r="C741" s="120">
        <v>0</v>
      </c>
      <c r="D741" s="88" t="s">
        <v>2236</v>
      </c>
      <c r="E741" s="88" t="b">
        <v>0</v>
      </c>
      <c r="F741" s="88" t="b">
        <v>0</v>
      </c>
      <c r="G741" s="88" t="b">
        <v>0</v>
      </c>
    </row>
    <row r="742" spans="1:7" ht="15">
      <c r="A742" s="88" t="s">
        <v>2427</v>
      </c>
      <c r="B742" s="88">
        <v>4</v>
      </c>
      <c r="C742" s="120">
        <v>0</v>
      </c>
      <c r="D742" s="88" t="s">
        <v>2236</v>
      </c>
      <c r="E742" s="88" t="b">
        <v>0</v>
      </c>
      <c r="F742" s="88" t="b">
        <v>0</v>
      </c>
      <c r="G742" s="88" t="b">
        <v>0</v>
      </c>
    </row>
    <row r="743" spans="1:7" ht="15">
      <c r="A743" s="88" t="s">
        <v>2428</v>
      </c>
      <c r="B743" s="88">
        <v>4</v>
      </c>
      <c r="C743" s="120">
        <v>0</v>
      </c>
      <c r="D743" s="88" t="s">
        <v>2236</v>
      </c>
      <c r="E743" s="88" t="b">
        <v>0</v>
      </c>
      <c r="F743" s="88" t="b">
        <v>0</v>
      </c>
      <c r="G743" s="88" t="b">
        <v>0</v>
      </c>
    </row>
    <row r="744" spans="1:7" ht="15">
      <c r="A744" s="88" t="s">
        <v>2429</v>
      </c>
      <c r="B744" s="88">
        <v>4</v>
      </c>
      <c r="C744" s="120">
        <v>0</v>
      </c>
      <c r="D744" s="88" t="s">
        <v>2236</v>
      </c>
      <c r="E744" s="88" t="b">
        <v>0</v>
      </c>
      <c r="F744" s="88" t="b">
        <v>0</v>
      </c>
      <c r="G744" s="88" t="b">
        <v>0</v>
      </c>
    </row>
    <row r="745" spans="1:7" ht="15">
      <c r="A745" s="88" t="s">
        <v>2430</v>
      </c>
      <c r="B745" s="88">
        <v>4</v>
      </c>
      <c r="C745" s="120">
        <v>0</v>
      </c>
      <c r="D745" s="88" t="s">
        <v>2236</v>
      </c>
      <c r="E745" s="88" t="b">
        <v>0</v>
      </c>
      <c r="F745" s="88" t="b">
        <v>0</v>
      </c>
      <c r="G745" s="88" t="b">
        <v>0</v>
      </c>
    </row>
    <row r="746" spans="1:7" ht="15">
      <c r="A746" s="88" t="s">
        <v>2431</v>
      </c>
      <c r="B746" s="88">
        <v>4</v>
      </c>
      <c r="C746" s="120">
        <v>0</v>
      </c>
      <c r="D746" s="88" t="s">
        <v>2236</v>
      </c>
      <c r="E746" s="88" t="b">
        <v>0</v>
      </c>
      <c r="F746" s="88" t="b">
        <v>0</v>
      </c>
      <c r="G746" s="88" t="b">
        <v>0</v>
      </c>
    </row>
    <row r="747" spans="1:7" ht="15">
      <c r="A747" s="88" t="s">
        <v>2432</v>
      </c>
      <c r="B747" s="88">
        <v>4</v>
      </c>
      <c r="C747" s="120">
        <v>0</v>
      </c>
      <c r="D747" s="88" t="s">
        <v>2236</v>
      </c>
      <c r="E747" s="88" t="b">
        <v>0</v>
      </c>
      <c r="F747" s="88" t="b">
        <v>0</v>
      </c>
      <c r="G747" s="88" t="b">
        <v>0</v>
      </c>
    </row>
    <row r="748" spans="1:7" ht="15">
      <c r="A748" s="88" t="s">
        <v>2433</v>
      </c>
      <c r="B748" s="88">
        <v>4</v>
      </c>
      <c r="C748" s="120">
        <v>0</v>
      </c>
      <c r="D748" s="88" t="s">
        <v>2236</v>
      </c>
      <c r="E748" s="88" t="b">
        <v>0</v>
      </c>
      <c r="F748" s="88" t="b">
        <v>0</v>
      </c>
      <c r="G748" s="88" t="b">
        <v>0</v>
      </c>
    </row>
    <row r="749" spans="1:7" ht="15">
      <c r="A749" s="88" t="s">
        <v>2434</v>
      </c>
      <c r="B749" s="88">
        <v>4</v>
      </c>
      <c r="C749" s="120">
        <v>0</v>
      </c>
      <c r="D749" s="88" t="s">
        <v>2236</v>
      </c>
      <c r="E749" s="88" t="b">
        <v>0</v>
      </c>
      <c r="F749" s="88" t="b">
        <v>0</v>
      </c>
      <c r="G749" s="88" t="b">
        <v>0</v>
      </c>
    </row>
    <row r="750" spans="1:7" ht="15">
      <c r="A750" s="88" t="s">
        <v>2435</v>
      </c>
      <c r="B750" s="88">
        <v>4</v>
      </c>
      <c r="C750" s="120">
        <v>0</v>
      </c>
      <c r="D750" s="88" t="s">
        <v>2236</v>
      </c>
      <c r="E750" s="88" t="b">
        <v>0</v>
      </c>
      <c r="F750" s="88" t="b">
        <v>0</v>
      </c>
      <c r="G750" s="88" t="b">
        <v>0</v>
      </c>
    </row>
    <row r="751" spans="1:7" ht="15">
      <c r="A751" s="88" t="s">
        <v>2436</v>
      </c>
      <c r="B751" s="88">
        <v>4</v>
      </c>
      <c r="C751" s="120">
        <v>0</v>
      </c>
      <c r="D751" s="88" t="s">
        <v>2236</v>
      </c>
      <c r="E751" s="88" t="b">
        <v>0</v>
      </c>
      <c r="F751" s="88" t="b">
        <v>0</v>
      </c>
      <c r="G751" s="88" t="b">
        <v>0</v>
      </c>
    </row>
    <row r="752" spans="1:7" ht="15">
      <c r="A752" s="88" t="s">
        <v>2437</v>
      </c>
      <c r="B752" s="88">
        <v>4</v>
      </c>
      <c r="C752" s="120">
        <v>0</v>
      </c>
      <c r="D752" s="88" t="s">
        <v>2236</v>
      </c>
      <c r="E752" s="88" t="b">
        <v>0</v>
      </c>
      <c r="F752" s="88" t="b">
        <v>0</v>
      </c>
      <c r="G752" s="88" t="b">
        <v>0</v>
      </c>
    </row>
    <row r="753" spans="1:7" ht="15">
      <c r="A753" s="88" t="s">
        <v>2371</v>
      </c>
      <c r="B753" s="88">
        <v>4</v>
      </c>
      <c r="C753" s="120">
        <v>0</v>
      </c>
      <c r="D753" s="88" t="s">
        <v>2236</v>
      </c>
      <c r="E753" s="88" t="b">
        <v>0</v>
      </c>
      <c r="F753" s="88" t="b">
        <v>0</v>
      </c>
      <c r="G753" s="88" t="b">
        <v>0</v>
      </c>
    </row>
    <row r="754" spans="1:7" ht="15">
      <c r="A754" s="88" t="s">
        <v>2438</v>
      </c>
      <c r="B754" s="88">
        <v>4</v>
      </c>
      <c r="C754" s="120">
        <v>0</v>
      </c>
      <c r="D754" s="88" t="s">
        <v>2236</v>
      </c>
      <c r="E754" s="88" t="b">
        <v>0</v>
      </c>
      <c r="F754" s="88" t="b">
        <v>0</v>
      </c>
      <c r="G754" s="88" t="b">
        <v>0</v>
      </c>
    </row>
    <row r="755" spans="1:7" ht="15">
      <c r="A755" s="88" t="s">
        <v>528</v>
      </c>
      <c r="B755" s="88">
        <v>4</v>
      </c>
      <c r="C755" s="120">
        <v>0</v>
      </c>
      <c r="D755" s="88" t="s">
        <v>2236</v>
      </c>
      <c r="E755" s="88" t="b">
        <v>0</v>
      </c>
      <c r="F755" s="88" t="b">
        <v>0</v>
      </c>
      <c r="G755" s="88" t="b">
        <v>0</v>
      </c>
    </row>
    <row r="756" spans="1:7" ht="15">
      <c r="A756" s="88" t="s">
        <v>2439</v>
      </c>
      <c r="B756" s="88">
        <v>4</v>
      </c>
      <c r="C756" s="120">
        <v>0</v>
      </c>
      <c r="D756" s="88" t="s">
        <v>2236</v>
      </c>
      <c r="E756" s="88" t="b">
        <v>0</v>
      </c>
      <c r="F756" s="88" t="b">
        <v>0</v>
      </c>
      <c r="G756" s="88" t="b">
        <v>0</v>
      </c>
    </row>
    <row r="757" spans="1:7" ht="15">
      <c r="A757" s="88" t="s">
        <v>2271</v>
      </c>
      <c r="B757" s="88">
        <v>4</v>
      </c>
      <c r="C757" s="120">
        <v>0</v>
      </c>
      <c r="D757" s="88" t="s">
        <v>2236</v>
      </c>
      <c r="E757" s="88" t="b">
        <v>0</v>
      </c>
      <c r="F757" s="88" t="b">
        <v>0</v>
      </c>
      <c r="G757" s="88" t="b">
        <v>0</v>
      </c>
    </row>
    <row r="758" spans="1:7" ht="15">
      <c r="A758" s="88" t="s">
        <v>2446</v>
      </c>
      <c r="B758" s="88">
        <v>4</v>
      </c>
      <c r="C758" s="120">
        <v>0</v>
      </c>
      <c r="D758" s="88" t="s">
        <v>2237</v>
      </c>
      <c r="E758" s="88" t="b">
        <v>0</v>
      </c>
      <c r="F758" s="88" t="b">
        <v>0</v>
      </c>
      <c r="G758" s="88" t="b">
        <v>0</v>
      </c>
    </row>
    <row r="759" spans="1:7" ht="15">
      <c r="A759" s="88" t="s">
        <v>2447</v>
      </c>
      <c r="B759" s="88">
        <v>4</v>
      </c>
      <c r="C759" s="120">
        <v>0</v>
      </c>
      <c r="D759" s="88" t="s">
        <v>2237</v>
      </c>
      <c r="E759" s="88" t="b">
        <v>0</v>
      </c>
      <c r="F759" s="88" t="b">
        <v>0</v>
      </c>
      <c r="G759" s="88" t="b">
        <v>0</v>
      </c>
    </row>
    <row r="760" spans="1:7" ht="15">
      <c r="A760" s="88" t="s">
        <v>2448</v>
      </c>
      <c r="B760" s="88">
        <v>4</v>
      </c>
      <c r="C760" s="120">
        <v>0</v>
      </c>
      <c r="D760" s="88" t="s">
        <v>2237</v>
      </c>
      <c r="E760" s="88" t="b">
        <v>0</v>
      </c>
      <c r="F760" s="88" t="b">
        <v>0</v>
      </c>
      <c r="G760" s="88" t="b">
        <v>0</v>
      </c>
    </row>
    <row r="761" spans="1:7" ht="15">
      <c r="A761" s="88" t="s">
        <v>2449</v>
      </c>
      <c r="B761" s="88">
        <v>4</v>
      </c>
      <c r="C761" s="120">
        <v>0</v>
      </c>
      <c r="D761" s="88" t="s">
        <v>2237</v>
      </c>
      <c r="E761" s="88" t="b">
        <v>0</v>
      </c>
      <c r="F761" s="88" t="b">
        <v>0</v>
      </c>
      <c r="G761" s="88" t="b">
        <v>0</v>
      </c>
    </row>
    <row r="762" spans="1:7" ht="15">
      <c r="A762" s="88" t="s">
        <v>2450</v>
      </c>
      <c r="B762" s="88">
        <v>4</v>
      </c>
      <c r="C762" s="120">
        <v>0</v>
      </c>
      <c r="D762" s="88" t="s">
        <v>2237</v>
      </c>
      <c r="E762" s="88" t="b">
        <v>0</v>
      </c>
      <c r="F762" s="88" t="b">
        <v>0</v>
      </c>
      <c r="G762" s="88" t="b">
        <v>0</v>
      </c>
    </row>
    <row r="763" spans="1:7" ht="15">
      <c r="A763" s="88" t="s">
        <v>2451</v>
      </c>
      <c r="B763" s="88">
        <v>4</v>
      </c>
      <c r="C763" s="120">
        <v>0</v>
      </c>
      <c r="D763" s="88" t="s">
        <v>2237</v>
      </c>
      <c r="E763" s="88" t="b">
        <v>0</v>
      </c>
      <c r="F763" s="88" t="b">
        <v>0</v>
      </c>
      <c r="G763" s="88" t="b">
        <v>0</v>
      </c>
    </row>
    <row r="764" spans="1:7" ht="15">
      <c r="A764" s="88" t="s">
        <v>2452</v>
      </c>
      <c r="B764" s="88">
        <v>4</v>
      </c>
      <c r="C764" s="120">
        <v>0</v>
      </c>
      <c r="D764" s="88" t="s">
        <v>2237</v>
      </c>
      <c r="E764" s="88" t="b">
        <v>0</v>
      </c>
      <c r="F764" s="88" t="b">
        <v>0</v>
      </c>
      <c r="G764" s="88" t="b">
        <v>0</v>
      </c>
    </row>
    <row r="765" spans="1:7" ht="15">
      <c r="A765" s="88" t="s">
        <v>2453</v>
      </c>
      <c r="B765" s="88">
        <v>4</v>
      </c>
      <c r="C765" s="120">
        <v>0</v>
      </c>
      <c r="D765" s="88" t="s">
        <v>2237</v>
      </c>
      <c r="E765" s="88" t="b">
        <v>0</v>
      </c>
      <c r="F765" s="88" t="b">
        <v>0</v>
      </c>
      <c r="G765" s="88" t="b">
        <v>0</v>
      </c>
    </row>
    <row r="766" spans="1:7" ht="15">
      <c r="A766" s="88" t="s">
        <v>2454</v>
      </c>
      <c r="B766" s="88">
        <v>4</v>
      </c>
      <c r="C766" s="120">
        <v>0</v>
      </c>
      <c r="D766" s="88" t="s">
        <v>2237</v>
      </c>
      <c r="E766" s="88" t="b">
        <v>0</v>
      </c>
      <c r="F766" s="88" t="b">
        <v>0</v>
      </c>
      <c r="G766" s="88" t="b">
        <v>0</v>
      </c>
    </row>
    <row r="767" spans="1:7" ht="15">
      <c r="A767" s="88" t="s">
        <v>2455</v>
      </c>
      <c r="B767" s="88">
        <v>4</v>
      </c>
      <c r="C767" s="120">
        <v>0</v>
      </c>
      <c r="D767" s="88" t="s">
        <v>2237</v>
      </c>
      <c r="E767" s="88" t="b">
        <v>0</v>
      </c>
      <c r="F767" s="88" t="b">
        <v>0</v>
      </c>
      <c r="G767" s="88" t="b">
        <v>0</v>
      </c>
    </row>
    <row r="768" spans="1:7" ht="15">
      <c r="A768" s="88" t="s">
        <v>2456</v>
      </c>
      <c r="B768" s="88">
        <v>4</v>
      </c>
      <c r="C768" s="120">
        <v>0</v>
      </c>
      <c r="D768" s="88" t="s">
        <v>2237</v>
      </c>
      <c r="E768" s="88" t="b">
        <v>0</v>
      </c>
      <c r="F768" s="88" t="b">
        <v>0</v>
      </c>
      <c r="G768" s="88" t="b">
        <v>0</v>
      </c>
    </row>
    <row r="769" spans="1:7" ht="15">
      <c r="A769" s="88" t="s">
        <v>2457</v>
      </c>
      <c r="B769" s="88">
        <v>4</v>
      </c>
      <c r="C769" s="120">
        <v>0</v>
      </c>
      <c r="D769" s="88" t="s">
        <v>2237</v>
      </c>
      <c r="E769" s="88" t="b">
        <v>0</v>
      </c>
      <c r="F769" s="88" t="b">
        <v>0</v>
      </c>
      <c r="G769" s="88" t="b">
        <v>0</v>
      </c>
    </row>
    <row r="770" spans="1:7" ht="15">
      <c r="A770" s="88" t="s">
        <v>2458</v>
      </c>
      <c r="B770" s="88">
        <v>4</v>
      </c>
      <c r="C770" s="120">
        <v>0</v>
      </c>
      <c r="D770" s="88" t="s">
        <v>2237</v>
      </c>
      <c r="E770" s="88" t="b">
        <v>0</v>
      </c>
      <c r="F770" s="88" t="b">
        <v>0</v>
      </c>
      <c r="G770" s="88" t="b">
        <v>0</v>
      </c>
    </row>
    <row r="771" spans="1:7" ht="15">
      <c r="A771" s="88" t="s">
        <v>2326</v>
      </c>
      <c r="B771" s="88">
        <v>4</v>
      </c>
      <c r="C771" s="120">
        <v>0</v>
      </c>
      <c r="D771" s="88" t="s">
        <v>2237</v>
      </c>
      <c r="E771" s="88" t="b">
        <v>0</v>
      </c>
      <c r="F771" s="88" t="b">
        <v>0</v>
      </c>
      <c r="G771" s="88" t="b">
        <v>0</v>
      </c>
    </row>
    <row r="772" spans="1:7" ht="15">
      <c r="A772" s="88" t="s">
        <v>2459</v>
      </c>
      <c r="B772" s="88">
        <v>4</v>
      </c>
      <c r="C772" s="120">
        <v>0</v>
      </c>
      <c r="D772" s="88" t="s">
        <v>2237</v>
      </c>
      <c r="E772" s="88" t="b">
        <v>0</v>
      </c>
      <c r="F772" s="88" t="b">
        <v>0</v>
      </c>
      <c r="G772" s="88" t="b">
        <v>0</v>
      </c>
    </row>
    <row r="773" spans="1:7" ht="15">
      <c r="A773" s="88" t="s">
        <v>2460</v>
      </c>
      <c r="B773" s="88">
        <v>4</v>
      </c>
      <c r="C773" s="120">
        <v>0</v>
      </c>
      <c r="D773" s="88" t="s">
        <v>2237</v>
      </c>
      <c r="E773" s="88" t="b">
        <v>0</v>
      </c>
      <c r="F773" s="88" t="b">
        <v>0</v>
      </c>
      <c r="G773" s="88" t="b">
        <v>0</v>
      </c>
    </row>
    <row r="774" spans="1:7" ht="15">
      <c r="A774" s="88" t="s">
        <v>2461</v>
      </c>
      <c r="B774" s="88">
        <v>4</v>
      </c>
      <c r="C774" s="120">
        <v>0</v>
      </c>
      <c r="D774" s="88" t="s">
        <v>2237</v>
      </c>
      <c r="E774" s="88" t="b">
        <v>0</v>
      </c>
      <c r="F774" s="88" t="b">
        <v>0</v>
      </c>
      <c r="G774" s="88" t="b">
        <v>0</v>
      </c>
    </row>
    <row r="775" spans="1:7" ht="15">
      <c r="A775" s="88" t="s">
        <v>2462</v>
      </c>
      <c r="B775" s="88">
        <v>4</v>
      </c>
      <c r="C775" s="120">
        <v>0</v>
      </c>
      <c r="D775" s="88" t="s">
        <v>2237</v>
      </c>
      <c r="E775" s="88" t="b">
        <v>0</v>
      </c>
      <c r="F775" s="88" t="b">
        <v>0</v>
      </c>
      <c r="G775" s="88" t="b">
        <v>0</v>
      </c>
    </row>
    <row r="776" spans="1:7" ht="15">
      <c r="A776" s="88" t="s">
        <v>2463</v>
      </c>
      <c r="B776" s="88">
        <v>4</v>
      </c>
      <c r="C776" s="120">
        <v>0</v>
      </c>
      <c r="D776" s="88" t="s">
        <v>2237</v>
      </c>
      <c r="E776" s="88" t="b">
        <v>0</v>
      </c>
      <c r="F776" s="88" t="b">
        <v>0</v>
      </c>
      <c r="G776" s="88" t="b">
        <v>0</v>
      </c>
    </row>
    <row r="777" spans="1:7" ht="15">
      <c r="A777" s="88" t="s">
        <v>2464</v>
      </c>
      <c r="B777" s="88">
        <v>4</v>
      </c>
      <c r="C777" s="120">
        <v>0</v>
      </c>
      <c r="D777" s="88" t="s">
        <v>2237</v>
      </c>
      <c r="E777" s="88" t="b">
        <v>0</v>
      </c>
      <c r="F777" s="88" t="b">
        <v>0</v>
      </c>
      <c r="G777" s="88" t="b">
        <v>0</v>
      </c>
    </row>
    <row r="778" spans="1:7" ht="15">
      <c r="A778" s="88" t="s">
        <v>529</v>
      </c>
      <c r="B778" s="88">
        <v>4</v>
      </c>
      <c r="C778" s="120">
        <v>0</v>
      </c>
      <c r="D778" s="88" t="s">
        <v>2237</v>
      </c>
      <c r="E778" s="88" t="b">
        <v>0</v>
      </c>
      <c r="F778" s="88" t="b">
        <v>0</v>
      </c>
      <c r="G778" s="88" t="b">
        <v>0</v>
      </c>
    </row>
    <row r="779" spans="1:7" ht="15">
      <c r="A779" s="88" t="s">
        <v>2271</v>
      </c>
      <c r="B779" s="88">
        <v>4</v>
      </c>
      <c r="C779" s="120">
        <v>0</v>
      </c>
      <c r="D779" s="88" t="s">
        <v>2237</v>
      </c>
      <c r="E779" s="88" t="b">
        <v>0</v>
      </c>
      <c r="F779" s="88" t="b">
        <v>0</v>
      </c>
      <c r="G779" s="88" t="b">
        <v>0</v>
      </c>
    </row>
    <row r="780" spans="1:7" ht="15">
      <c r="A780" s="88" t="s">
        <v>2338</v>
      </c>
      <c r="B780" s="88">
        <v>4</v>
      </c>
      <c r="C780" s="120">
        <v>0</v>
      </c>
      <c r="D780" s="88" t="s">
        <v>2237</v>
      </c>
      <c r="E780" s="88" t="b">
        <v>0</v>
      </c>
      <c r="F780" s="88" t="b">
        <v>0</v>
      </c>
      <c r="G780" s="88" t="b">
        <v>0</v>
      </c>
    </row>
    <row r="781" spans="1:7" ht="15">
      <c r="A781" s="88" t="s">
        <v>2378</v>
      </c>
      <c r="B781" s="88">
        <v>8</v>
      </c>
      <c r="C781" s="120">
        <v>0</v>
      </c>
      <c r="D781" s="88" t="s">
        <v>2238</v>
      </c>
      <c r="E781" s="88" t="b">
        <v>0</v>
      </c>
      <c r="F781" s="88" t="b">
        <v>0</v>
      </c>
      <c r="G781" s="88" t="b">
        <v>0</v>
      </c>
    </row>
    <row r="782" spans="1:7" ht="15">
      <c r="A782" s="88" t="s">
        <v>2275</v>
      </c>
      <c r="B782" s="88">
        <v>4</v>
      </c>
      <c r="C782" s="120">
        <v>0</v>
      </c>
      <c r="D782" s="88" t="s">
        <v>2238</v>
      </c>
      <c r="E782" s="88" t="b">
        <v>0</v>
      </c>
      <c r="F782" s="88" t="b">
        <v>0</v>
      </c>
      <c r="G782" s="88" t="b">
        <v>0</v>
      </c>
    </row>
    <row r="783" spans="1:7" ht="15">
      <c r="A783" s="88" t="s">
        <v>2297</v>
      </c>
      <c r="B783" s="88">
        <v>4</v>
      </c>
      <c r="C783" s="120">
        <v>0</v>
      </c>
      <c r="D783" s="88" t="s">
        <v>2238</v>
      </c>
      <c r="E783" s="88" t="b">
        <v>0</v>
      </c>
      <c r="F783" s="88" t="b">
        <v>0</v>
      </c>
      <c r="G783" s="88" t="b">
        <v>0</v>
      </c>
    </row>
    <row r="784" spans="1:7" ht="15">
      <c r="A784" s="88" t="s">
        <v>2477</v>
      </c>
      <c r="B784" s="88">
        <v>4</v>
      </c>
      <c r="C784" s="120">
        <v>0</v>
      </c>
      <c r="D784" s="88" t="s">
        <v>2238</v>
      </c>
      <c r="E784" s="88" t="b">
        <v>0</v>
      </c>
      <c r="F784" s="88" t="b">
        <v>0</v>
      </c>
      <c r="G784" s="88" t="b">
        <v>0</v>
      </c>
    </row>
    <row r="785" spans="1:7" ht="15">
      <c r="A785" s="88" t="s">
        <v>2478</v>
      </c>
      <c r="B785" s="88">
        <v>4</v>
      </c>
      <c r="C785" s="120">
        <v>0</v>
      </c>
      <c r="D785" s="88" t="s">
        <v>2238</v>
      </c>
      <c r="E785" s="88" t="b">
        <v>0</v>
      </c>
      <c r="F785" s="88" t="b">
        <v>0</v>
      </c>
      <c r="G785" s="88" t="b">
        <v>0</v>
      </c>
    </row>
    <row r="786" spans="1:7" ht="15">
      <c r="A786" s="88" t="s">
        <v>2479</v>
      </c>
      <c r="B786" s="88">
        <v>4</v>
      </c>
      <c r="C786" s="120">
        <v>0</v>
      </c>
      <c r="D786" s="88" t="s">
        <v>2238</v>
      </c>
      <c r="E786" s="88" t="b">
        <v>0</v>
      </c>
      <c r="F786" s="88" t="b">
        <v>0</v>
      </c>
      <c r="G786" s="88" t="b">
        <v>0</v>
      </c>
    </row>
    <row r="787" spans="1:7" ht="15">
      <c r="A787" s="88" t="s">
        <v>2480</v>
      </c>
      <c r="B787" s="88">
        <v>4</v>
      </c>
      <c r="C787" s="120">
        <v>0</v>
      </c>
      <c r="D787" s="88" t="s">
        <v>2238</v>
      </c>
      <c r="E787" s="88" t="b">
        <v>0</v>
      </c>
      <c r="F787" s="88" t="b">
        <v>0</v>
      </c>
      <c r="G787" s="88" t="b">
        <v>0</v>
      </c>
    </row>
    <row r="788" spans="1:7" ht="15">
      <c r="A788" s="88" t="s">
        <v>699</v>
      </c>
      <c r="B788" s="88">
        <v>4</v>
      </c>
      <c r="C788" s="120">
        <v>0</v>
      </c>
      <c r="D788" s="88" t="s">
        <v>2238</v>
      </c>
      <c r="E788" s="88" t="b">
        <v>0</v>
      </c>
      <c r="F788" s="88" t="b">
        <v>0</v>
      </c>
      <c r="G788" s="88" t="b">
        <v>0</v>
      </c>
    </row>
    <row r="789" spans="1:7" ht="15">
      <c r="A789" s="88" t="s">
        <v>2481</v>
      </c>
      <c r="B789" s="88">
        <v>4</v>
      </c>
      <c r="C789" s="120">
        <v>0</v>
      </c>
      <c r="D789" s="88" t="s">
        <v>2238</v>
      </c>
      <c r="E789" s="88" t="b">
        <v>0</v>
      </c>
      <c r="F789" s="88" t="b">
        <v>0</v>
      </c>
      <c r="G789" s="88" t="b">
        <v>0</v>
      </c>
    </row>
    <row r="790" spans="1:7" ht="15">
      <c r="A790" s="88" t="s">
        <v>530</v>
      </c>
      <c r="B790" s="88">
        <v>4</v>
      </c>
      <c r="C790" s="120">
        <v>0</v>
      </c>
      <c r="D790" s="88" t="s">
        <v>2238</v>
      </c>
      <c r="E790" s="88" t="b">
        <v>0</v>
      </c>
      <c r="F790" s="88" t="b">
        <v>0</v>
      </c>
      <c r="G790" s="88" t="b">
        <v>0</v>
      </c>
    </row>
    <row r="791" spans="1:7" ht="15">
      <c r="A791" s="88" t="s">
        <v>2482</v>
      </c>
      <c r="B791" s="88">
        <v>4</v>
      </c>
      <c r="C791" s="120">
        <v>0</v>
      </c>
      <c r="D791" s="88" t="s">
        <v>2238</v>
      </c>
      <c r="E791" s="88" t="b">
        <v>0</v>
      </c>
      <c r="F791" s="88" t="b">
        <v>0</v>
      </c>
      <c r="G791" s="88" t="b">
        <v>0</v>
      </c>
    </row>
    <row r="792" spans="1:7" ht="15">
      <c r="A792" s="88" t="s">
        <v>2483</v>
      </c>
      <c r="B792" s="88">
        <v>4</v>
      </c>
      <c r="C792" s="120">
        <v>0</v>
      </c>
      <c r="D792" s="88" t="s">
        <v>2238</v>
      </c>
      <c r="E792" s="88" t="b">
        <v>0</v>
      </c>
      <c r="F792" s="88" t="b">
        <v>0</v>
      </c>
      <c r="G792" s="88" t="b">
        <v>0</v>
      </c>
    </row>
    <row r="793" spans="1:7" ht="15">
      <c r="A793" s="88" t="s">
        <v>2484</v>
      </c>
      <c r="B793" s="88">
        <v>4</v>
      </c>
      <c r="C793" s="120">
        <v>0</v>
      </c>
      <c r="D793" s="88" t="s">
        <v>2238</v>
      </c>
      <c r="E793" s="88" t="b">
        <v>0</v>
      </c>
      <c r="F793" s="88" t="b">
        <v>0</v>
      </c>
      <c r="G793" s="88" t="b">
        <v>0</v>
      </c>
    </row>
    <row r="794" spans="1:7" ht="15">
      <c r="A794" s="88" t="s">
        <v>2485</v>
      </c>
      <c r="B794" s="88">
        <v>4</v>
      </c>
      <c r="C794" s="120">
        <v>0</v>
      </c>
      <c r="D794" s="88" t="s">
        <v>2238</v>
      </c>
      <c r="E794" s="88" t="b">
        <v>0</v>
      </c>
      <c r="F794" s="88" t="b">
        <v>0</v>
      </c>
      <c r="G794" s="88" t="b">
        <v>0</v>
      </c>
    </row>
    <row r="795" spans="1:7" ht="15">
      <c r="A795" s="88" t="s">
        <v>2421</v>
      </c>
      <c r="B795" s="88">
        <v>4</v>
      </c>
      <c r="C795" s="120">
        <v>0</v>
      </c>
      <c r="D795" s="88" t="s">
        <v>2238</v>
      </c>
      <c r="E795" s="88" t="b">
        <v>0</v>
      </c>
      <c r="F795" s="88" t="b">
        <v>0</v>
      </c>
      <c r="G795" s="88" t="b">
        <v>0</v>
      </c>
    </row>
    <row r="796" spans="1:7" ht="15">
      <c r="A796" s="88" t="s">
        <v>2486</v>
      </c>
      <c r="B796" s="88">
        <v>4</v>
      </c>
      <c r="C796" s="120">
        <v>0</v>
      </c>
      <c r="D796" s="88" t="s">
        <v>2238</v>
      </c>
      <c r="E796" s="88" t="b">
        <v>0</v>
      </c>
      <c r="F796" s="88" t="b">
        <v>0</v>
      </c>
      <c r="G796" s="88" t="b">
        <v>0</v>
      </c>
    </row>
    <row r="797" spans="1:7" ht="15">
      <c r="A797" s="88" t="s">
        <v>2487</v>
      </c>
      <c r="B797" s="88">
        <v>4</v>
      </c>
      <c r="C797" s="120">
        <v>0</v>
      </c>
      <c r="D797" s="88" t="s">
        <v>2238</v>
      </c>
      <c r="E797" s="88" t="b">
        <v>0</v>
      </c>
      <c r="F797" s="88" t="b">
        <v>0</v>
      </c>
      <c r="G797" s="88" t="b">
        <v>0</v>
      </c>
    </row>
    <row r="798" spans="1:7" ht="15">
      <c r="A798" s="88" t="s">
        <v>2488</v>
      </c>
      <c r="B798" s="88">
        <v>4</v>
      </c>
      <c r="C798" s="120">
        <v>0</v>
      </c>
      <c r="D798" s="88" t="s">
        <v>2238</v>
      </c>
      <c r="E798" s="88" t="b">
        <v>0</v>
      </c>
      <c r="F798" s="88" t="b">
        <v>0</v>
      </c>
      <c r="G798" s="88" t="b">
        <v>0</v>
      </c>
    </row>
    <row r="799" spans="1:7" ht="15">
      <c r="A799" s="88" t="s">
        <v>2489</v>
      </c>
      <c r="B799" s="88">
        <v>4</v>
      </c>
      <c r="C799" s="120">
        <v>0</v>
      </c>
      <c r="D799" s="88" t="s">
        <v>2238</v>
      </c>
      <c r="E799" s="88" t="b">
        <v>0</v>
      </c>
      <c r="F799" s="88" t="b">
        <v>0</v>
      </c>
      <c r="G799" s="88" t="b">
        <v>0</v>
      </c>
    </row>
    <row r="800" spans="1:7" ht="15">
      <c r="A800" s="88" t="s">
        <v>2490</v>
      </c>
      <c r="B800" s="88">
        <v>4</v>
      </c>
      <c r="C800" s="120">
        <v>0</v>
      </c>
      <c r="D800" s="88" t="s">
        <v>2238</v>
      </c>
      <c r="E800" s="88" t="b">
        <v>0</v>
      </c>
      <c r="F800" s="88" t="b">
        <v>0</v>
      </c>
      <c r="G800" s="88" t="b">
        <v>0</v>
      </c>
    </row>
    <row r="801" spans="1:7" ht="15">
      <c r="A801" s="88" t="s">
        <v>2271</v>
      </c>
      <c r="B801" s="88">
        <v>4</v>
      </c>
      <c r="C801" s="120">
        <v>0</v>
      </c>
      <c r="D801" s="88" t="s">
        <v>2238</v>
      </c>
      <c r="E801" s="88" t="b">
        <v>0</v>
      </c>
      <c r="F801" s="88" t="b">
        <v>0</v>
      </c>
      <c r="G801" s="88" t="b">
        <v>0</v>
      </c>
    </row>
    <row r="802" spans="1:7" ht="15">
      <c r="A802" s="88" t="s">
        <v>2520</v>
      </c>
      <c r="B802" s="88">
        <v>3</v>
      </c>
      <c r="C802" s="120">
        <v>0</v>
      </c>
      <c r="D802" s="88" t="s">
        <v>2239</v>
      </c>
      <c r="E802" s="88" t="b">
        <v>0</v>
      </c>
      <c r="F802" s="88" t="b">
        <v>0</v>
      </c>
      <c r="G802" s="88" t="b">
        <v>0</v>
      </c>
    </row>
    <row r="803" spans="1:7" ht="15">
      <c r="A803" s="88" t="s">
        <v>2521</v>
      </c>
      <c r="B803" s="88">
        <v>3</v>
      </c>
      <c r="C803" s="120">
        <v>0</v>
      </c>
      <c r="D803" s="88" t="s">
        <v>2239</v>
      </c>
      <c r="E803" s="88" t="b">
        <v>0</v>
      </c>
      <c r="F803" s="88" t="b">
        <v>0</v>
      </c>
      <c r="G803" s="88" t="b">
        <v>0</v>
      </c>
    </row>
    <row r="804" spans="1:7" ht="15">
      <c r="A804" s="88" t="s">
        <v>2522</v>
      </c>
      <c r="B804" s="88">
        <v>3</v>
      </c>
      <c r="C804" s="120">
        <v>0</v>
      </c>
      <c r="D804" s="88" t="s">
        <v>2239</v>
      </c>
      <c r="E804" s="88" t="b">
        <v>0</v>
      </c>
      <c r="F804" s="88" t="b">
        <v>0</v>
      </c>
      <c r="G804" s="88" t="b">
        <v>0</v>
      </c>
    </row>
    <row r="805" spans="1:7" ht="15">
      <c r="A805" s="88" t="s">
        <v>2523</v>
      </c>
      <c r="B805" s="88">
        <v>3</v>
      </c>
      <c r="C805" s="120">
        <v>0</v>
      </c>
      <c r="D805" s="88" t="s">
        <v>2239</v>
      </c>
      <c r="E805" s="88" t="b">
        <v>0</v>
      </c>
      <c r="F805" s="88" t="b">
        <v>0</v>
      </c>
      <c r="G805" s="88" t="b">
        <v>0</v>
      </c>
    </row>
    <row r="806" spans="1:7" ht="15">
      <c r="A806" s="88" t="s">
        <v>2524</v>
      </c>
      <c r="B806" s="88">
        <v>3</v>
      </c>
      <c r="C806" s="120">
        <v>0</v>
      </c>
      <c r="D806" s="88" t="s">
        <v>2239</v>
      </c>
      <c r="E806" s="88" t="b">
        <v>0</v>
      </c>
      <c r="F806" s="88" t="b">
        <v>0</v>
      </c>
      <c r="G806" s="88" t="b">
        <v>0</v>
      </c>
    </row>
    <row r="807" spans="1:7" ht="15">
      <c r="A807" s="88" t="s">
        <v>2525</v>
      </c>
      <c r="B807" s="88">
        <v>3</v>
      </c>
      <c r="C807" s="120">
        <v>0</v>
      </c>
      <c r="D807" s="88" t="s">
        <v>2239</v>
      </c>
      <c r="E807" s="88" t="b">
        <v>0</v>
      </c>
      <c r="F807" s="88" t="b">
        <v>0</v>
      </c>
      <c r="G807" s="88" t="b">
        <v>0</v>
      </c>
    </row>
    <row r="808" spans="1:7" ht="15">
      <c r="A808" s="88" t="s">
        <v>2526</v>
      </c>
      <c r="B808" s="88">
        <v>3</v>
      </c>
      <c r="C808" s="120">
        <v>0</v>
      </c>
      <c r="D808" s="88" t="s">
        <v>2239</v>
      </c>
      <c r="E808" s="88" t="b">
        <v>0</v>
      </c>
      <c r="F808" s="88" t="b">
        <v>0</v>
      </c>
      <c r="G808" s="88" t="b">
        <v>0</v>
      </c>
    </row>
    <row r="809" spans="1:7" ht="15">
      <c r="A809" s="88" t="s">
        <v>2527</v>
      </c>
      <c r="B809" s="88">
        <v>3</v>
      </c>
      <c r="C809" s="120">
        <v>0</v>
      </c>
      <c r="D809" s="88" t="s">
        <v>2239</v>
      </c>
      <c r="E809" s="88" t="b">
        <v>0</v>
      </c>
      <c r="F809" s="88" t="b">
        <v>0</v>
      </c>
      <c r="G809" s="88" t="b">
        <v>0</v>
      </c>
    </row>
    <row r="810" spans="1:7" ht="15">
      <c r="A810" s="88" t="s">
        <v>535</v>
      </c>
      <c r="B810" s="88">
        <v>3</v>
      </c>
      <c r="C810" s="120">
        <v>0</v>
      </c>
      <c r="D810" s="88" t="s">
        <v>2239</v>
      </c>
      <c r="E810" s="88" t="b">
        <v>0</v>
      </c>
      <c r="F810" s="88" t="b">
        <v>0</v>
      </c>
      <c r="G810" s="88" t="b">
        <v>0</v>
      </c>
    </row>
    <row r="811" spans="1:7" ht="15">
      <c r="A811" s="88" t="s">
        <v>469</v>
      </c>
      <c r="B811" s="88">
        <v>3</v>
      </c>
      <c r="C811" s="120">
        <v>0</v>
      </c>
      <c r="D811" s="88" t="s">
        <v>2239</v>
      </c>
      <c r="E811" s="88" t="b">
        <v>0</v>
      </c>
      <c r="F811" s="88" t="b">
        <v>0</v>
      </c>
      <c r="G811" s="88" t="b">
        <v>0</v>
      </c>
    </row>
    <row r="812" spans="1:7" ht="15">
      <c r="A812" s="88" t="s">
        <v>2271</v>
      </c>
      <c r="B812" s="88">
        <v>3</v>
      </c>
      <c r="C812" s="120">
        <v>0</v>
      </c>
      <c r="D812" s="88" t="s">
        <v>2239</v>
      </c>
      <c r="E812" s="88" t="b">
        <v>0</v>
      </c>
      <c r="F812" s="88" t="b">
        <v>0</v>
      </c>
      <c r="G812" s="88" t="b">
        <v>0</v>
      </c>
    </row>
    <row r="813" spans="1:7" ht="15">
      <c r="A813" s="88" t="s">
        <v>2334</v>
      </c>
      <c r="B813" s="88">
        <v>3</v>
      </c>
      <c r="C813" s="120">
        <v>0</v>
      </c>
      <c r="D813" s="88" t="s">
        <v>2240</v>
      </c>
      <c r="E813" s="88" t="b">
        <v>0</v>
      </c>
      <c r="F813" s="88" t="b">
        <v>0</v>
      </c>
      <c r="G813" s="88" t="b">
        <v>0</v>
      </c>
    </row>
    <row r="814" spans="1:7" ht="15">
      <c r="A814" s="88" t="s">
        <v>2339</v>
      </c>
      <c r="B814" s="88">
        <v>3</v>
      </c>
      <c r="C814" s="120">
        <v>0</v>
      </c>
      <c r="D814" s="88" t="s">
        <v>2240</v>
      </c>
      <c r="E814" s="88" t="b">
        <v>0</v>
      </c>
      <c r="F814" s="88" t="b">
        <v>0</v>
      </c>
      <c r="G814" s="88" t="b">
        <v>0</v>
      </c>
    </row>
    <row r="815" spans="1:7" ht="15">
      <c r="A815" s="88" t="s">
        <v>2528</v>
      </c>
      <c r="B815" s="88">
        <v>3</v>
      </c>
      <c r="C815" s="120">
        <v>0</v>
      </c>
      <c r="D815" s="88" t="s">
        <v>2240</v>
      </c>
      <c r="E815" s="88" t="b">
        <v>0</v>
      </c>
      <c r="F815" s="88" t="b">
        <v>0</v>
      </c>
      <c r="G815" s="88" t="b">
        <v>0</v>
      </c>
    </row>
    <row r="816" spans="1:7" ht="15">
      <c r="A816" s="88" t="s">
        <v>2529</v>
      </c>
      <c r="B816" s="88">
        <v>3</v>
      </c>
      <c r="C816" s="120">
        <v>0</v>
      </c>
      <c r="D816" s="88" t="s">
        <v>2240</v>
      </c>
      <c r="E816" s="88" t="b">
        <v>0</v>
      </c>
      <c r="F816" s="88" t="b">
        <v>1</v>
      </c>
      <c r="G816" s="88" t="b">
        <v>0</v>
      </c>
    </row>
    <row r="817" spans="1:7" ht="15">
      <c r="A817" s="88" t="s">
        <v>2530</v>
      </c>
      <c r="B817" s="88">
        <v>3</v>
      </c>
      <c r="C817" s="120">
        <v>0</v>
      </c>
      <c r="D817" s="88" t="s">
        <v>2240</v>
      </c>
      <c r="E817" s="88" t="b">
        <v>0</v>
      </c>
      <c r="F817" s="88" t="b">
        <v>0</v>
      </c>
      <c r="G817" s="88" t="b">
        <v>0</v>
      </c>
    </row>
    <row r="818" spans="1:7" ht="15">
      <c r="A818" s="88" t="s">
        <v>2531</v>
      </c>
      <c r="B818" s="88">
        <v>3</v>
      </c>
      <c r="C818" s="120">
        <v>0</v>
      </c>
      <c r="D818" s="88" t="s">
        <v>2240</v>
      </c>
      <c r="E818" s="88" t="b">
        <v>0</v>
      </c>
      <c r="F818" s="88" t="b">
        <v>0</v>
      </c>
      <c r="G818" s="88" t="b">
        <v>0</v>
      </c>
    </row>
    <row r="819" spans="1:7" ht="15">
      <c r="A819" s="88" t="s">
        <v>2532</v>
      </c>
      <c r="B819" s="88">
        <v>3</v>
      </c>
      <c r="C819" s="120">
        <v>0</v>
      </c>
      <c r="D819" s="88" t="s">
        <v>2240</v>
      </c>
      <c r="E819" s="88" t="b">
        <v>0</v>
      </c>
      <c r="F819" s="88" t="b">
        <v>0</v>
      </c>
      <c r="G819" s="88" t="b">
        <v>0</v>
      </c>
    </row>
    <row r="820" spans="1:7" ht="15">
      <c r="A820" s="88" t="s">
        <v>2276</v>
      </c>
      <c r="B820" s="88">
        <v>3</v>
      </c>
      <c r="C820" s="120">
        <v>0</v>
      </c>
      <c r="D820" s="88" t="s">
        <v>2240</v>
      </c>
      <c r="E820" s="88" t="b">
        <v>0</v>
      </c>
      <c r="F820" s="88" t="b">
        <v>0</v>
      </c>
      <c r="G820" s="88" t="b">
        <v>0</v>
      </c>
    </row>
    <row r="821" spans="1:7" ht="15">
      <c r="A821" s="88" t="s">
        <v>2533</v>
      </c>
      <c r="B821" s="88">
        <v>3</v>
      </c>
      <c r="C821" s="120">
        <v>0</v>
      </c>
      <c r="D821" s="88" t="s">
        <v>2240</v>
      </c>
      <c r="E821" s="88" t="b">
        <v>0</v>
      </c>
      <c r="F821" s="88" t="b">
        <v>0</v>
      </c>
      <c r="G821" s="88" t="b">
        <v>0</v>
      </c>
    </row>
    <row r="822" spans="1:7" ht="15">
      <c r="A822" s="88" t="s">
        <v>2534</v>
      </c>
      <c r="B822" s="88">
        <v>3</v>
      </c>
      <c r="C822" s="120">
        <v>0</v>
      </c>
      <c r="D822" s="88" t="s">
        <v>2240</v>
      </c>
      <c r="E822" s="88" t="b">
        <v>0</v>
      </c>
      <c r="F822" s="88" t="b">
        <v>0</v>
      </c>
      <c r="G822" s="88" t="b">
        <v>0</v>
      </c>
    </row>
    <row r="823" spans="1:7" ht="15">
      <c r="A823" s="88" t="s">
        <v>523</v>
      </c>
      <c r="B823" s="88">
        <v>3</v>
      </c>
      <c r="C823" s="120">
        <v>0</v>
      </c>
      <c r="D823" s="88" t="s">
        <v>2240</v>
      </c>
      <c r="E823" s="88" t="b">
        <v>0</v>
      </c>
      <c r="F823" s="88" t="b">
        <v>0</v>
      </c>
      <c r="G823" s="88" t="b">
        <v>0</v>
      </c>
    </row>
    <row r="824" spans="1:7" ht="15">
      <c r="A824" s="88" t="s">
        <v>2535</v>
      </c>
      <c r="B824" s="88">
        <v>3</v>
      </c>
      <c r="C824" s="120">
        <v>0</v>
      </c>
      <c r="D824" s="88" t="s">
        <v>2240</v>
      </c>
      <c r="E824" s="88" t="b">
        <v>0</v>
      </c>
      <c r="F824" s="88" t="b">
        <v>0</v>
      </c>
      <c r="G824" s="88" t="b">
        <v>0</v>
      </c>
    </row>
    <row r="825" spans="1:7" ht="15">
      <c r="A825" s="88" t="s">
        <v>2536</v>
      </c>
      <c r="B825" s="88">
        <v>3</v>
      </c>
      <c r="C825" s="120">
        <v>0</v>
      </c>
      <c r="D825" s="88" t="s">
        <v>2240</v>
      </c>
      <c r="E825" s="88" t="b">
        <v>0</v>
      </c>
      <c r="F825" s="88" t="b">
        <v>0</v>
      </c>
      <c r="G825" s="88" t="b">
        <v>0</v>
      </c>
    </row>
    <row r="826" spans="1:7" ht="15">
      <c r="A826" s="88" t="s">
        <v>2271</v>
      </c>
      <c r="B826" s="88">
        <v>3</v>
      </c>
      <c r="C826" s="120">
        <v>0</v>
      </c>
      <c r="D826" s="88" t="s">
        <v>2240</v>
      </c>
      <c r="E826" s="88" t="b">
        <v>0</v>
      </c>
      <c r="F826" s="88" t="b">
        <v>0</v>
      </c>
      <c r="G826" s="88" t="b">
        <v>0</v>
      </c>
    </row>
    <row r="827" spans="1:7" ht="15">
      <c r="A827" s="88" t="s">
        <v>2296</v>
      </c>
      <c r="B827" s="88">
        <v>3</v>
      </c>
      <c r="C827" s="120">
        <v>0</v>
      </c>
      <c r="D827" s="88" t="s">
        <v>2240</v>
      </c>
      <c r="E827" s="88" t="b">
        <v>0</v>
      </c>
      <c r="F827" s="88" t="b">
        <v>0</v>
      </c>
      <c r="G827" s="88" t="b">
        <v>0</v>
      </c>
    </row>
    <row r="828" spans="1:7" ht="15">
      <c r="A828" s="88" t="s">
        <v>2537</v>
      </c>
      <c r="B828" s="88">
        <v>3</v>
      </c>
      <c r="C828" s="120">
        <v>0</v>
      </c>
      <c r="D828" s="88" t="s">
        <v>2240</v>
      </c>
      <c r="E828" s="88" t="b">
        <v>0</v>
      </c>
      <c r="F828" s="88" t="b">
        <v>0</v>
      </c>
      <c r="G828" s="88" t="b">
        <v>0</v>
      </c>
    </row>
    <row r="829" spans="1:7" ht="15">
      <c r="A829" s="88" t="s">
        <v>2648</v>
      </c>
      <c r="B829" s="88">
        <v>2</v>
      </c>
      <c r="C829" s="120">
        <v>0</v>
      </c>
      <c r="D829" s="88" t="s">
        <v>2241</v>
      </c>
      <c r="E829" s="88" t="b">
        <v>0</v>
      </c>
      <c r="F829" s="88" t="b">
        <v>0</v>
      </c>
      <c r="G829" s="88" t="b">
        <v>0</v>
      </c>
    </row>
    <row r="830" spans="1:7" ht="15">
      <c r="A830" s="88" t="s">
        <v>2649</v>
      </c>
      <c r="B830" s="88">
        <v>2</v>
      </c>
      <c r="C830" s="120">
        <v>0</v>
      </c>
      <c r="D830" s="88" t="s">
        <v>2241</v>
      </c>
      <c r="E830" s="88" t="b">
        <v>0</v>
      </c>
      <c r="F830" s="88" t="b">
        <v>0</v>
      </c>
      <c r="G830" s="88" t="b">
        <v>0</v>
      </c>
    </row>
    <row r="831" spans="1:7" ht="15">
      <c r="A831" s="88" t="s">
        <v>2343</v>
      </c>
      <c r="B831" s="88">
        <v>2</v>
      </c>
      <c r="C831" s="120">
        <v>0</v>
      </c>
      <c r="D831" s="88" t="s">
        <v>2241</v>
      </c>
      <c r="E831" s="88" t="b">
        <v>0</v>
      </c>
      <c r="F831" s="88" t="b">
        <v>0</v>
      </c>
      <c r="G831" s="88" t="b">
        <v>0</v>
      </c>
    </row>
    <row r="832" spans="1:7" ht="15">
      <c r="A832" s="88" t="s">
        <v>520</v>
      </c>
      <c r="B832" s="88">
        <v>2</v>
      </c>
      <c r="C832" s="120">
        <v>0</v>
      </c>
      <c r="D832" s="88" t="s">
        <v>2241</v>
      </c>
      <c r="E832" s="88" t="b">
        <v>0</v>
      </c>
      <c r="F832" s="88" t="b">
        <v>0</v>
      </c>
      <c r="G832" s="88" t="b">
        <v>0</v>
      </c>
    </row>
    <row r="833" spans="1:7" ht="15">
      <c r="A833" s="88" t="s">
        <v>2650</v>
      </c>
      <c r="B833" s="88">
        <v>2</v>
      </c>
      <c r="C833" s="120">
        <v>0</v>
      </c>
      <c r="D833" s="88" t="s">
        <v>2241</v>
      </c>
      <c r="E833" s="88" t="b">
        <v>0</v>
      </c>
      <c r="F833" s="88" t="b">
        <v>0</v>
      </c>
      <c r="G833" s="88" t="b">
        <v>0</v>
      </c>
    </row>
    <row r="834" spans="1:7" ht="15">
      <c r="A834" s="88" t="s">
        <v>519</v>
      </c>
      <c r="B834" s="88">
        <v>2</v>
      </c>
      <c r="C834" s="120">
        <v>0</v>
      </c>
      <c r="D834" s="88" t="s">
        <v>2241</v>
      </c>
      <c r="E834" s="88" t="b">
        <v>0</v>
      </c>
      <c r="F834" s="88" t="b">
        <v>0</v>
      </c>
      <c r="G834" s="88" t="b">
        <v>0</v>
      </c>
    </row>
    <row r="835" spans="1:7" ht="15">
      <c r="A835" s="88" t="s">
        <v>2651</v>
      </c>
      <c r="B835" s="88">
        <v>2</v>
      </c>
      <c r="C835" s="120">
        <v>0</v>
      </c>
      <c r="D835" s="88" t="s">
        <v>2241</v>
      </c>
      <c r="E835" s="88" t="b">
        <v>0</v>
      </c>
      <c r="F835" s="88" t="b">
        <v>0</v>
      </c>
      <c r="G835" s="88" t="b">
        <v>0</v>
      </c>
    </row>
    <row r="836" spans="1:7" ht="15">
      <c r="A836" s="88" t="s">
        <v>699</v>
      </c>
      <c r="B836" s="88">
        <v>2</v>
      </c>
      <c r="C836" s="120">
        <v>0</v>
      </c>
      <c r="D836" s="88" t="s">
        <v>2241</v>
      </c>
      <c r="E836" s="88" t="b">
        <v>0</v>
      </c>
      <c r="F836" s="88" t="b">
        <v>0</v>
      </c>
      <c r="G836" s="88" t="b">
        <v>0</v>
      </c>
    </row>
    <row r="837" spans="1:7" ht="15">
      <c r="A837" s="88" t="s">
        <v>2652</v>
      </c>
      <c r="B837" s="88">
        <v>2</v>
      </c>
      <c r="C837" s="120">
        <v>0</v>
      </c>
      <c r="D837" s="88" t="s">
        <v>2241</v>
      </c>
      <c r="E837" s="88" t="b">
        <v>0</v>
      </c>
      <c r="F837" s="88" t="b">
        <v>0</v>
      </c>
      <c r="G837" s="88" t="b">
        <v>0</v>
      </c>
    </row>
    <row r="838" spans="1:7" ht="15">
      <c r="A838" s="88" t="s">
        <v>2653</v>
      </c>
      <c r="B838" s="88">
        <v>2</v>
      </c>
      <c r="C838" s="120">
        <v>0</v>
      </c>
      <c r="D838" s="88" t="s">
        <v>2241</v>
      </c>
      <c r="E838" s="88" t="b">
        <v>0</v>
      </c>
      <c r="F838" s="88" t="b">
        <v>0</v>
      </c>
      <c r="G838" s="88" t="b">
        <v>0</v>
      </c>
    </row>
    <row r="839" spans="1:7" ht="15">
      <c r="A839" s="88" t="s">
        <v>2654</v>
      </c>
      <c r="B839" s="88">
        <v>2</v>
      </c>
      <c r="C839" s="120">
        <v>0</v>
      </c>
      <c r="D839" s="88" t="s">
        <v>2241</v>
      </c>
      <c r="E839" s="88" t="b">
        <v>0</v>
      </c>
      <c r="F839" s="88" t="b">
        <v>1</v>
      </c>
      <c r="G839" s="88" t="b">
        <v>0</v>
      </c>
    </row>
    <row r="840" spans="1:7" ht="15">
      <c r="A840" s="88" t="s">
        <v>2655</v>
      </c>
      <c r="B840" s="88">
        <v>2</v>
      </c>
      <c r="C840" s="120">
        <v>0</v>
      </c>
      <c r="D840" s="88" t="s">
        <v>2241</v>
      </c>
      <c r="E840" s="88" t="b">
        <v>0</v>
      </c>
      <c r="F840" s="88" t="b">
        <v>0</v>
      </c>
      <c r="G840" s="88" t="b">
        <v>0</v>
      </c>
    </row>
    <row r="841" spans="1:7" ht="15">
      <c r="A841" s="88" t="s">
        <v>2656</v>
      </c>
      <c r="B841" s="88">
        <v>2</v>
      </c>
      <c r="C841" s="120">
        <v>0</v>
      </c>
      <c r="D841" s="88" t="s">
        <v>2241</v>
      </c>
      <c r="E841" s="88" t="b">
        <v>0</v>
      </c>
      <c r="F841" s="88" t="b">
        <v>0</v>
      </c>
      <c r="G841" s="88" t="b">
        <v>0</v>
      </c>
    </row>
    <row r="842" spans="1:7" ht="15">
      <c r="A842" s="88" t="s">
        <v>2657</v>
      </c>
      <c r="B842" s="88">
        <v>2</v>
      </c>
      <c r="C842" s="120">
        <v>0</v>
      </c>
      <c r="D842" s="88" t="s">
        <v>2241</v>
      </c>
      <c r="E842" s="88" t="b">
        <v>0</v>
      </c>
      <c r="F842" s="88" t="b">
        <v>0</v>
      </c>
      <c r="G842" s="88" t="b">
        <v>0</v>
      </c>
    </row>
    <row r="843" spans="1:7" ht="15">
      <c r="A843" s="88" t="s">
        <v>2293</v>
      </c>
      <c r="B843" s="88">
        <v>2</v>
      </c>
      <c r="C843" s="120">
        <v>0</v>
      </c>
      <c r="D843" s="88" t="s">
        <v>2241</v>
      </c>
      <c r="E843" s="88" t="b">
        <v>0</v>
      </c>
      <c r="F843" s="88" t="b">
        <v>0</v>
      </c>
      <c r="G843" s="88" t="b">
        <v>0</v>
      </c>
    </row>
    <row r="844" spans="1:7" ht="15">
      <c r="A844" s="88" t="s">
        <v>2271</v>
      </c>
      <c r="B844" s="88">
        <v>2</v>
      </c>
      <c r="C844" s="120">
        <v>0</v>
      </c>
      <c r="D844" s="88" t="s">
        <v>2241</v>
      </c>
      <c r="E844" s="88" t="b">
        <v>0</v>
      </c>
      <c r="F844" s="88" t="b">
        <v>0</v>
      </c>
      <c r="G844" s="88" t="b">
        <v>0</v>
      </c>
    </row>
    <row r="845" spans="1:7" ht="15">
      <c r="A845" s="88" t="s">
        <v>2272</v>
      </c>
      <c r="B845" s="88">
        <v>6</v>
      </c>
      <c r="C845" s="120">
        <v>0</v>
      </c>
      <c r="D845" s="88" t="s">
        <v>2242</v>
      </c>
      <c r="E845" s="88" t="b">
        <v>1</v>
      </c>
      <c r="F845" s="88" t="b">
        <v>0</v>
      </c>
      <c r="G845" s="88" t="b">
        <v>0</v>
      </c>
    </row>
    <row r="846" spans="1:7" ht="15">
      <c r="A846" s="88" t="s">
        <v>2538</v>
      </c>
      <c r="B846" s="88">
        <v>2</v>
      </c>
      <c r="C846" s="120">
        <v>0</v>
      </c>
      <c r="D846" s="88" t="s">
        <v>2242</v>
      </c>
      <c r="E846" s="88" t="b">
        <v>0</v>
      </c>
      <c r="F846" s="88" t="b">
        <v>0</v>
      </c>
      <c r="G846" s="88" t="b">
        <v>0</v>
      </c>
    </row>
    <row r="847" spans="1:7" ht="15">
      <c r="A847" s="88" t="s">
        <v>2539</v>
      </c>
      <c r="B847" s="88">
        <v>2</v>
      </c>
      <c r="C847" s="120">
        <v>0</v>
      </c>
      <c r="D847" s="88" t="s">
        <v>2242</v>
      </c>
      <c r="E847" s="88" t="b">
        <v>0</v>
      </c>
      <c r="F847" s="88" t="b">
        <v>0</v>
      </c>
      <c r="G847" s="88" t="b">
        <v>0</v>
      </c>
    </row>
    <row r="848" spans="1:7" ht="15">
      <c r="A848" s="88" t="s">
        <v>2540</v>
      </c>
      <c r="B848" s="88">
        <v>2</v>
      </c>
      <c r="C848" s="120">
        <v>0</v>
      </c>
      <c r="D848" s="88" t="s">
        <v>2242</v>
      </c>
      <c r="E848" s="88" t="b">
        <v>0</v>
      </c>
      <c r="F848" s="88" t="b">
        <v>0</v>
      </c>
      <c r="G848" s="88" t="b">
        <v>0</v>
      </c>
    </row>
    <row r="849" spans="1:7" ht="15">
      <c r="A849" s="88" t="s">
        <v>2541</v>
      </c>
      <c r="B849" s="88">
        <v>2</v>
      </c>
      <c r="C849" s="120">
        <v>0</v>
      </c>
      <c r="D849" s="88" t="s">
        <v>2242</v>
      </c>
      <c r="E849" s="88" t="b">
        <v>0</v>
      </c>
      <c r="F849" s="88" t="b">
        <v>0</v>
      </c>
      <c r="G849" s="88" t="b">
        <v>0</v>
      </c>
    </row>
    <row r="850" spans="1:7" ht="15">
      <c r="A850" s="88" t="s">
        <v>2542</v>
      </c>
      <c r="B850" s="88">
        <v>2</v>
      </c>
      <c r="C850" s="120">
        <v>0</v>
      </c>
      <c r="D850" s="88" t="s">
        <v>2242</v>
      </c>
      <c r="E850" s="88" t="b">
        <v>0</v>
      </c>
      <c r="F850" s="88" t="b">
        <v>0</v>
      </c>
      <c r="G850" s="88" t="b">
        <v>0</v>
      </c>
    </row>
    <row r="851" spans="1:7" ht="15">
      <c r="A851" s="88" t="s">
        <v>2543</v>
      </c>
      <c r="B851" s="88">
        <v>2</v>
      </c>
      <c r="C851" s="120">
        <v>0</v>
      </c>
      <c r="D851" s="88" t="s">
        <v>2242</v>
      </c>
      <c r="E851" s="88" t="b">
        <v>0</v>
      </c>
      <c r="F851" s="88" t="b">
        <v>0</v>
      </c>
      <c r="G851" s="88" t="b">
        <v>0</v>
      </c>
    </row>
    <row r="852" spans="1:7" ht="15">
      <c r="A852" s="88" t="s">
        <v>2491</v>
      </c>
      <c r="B852" s="88">
        <v>2</v>
      </c>
      <c r="C852" s="120">
        <v>0</v>
      </c>
      <c r="D852" s="88" t="s">
        <v>2242</v>
      </c>
      <c r="E852" s="88" t="b">
        <v>0</v>
      </c>
      <c r="F852" s="88" t="b">
        <v>0</v>
      </c>
      <c r="G852" s="88" t="b">
        <v>0</v>
      </c>
    </row>
    <row r="853" spans="1:7" ht="15">
      <c r="A853" s="88" t="s">
        <v>2544</v>
      </c>
      <c r="B853" s="88">
        <v>2</v>
      </c>
      <c r="C853" s="120">
        <v>0</v>
      </c>
      <c r="D853" s="88" t="s">
        <v>2242</v>
      </c>
      <c r="E853" s="88" t="b">
        <v>0</v>
      </c>
      <c r="F853" s="88" t="b">
        <v>0</v>
      </c>
      <c r="G853" s="88" t="b">
        <v>0</v>
      </c>
    </row>
    <row r="854" spans="1:7" ht="15">
      <c r="A854" s="88" t="s">
        <v>2440</v>
      </c>
      <c r="B854" s="88">
        <v>2</v>
      </c>
      <c r="C854" s="120">
        <v>0</v>
      </c>
      <c r="D854" s="88" t="s">
        <v>2242</v>
      </c>
      <c r="E854" s="88" t="b">
        <v>0</v>
      </c>
      <c r="F854" s="88" t="b">
        <v>0</v>
      </c>
      <c r="G854" s="88" t="b">
        <v>0</v>
      </c>
    </row>
    <row r="855" spans="1:7" ht="15">
      <c r="A855" s="88" t="s">
        <v>2545</v>
      </c>
      <c r="B855" s="88">
        <v>2</v>
      </c>
      <c r="C855" s="120">
        <v>0</v>
      </c>
      <c r="D855" s="88" t="s">
        <v>2242</v>
      </c>
      <c r="E855" s="88" t="b">
        <v>0</v>
      </c>
      <c r="F855" s="88" t="b">
        <v>0</v>
      </c>
      <c r="G855" s="88" t="b">
        <v>0</v>
      </c>
    </row>
    <row r="856" spans="1:7" ht="15">
      <c r="A856" s="88" t="s">
        <v>2546</v>
      </c>
      <c r="B856" s="88">
        <v>2</v>
      </c>
      <c r="C856" s="120">
        <v>0</v>
      </c>
      <c r="D856" s="88" t="s">
        <v>2242</v>
      </c>
      <c r="E856" s="88" t="b">
        <v>0</v>
      </c>
      <c r="F856" s="88" t="b">
        <v>1</v>
      </c>
      <c r="G856" s="88" t="b">
        <v>0</v>
      </c>
    </row>
    <row r="857" spans="1:7" ht="15">
      <c r="A857" s="88" t="s">
        <v>2547</v>
      </c>
      <c r="B857" s="88">
        <v>2</v>
      </c>
      <c r="C857" s="120">
        <v>0</v>
      </c>
      <c r="D857" s="88" t="s">
        <v>2242</v>
      </c>
      <c r="E857" s="88" t="b">
        <v>0</v>
      </c>
      <c r="F857" s="88" t="b">
        <v>0</v>
      </c>
      <c r="G857" s="88" t="b">
        <v>0</v>
      </c>
    </row>
    <row r="858" spans="1:7" ht="15">
      <c r="A858" s="88" t="s">
        <v>2548</v>
      </c>
      <c r="B858" s="88">
        <v>2</v>
      </c>
      <c r="C858" s="120">
        <v>0</v>
      </c>
      <c r="D858" s="88" t="s">
        <v>2242</v>
      </c>
      <c r="E858" s="88" t="b">
        <v>0</v>
      </c>
      <c r="F858" s="88" t="b">
        <v>1</v>
      </c>
      <c r="G858" s="88" t="b">
        <v>0</v>
      </c>
    </row>
    <row r="859" spans="1:7" ht="15">
      <c r="A859" s="88" t="s">
        <v>2276</v>
      </c>
      <c r="B859" s="88">
        <v>2</v>
      </c>
      <c r="C859" s="120">
        <v>0</v>
      </c>
      <c r="D859" s="88" t="s">
        <v>2242</v>
      </c>
      <c r="E859" s="88" t="b">
        <v>0</v>
      </c>
      <c r="F859" s="88" t="b">
        <v>0</v>
      </c>
      <c r="G859" s="88" t="b">
        <v>0</v>
      </c>
    </row>
    <row r="860" spans="1:7" ht="15">
      <c r="A860" s="88" t="s">
        <v>2549</v>
      </c>
      <c r="B860" s="88">
        <v>2</v>
      </c>
      <c r="C860" s="120">
        <v>0</v>
      </c>
      <c r="D860" s="88" t="s">
        <v>2242</v>
      </c>
      <c r="E860" s="88" t="b">
        <v>0</v>
      </c>
      <c r="F860" s="88" t="b">
        <v>0</v>
      </c>
      <c r="G860" s="88" t="b">
        <v>0</v>
      </c>
    </row>
    <row r="861" spans="1:7" ht="15">
      <c r="A861" s="88" t="s">
        <v>2550</v>
      </c>
      <c r="B861" s="88">
        <v>2</v>
      </c>
      <c r="C861" s="120">
        <v>0</v>
      </c>
      <c r="D861" s="88" t="s">
        <v>2242</v>
      </c>
      <c r="E861" s="88" t="b">
        <v>0</v>
      </c>
      <c r="F861" s="88" t="b">
        <v>0</v>
      </c>
      <c r="G861" s="88" t="b">
        <v>0</v>
      </c>
    </row>
    <row r="862" spans="1:7" ht="15">
      <c r="A862" s="88" t="s">
        <v>2271</v>
      </c>
      <c r="B862" s="88">
        <v>2</v>
      </c>
      <c r="C862" s="120">
        <v>0</v>
      </c>
      <c r="D862" s="88" t="s">
        <v>2242</v>
      </c>
      <c r="E862" s="88" t="b">
        <v>0</v>
      </c>
      <c r="F862" s="88" t="b">
        <v>0</v>
      </c>
      <c r="G862" s="88" t="b">
        <v>0</v>
      </c>
    </row>
    <row r="863" spans="1:7" ht="15">
      <c r="A863" s="88" t="s">
        <v>2551</v>
      </c>
      <c r="B863" s="88">
        <v>2</v>
      </c>
      <c r="C863" s="120">
        <v>0</v>
      </c>
      <c r="D863" s="88" t="s">
        <v>2242</v>
      </c>
      <c r="E863" s="88" t="b">
        <v>0</v>
      </c>
      <c r="F863" s="88" t="b">
        <v>0</v>
      </c>
      <c r="G863" s="88" t="b">
        <v>0</v>
      </c>
    </row>
    <row r="864" spans="1:7" ht="15">
      <c r="A864" s="88" t="s">
        <v>2552</v>
      </c>
      <c r="B864" s="88">
        <v>2</v>
      </c>
      <c r="C864" s="120">
        <v>0</v>
      </c>
      <c r="D864" s="88" t="s">
        <v>2242</v>
      </c>
      <c r="E864" s="88" t="b">
        <v>0</v>
      </c>
      <c r="F864" s="88" t="b">
        <v>0</v>
      </c>
      <c r="G864" s="88" t="b">
        <v>0</v>
      </c>
    </row>
    <row r="865" spans="1:7" ht="15">
      <c r="A865" s="88" t="s">
        <v>2553</v>
      </c>
      <c r="B865" s="88">
        <v>2</v>
      </c>
      <c r="C865" s="120">
        <v>0</v>
      </c>
      <c r="D865" s="88" t="s">
        <v>2242</v>
      </c>
      <c r="E865" s="88" t="b">
        <v>0</v>
      </c>
      <c r="F865" s="88" t="b">
        <v>0</v>
      </c>
      <c r="G865" s="88" t="b">
        <v>0</v>
      </c>
    </row>
    <row r="866" spans="1:7" ht="15">
      <c r="A866" s="88" t="s">
        <v>2372</v>
      </c>
      <c r="B866" s="88">
        <v>2</v>
      </c>
      <c r="C866" s="120">
        <v>0</v>
      </c>
      <c r="D866" s="88" t="s">
        <v>2242</v>
      </c>
      <c r="E866" s="88" t="b">
        <v>1</v>
      </c>
      <c r="F866" s="88" t="b">
        <v>0</v>
      </c>
      <c r="G866" s="88" t="b">
        <v>0</v>
      </c>
    </row>
    <row r="867" spans="1:7" ht="15">
      <c r="A867" s="88" t="s">
        <v>2554</v>
      </c>
      <c r="B867" s="88">
        <v>2</v>
      </c>
      <c r="C867" s="120">
        <v>0</v>
      </c>
      <c r="D867" s="88" t="s">
        <v>2242</v>
      </c>
      <c r="E867" s="88" t="b">
        <v>0</v>
      </c>
      <c r="F867" s="88" t="b">
        <v>0</v>
      </c>
      <c r="G867" s="88" t="b">
        <v>0</v>
      </c>
    </row>
    <row r="868" spans="1:7" ht="15">
      <c r="A868" s="88" t="s">
        <v>508</v>
      </c>
      <c r="B868" s="88">
        <v>2</v>
      </c>
      <c r="C868" s="120">
        <v>0</v>
      </c>
      <c r="D868" s="88" t="s">
        <v>2242</v>
      </c>
      <c r="E868" s="88" t="b">
        <v>0</v>
      </c>
      <c r="F868" s="88" t="b">
        <v>0</v>
      </c>
      <c r="G868" s="88" t="b">
        <v>0</v>
      </c>
    </row>
    <row r="869" spans="1:7" ht="15">
      <c r="A869" s="88" t="s">
        <v>585</v>
      </c>
      <c r="B869" s="88">
        <v>2</v>
      </c>
      <c r="C869" s="120">
        <v>0</v>
      </c>
      <c r="D869" s="88" t="s">
        <v>2242</v>
      </c>
      <c r="E869" s="88" t="b">
        <v>0</v>
      </c>
      <c r="F869" s="88" t="b">
        <v>0</v>
      </c>
      <c r="G869" s="88" t="b">
        <v>0</v>
      </c>
    </row>
    <row r="870" spans="1:7" ht="15">
      <c r="A870" s="88" t="s">
        <v>699</v>
      </c>
      <c r="B870" s="88">
        <v>6</v>
      </c>
      <c r="C870" s="120">
        <v>0</v>
      </c>
      <c r="D870" s="88" t="s">
        <v>2243</v>
      </c>
      <c r="E870" s="88" t="b">
        <v>0</v>
      </c>
      <c r="F870" s="88" t="b">
        <v>0</v>
      </c>
      <c r="G870" s="88" t="b">
        <v>0</v>
      </c>
    </row>
    <row r="871" spans="1:7" ht="15">
      <c r="A871" s="88" t="s">
        <v>2390</v>
      </c>
      <c r="B871" s="88">
        <v>6</v>
      </c>
      <c r="C871" s="120">
        <v>0</v>
      </c>
      <c r="D871" s="88" t="s">
        <v>2243</v>
      </c>
      <c r="E871" s="88" t="b">
        <v>0</v>
      </c>
      <c r="F871" s="88" t="b">
        <v>0</v>
      </c>
      <c r="G871" s="88" t="b">
        <v>0</v>
      </c>
    </row>
    <row r="872" spans="1:7" ht="15">
      <c r="A872" s="88" t="s">
        <v>2338</v>
      </c>
      <c r="B872" s="88">
        <v>6</v>
      </c>
      <c r="C872" s="120">
        <v>0</v>
      </c>
      <c r="D872" s="88" t="s">
        <v>2243</v>
      </c>
      <c r="E872" s="88" t="b">
        <v>0</v>
      </c>
      <c r="F872" s="88" t="b">
        <v>0</v>
      </c>
      <c r="G872" s="88" t="b">
        <v>0</v>
      </c>
    </row>
    <row r="873" spans="1:7" ht="15">
      <c r="A873" s="88" t="s">
        <v>2271</v>
      </c>
      <c r="B873" s="88">
        <v>6</v>
      </c>
      <c r="C873" s="120">
        <v>0</v>
      </c>
      <c r="D873" s="88" t="s">
        <v>2243</v>
      </c>
      <c r="E873" s="88" t="b">
        <v>0</v>
      </c>
      <c r="F873" s="88" t="b">
        <v>0</v>
      </c>
      <c r="G873" s="88" t="b">
        <v>0</v>
      </c>
    </row>
    <row r="874" spans="1:7" ht="15">
      <c r="A874" s="88" t="s">
        <v>2441</v>
      </c>
      <c r="B874" s="88">
        <v>4</v>
      </c>
      <c r="C874" s="120">
        <v>0.0074932450661992014</v>
      </c>
      <c r="D874" s="88" t="s">
        <v>2243</v>
      </c>
      <c r="E874" s="88" t="b">
        <v>0</v>
      </c>
      <c r="F874" s="88" t="b">
        <v>0</v>
      </c>
      <c r="G874" s="88" t="b">
        <v>0</v>
      </c>
    </row>
    <row r="875" spans="1:7" ht="15">
      <c r="A875" s="88" t="s">
        <v>2442</v>
      </c>
      <c r="B875" s="88">
        <v>4</v>
      </c>
      <c r="C875" s="120">
        <v>0.0074932450661992014</v>
      </c>
      <c r="D875" s="88" t="s">
        <v>2243</v>
      </c>
      <c r="E875" s="88" t="b">
        <v>0</v>
      </c>
      <c r="F875" s="88" t="b">
        <v>0</v>
      </c>
      <c r="G875" s="88" t="b">
        <v>0</v>
      </c>
    </row>
    <row r="876" spans="1:7" ht="15">
      <c r="A876" s="88" t="s">
        <v>2443</v>
      </c>
      <c r="B876" s="88">
        <v>4</v>
      </c>
      <c r="C876" s="120">
        <v>0.0074932450661992014</v>
      </c>
      <c r="D876" s="88" t="s">
        <v>2243</v>
      </c>
      <c r="E876" s="88" t="b">
        <v>0</v>
      </c>
      <c r="F876" s="88" t="b">
        <v>0</v>
      </c>
      <c r="G876" s="88" t="b">
        <v>0</v>
      </c>
    </row>
    <row r="877" spans="1:7" ht="15">
      <c r="A877" s="88" t="s">
        <v>2555</v>
      </c>
      <c r="B877" s="88">
        <v>2</v>
      </c>
      <c r="C877" s="120">
        <v>0.010151516057865158</v>
      </c>
      <c r="D877" s="88" t="s">
        <v>2243</v>
      </c>
      <c r="E877" s="88" t="b">
        <v>0</v>
      </c>
      <c r="F877" s="88" t="b">
        <v>0</v>
      </c>
      <c r="G877" s="88" t="b">
        <v>0</v>
      </c>
    </row>
    <row r="878" spans="1:7" ht="15">
      <c r="A878" s="88" t="s">
        <v>2556</v>
      </c>
      <c r="B878" s="88">
        <v>2</v>
      </c>
      <c r="C878" s="120">
        <v>0.010151516057865158</v>
      </c>
      <c r="D878" s="88" t="s">
        <v>2243</v>
      </c>
      <c r="E878" s="88" t="b">
        <v>1</v>
      </c>
      <c r="F878" s="88" t="b">
        <v>0</v>
      </c>
      <c r="G878" s="88" t="b">
        <v>0</v>
      </c>
    </row>
    <row r="879" spans="1:7" ht="15">
      <c r="A879" s="88" t="s">
        <v>2557</v>
      </c>
      <c r="B879" s="88">
        <v>2</v>
      </c>
      <c r="C879" s="120">
        <v>0.010151516057865158</v>
      </c>
      <c r="D879" s="88" t="s">
        <v>2243</v>
      </c>
      <c r="E879" s="88" t="b">
        <v>0</v>
      </c>
      <c r="F879" s="88" t="b">
        <v>0</v>
      </c>
      <c r="G879" s="88" t="b">
        <v>0</v>
      </c>
    </row>
    <row r="880" spans="1:7" ht="15">
      <c r="A880" s="88" t="s">
        <v>2558</v>
      </c>
      <c r="B880" s="88">
        <v>2</v>
      </c>
      <c r="C880" s="120">
        <v>0.010151516057865158</v>
      </c>
      <c r="D880" s="88" t="s">
        <v>2243</v>
      </c>
      <c r="E880" s="88" t="b">
        <v>0</v>
      </c>
      <c r="F880" s="88" t="b">
        <v>0</v>
      </c>
      <c r="G880" s="88" t="b">
        <v>0</v>
      </c>
    </row>
    <row r="881" spans="1:7" ht="15">
      <c r="A881" s="88" t="s">
        <v>2559</v>
      </c>
      <c r="B881" s="88">
        <v>2</v>
      </c>
      <c r="C881" s="120">
        <v>0.010151516057865158</v>
      </c>
      <c r="D881" s="88" t="s">
        <v>2243</v>
      </c>
      <c r="E881" s="88" t="b">
        <v>0</v>
      </c>
      <c r="F881" s="88" t="b">
        <v>0</v>
      </c>
      <c r="G881" s="88" t="b">
        <v>0</v>
      </c>
    </row>
    <row r="882" spans="1:7" ht="15">
      <c r="A882" s="88" t="s">
        <v>2560</v>
      </c>
      <c r="B882" s="88">
        <v>2</v>
      </c>
      <c r="C882" s="120">
        <v>0.010151516057865158</v>
      </c>
      <c r="D882" s="88" t="s">
        <v>2243</v>
      </c>
      <c r="E882" s="88" t="b">
        <v>0</v>
      </c>
      <c r="F882" s="88" t="b">
        <v>0</v>
      </c>
      <c r="G882" s="88" t="b">
        <v>0</v>
      </c>
    </row>
    <row r="883" spans="1:7" ht="15">
      <c r="A883" s="88" t="s">
        <v>2561</v>
      </c>
      <c r="B883" s="88">
        <v>2</v>
      </c>
      <c r="C883" s="120">
        <v>0.010151516057865158</v>
      </c>
      <c r="D883" s="88" t="s">
        <v>2243</v>
      </c>
      <c r="E883" s="88" t="b">
        <v>0</v>
      </c>
      <c r="F883" s="88" t="b">
        <v>0</v>
      </c>
      <c r="G883" s="88" t="b">
        <v>0</v>
      </c>
    </row>
    <row r="884" spans="1:7" ht="15">
      <c r="A884" s="88" t="s">
        <v>2576</v>
      </c>
      <c r="B884" s="88">
        <v>2</v>
      </c>
      <c r="C884" s="120">
        <v>0.010151516057865158</v>
      </c>
      <c r="D884" s="88" t="s">
        <v>2243</v>
      </c>
      <c r="E884" s="88" t="b">
        <v>0</v>
      </c>
      <c r="F884" s="88" t="b">
        <v>0</v>
      </c>
      <c r="G884" s="88" t="b">
        <v>0</v>
      </c>
    </row>
    <row r="885" spans="1:7" ht="15">
      <c r="A885" s="88" t="s">
        <v>2577</v>
      </c>
      <c r="B885" s="88">
        <v>2</v>
      </c>
      <c r="C885" s="120">
        <v>0.010151516057865158</v>
      </c>
      <c r="D885" s="88" t="s">
        <v>2243</v>
      </c>
      <c r="E885" s="88" t="b">
        <v>0</v>
      </c>
      <c r="F885" s="88" t="b">
        <v>0</v>
      </c>
      <c r="G885" s="88" t="b">
        <v>0</v>
      </c>
    </row>
    <row r="886" spans="1:7" ht="15">
      <c r="A886" s="88" t="s">
        <v>2578</v>
      </c>
      <c r="B886" s="88">
        <v>2</v>
      </c>
      <c r="C886" s="120">
        <v>0.010151516057865158</v>
      </c>
      <c r="D886" s="88" t="s">
        <v>2243</v>
      </c>
      <c r="E886" s="88" t="b">
        <v>0</v>
      </c>
      <c r="F886" s="88" t="b">
        <v>0</v>
      </c>
      <c r="G886" s="88" t="b">
        <v>0</v>
      </c>
    </row>
    <row r="887" spans="1:7" ht="15">
      <c r="A887" s="88" t="s">
        <v>2579</v>
      </c>
      <c r="B887" s="88">
        <v>2</v>
      </c>
      <c r="C887" s="120">
        <v>0.010151516057865158</v>
      </c>
      <c r="D887" s="88" t="s">
        <v>2243</v>
      </c>
      <c r="E887" s="88" t="b">
        <v>0</v>
      </c>
      <c r="F887" s="88" t="b">
        <v>0</v>
      </c>
      <c r="G887" s="88" t="b">
        <v>0</v>
      </c>
    </row>
    <row r="888" spans="1:7" ht="15">
      <c r="A888" s="88" t="s">
        <v>2580</v>
      </c>
      <c r="B888" s="88">
        <v>2</v>
      </c>
      <c r="C888" s="120">
        <v>0.010151516057865158</v>
      </c>
      <c r="D888" s="88" t="s">
        <v>2243</v>
      </c>
      <c r="E888" s="88" t="b">
        <v>0</v>
      </c>
      <c r="F888" s="88" t="b">
        <v>0</v>
      </c>
      <c r="G888" s="88" t="b">
        <v>0</v>
      </c>
    </row>
    <row r="889" spans="1:7" ht="15">
      <c r="A889" s="88" t="s">
        <v>2581</v>
      </c>
      <c r="B889" s="88">
        <v>2</v>
      </c>
      <c r="C889" s="120">
        <v>0.010151516057865158</v>
      </c>
      <c r="D889" s="88" t="s">
        <v>2243</v>
      </c>
      <c r="E889" s="88" t="b">
        <v>0</v>
      </c>
      <c r="F889" s="88" t="b">
        <v>0</v>
      </c>
      <c r="G889" s="88" t="b">
        <v>0</v>
      </c>
    </row>
    <row r="890" spans="1:7" ht="15">
      <c r="A890" s="88" t="s">
        <v>2582</v>
      </c>
      <c r="B890" s="88">
        <v>2</v>
      </c>
      <c r="C890" s="120">
        <v>0.010151516057865158</v>
      </c>
      <c r="D890" s="88" t="s">
        <v>2243</v>
      </c>
      <c r="E890" s="88" t="b">
        <v>0</v>
      </c>
      <c r="F890" s="88" t="b">
        <v>0</v>
      </c>
      <c r="G890" s="88" t="b">
        <v>0</v>
      </c>
    </row>
    <row r="891" spans="1:7" ht="15">
      <c r="A891" s="88" t="s">
        <v>2562</v>
      </c>
      <c r="B891" s="88">
        <v>2</v>
      </c>
      <c r="C891" s="120">
        <v>0.010151516057865158</v>
      </c>
      <c r="D891" s="88" t="s">
        <v>2243</v>
      </c>
      <c r="E891" s="88" t="b">
        <v>0</v>
      </c>
      <c r="F891" s="88" t="b">
        <v>0</v>
      </c>
      <c r="G891" s="88" t="b">
        <v>0</v>
      </c>
    </row>
    <row r="892" spans="1:7" ht="15">
      <c r="A892" s="88" t="s">
        <v>584</v>
      </c>
      <c r="B892" s="88">
        <v>2</v>
      </c>
      <c r="C892" s="120">
        <v>0.010151516057865158</v>
      </c>
      <c r="D892" s="88" t="s">
        <v>2243</v>
      </c>
      <c r="E892" s="88" t="b">
        <v>0</v>
      </c>
      <c r="F892" s="88" t="b">
        <v>0</v>
      </c>
      <c r="G892" s="88" t="b">
        <v>0</v>
      </c>
    </row>
    <row r="893" spans="1:7" ht="15">
      <c r="A893" s="88" t="s">
        <v>2563</v>
      </c>
      <c r="B893" s="88">
        <v>2</v>
      </c>
      <c r="C893" s="120">
        <v>0.010151516057865158</v>
      </c>
      <c r="D893" s="88" t="s">
        <v>2243</v>
      </c>
      <c r="E893" s="88" t="b">
        <v>0</v>
      </c>
      <c r="F893" s="88" t="b">
        <v>0</v>
      </c>
      <c r="G893" s="88" t="b">
        <v>0</v>
      </c>
    </row>
    <row r="894" spans="1:7" ht="15">
      <c r="A894" s="88" t="s">
        <v>2564</v>
      </c>
      <c r="B894" s="88">
        <v>2</v>
      </c>
      <c r="C894" s="120">
        <v>0.010151516057865158</v>
      </c>
      <c r="D894" s="88" t="s">
        <v>2243</v>
      </c>
      <c r="E894" s="88" t="b">
        <v>0</v>
      </c>
      <c r="F894" s="88" t="b">
        <v>0</v>
      </c>
      <c r="G894" s="88" t="b">
        <v>0</v>
      </c>
    </row>
    <row r="895" spans="1:7" ht="15">
      <c r="A895" s="88" t="s">
        <v>2565</v>
      </c>
      <c r="B895" s="88">
        <v>2</v>
      </c>
      <c r="C895" s="120">
        <v>0.010151516057865158</v>
      </c>
      <c r="D895" s="88" t="s">
        <v>2243</v>
      </c>
      <c r="E895" s="88" t="b">
        <v>0</v>
      </c>
      <c r="F895" s="88" t="b">
        <v>0</v>
      </c>
      <c r="G895" s="88" t="b">
        <v>0</v>
      </c>
    </row>
    <row r="896" spans="1:7" ht="15">
      <c r="A896" s="88" t="s">
        <v>2566</v>
      </c>
      <c r="B896" s="88">
        <v>2</v>
      </c>
      <c r="C896" s="120">
        <v>0.010151516057865158</v>
      </c>
      <c r="D896" s="88" t="s">
        <v>2243</v>
      </c>
      <c r="E896" s="88" t="b">
        <v>0</v>
      </c>
      <c r="F896" s="88" t="b">
        <v>0</v>
      </c>
      <c r="G896" s="88" t="b">
        <v>0</v>
      </c>
    </row>
    <row r="897" spans="1:7" ht="15">
      <c r="A897" s="88" t="s">
        <v>2567</v>
      </c>
      <c r="B897" s="88">
        <v>2</v>
      </c>
      <c r="C897" s="120">
        <v>0.010151516057865158</v>
      </c>
      <c r="D897" s="88" t="s">
        <v>2243</v>
      </c>
      <c r="E897" s="88" t="b">
        <v>0</v>
      </c>
      <c r="F897" s="88" t="b">
        <v>0</v>
      </c>
      <c r="G897" s="88" t="b">
        <v>0</v>
      </c>
    </row>
    <row r="898" spans="1:7" ht="15">
      <c r="A898" s="88" t="s">
        <v>2568</v>
      </c>
      <c r="B898" s="88">
        <v>2</v>
      </c>
      <c r="C898" s="120">
        <v>0.010151516057865158</v>
      </c>
      <c r="D898" s="88" t="s">
        <v>2243</v>
      </c>
      <c r="E898" s="88" t="b">
        <v>0</v>
      </c>
      <c r="F898" s="88" t="b">
        <v>0</v>
      </c>
      <c r="G898" s="88" t="b">
        <v>0</v>
      </c>
    </row>
    <row r="899" spans="1:7" ht="15">
      <c r="A899" s="88" t="s">
        <v>2569</v>
      </c>
      <c r="B899" s="88">
        <v>2</v>
      </c>
      <c r="C899" s="120">
        <v>0.010151516057865158</v>
      </c>
      <c r="D899" s="88" t="s">
        <v>2243</v>
      </c>
      <c r="E899" s="88" t="b">
        <v>0</v>
      </c>
      <c r="F899" s="88" t="b">
        <v>0</v>
      </c>
      <c r="G899" s="88" t="b">
        <v>0</v>
      </c>
    </row>
    <row r="900" spans="1:7" ht="15">
      <c r="A900" s="88" t="s">
        <v>2570</v>
      </c>
      <c r="B900" s="88">
        <v>2</v>
      </c>
      <c r="C900" s="120">
        <v>0.010151516057865158</v>
      </c>
      <c r="D900" s="88" t="s">
        <v>2243</v>
      </c>
      <c r="E900" s="88" t="b">
        <v>0</v>
      </c>
      <c r="F900" s="88" t="b">
        <v>0</v>
      </c>
      <c r="G900" s="88" t="b">
        <v>0</v>
      </c>
    </row>
    <row r="901" spans="1:7" ht="15">
      <c r="A901" s="88" t="s">
        <v>2571</v>
      </c>
      <c r="B901" s="88">
        <v>2</v>
      </c>
      <c r="C901" s="120">
        <v>0.010151516057865158</v>
      </c>
      <c r="D901" s="88" t="s">
        <v>2243</v>
      </c>
      <c r="E901" s="88" t="b">
        <v>0</v>
      </c>
      <c r="F901" s="88" t="b">
        <v>0</v>
      </c>
      <c r="G901" s="88" t="b">
        <v>0</v>
      </c>
    </row>
    <row r="902" spans="1:7" ht="15">
      <c r="A902" s="88" t="s">
        <v>2572</v>
      </c>
      <c r="B902" s="88">
        <v>2</v>
      </c>
      <c r="C902" s="120">
        <v>0.010151516057865158</v>
      </c>
      <c r="D902" s="88" t="s">
        <v>2243</v>
      </c>
      <c r="E902" s="88" t="b">
        <v>0</v>
      </c>
      <c r="F902" s="88" t="b">
        <v>0</v>
      </c>
      <c r="G902" s="88" t="b">
        <v>0</v>
      </c>
    </row>
    <row r="903" spans="1:7" ht="15">
      <c r="A903" s="88" t="s">
        <v>2573</v>
      </c>
      <c r="B903" s="88">
        <v>2</v>
      </c>
      <c r="C903" s="120">
        <v>0.010151516057865158</v>
      </c>
      <c r="D903" s="88" t="s">
        <v>2243</v>
      </c>
      <c r="E903" s="88" t="b">
        <v>0</v>
      </c>
      <c r="F903" s="88" t="b">
        <v>0</v>
      </c>
      <c r="G903" s="88" t="b">
        <v>0</v>
      </c>
    </row>
    <row r="904" spans="1:7" ht="15">
      <c r="A904" s="88" t="s">
        <v>2574</v>
      </c>
      <c r="B904" s="88">
        <v>2</v>
      </c>
      <c r="C904" s="120">
        <v>0.010151516057865158</v>
      </c>
      <c r="D904" s="88" t="s">
        <v>2243</v>
      </c>
      <c r="E904" s="88" t="b">
        <v>0</v>
      </c>
      <c r="F904" s="88" t="b">
        <v>0</v>
      </c>
      <c r="G904" s="88" t="b">
        <v>0</v>
      </c>
    </row>
    <row r="905" spans="1:7" ht="15">
      <c r="A905" s="88" t="s">
        <v>2575</v>
      </c>
      <c r="B905" s="88">
        <v>2</v>
      </c>
      <c r="C905" s="120">
        <v>0.010151516057865158</v>
      </c>
      <c r="D905" s="88" t="s">
        <v>2243</v>
      </c>
      <c r="E905" s="88" t="b">
        <v>0</v>
      </c>
      <c r="F905" s="88" t="b">
        <v>0</v>
      </c>
      <c r="G905" s="88" t="b">
        <v>0</v>
      </c>
    </row>
    <row r="906" spans="1:7" ht="15">
      <c r="A906" s="88" t="s">
        <v>2621</v>
      </c>
      <c r="B906" s="88">
        <v>2</v>
      </c>
      <c r="C906" s="120">
        <v>0</v>
      </c>
      <c r="D906" s="88" t="s">
        <v>2244</v>
      </c>
      <c r="E906" s="88" t="b">
        <v>0</v>
      </c>
      <c r="F906" s="88" t="b">
        <v>0</v>
      </c>
      <c r="G906" s="88" t="b">
        <v>0</v>
      </c>
    </row>
    <row r="907" spans="1:7" ht="15">
      <c r="A907" s="88" t="s">
        <v>533</v>
      </c>
      <c r="B907" s="88">
        <v>2</v>
      </c>
      <c r="C907" s="120">
        <v>0</v>
      </c>
      <c r="D907" s="88" t="s">
        <v>2244</v>
      </c>
      <c r="E907" s="88" t="b">
        <v>0</v>
      </c>
      <c r="F907" s="88" t="b">
        <v>0</v>
      </c>
      <c r="G907" s="88" t="b">
        <v>0</v>
      </c>
    </row>
    <row r="908" spans="1:7" ht="15">
      <c r="A908" s="88" t="s">
        <v>2622</v>
      </c>
      <c r="B908" s="88">
        <v>2</v>
      </c>
      <c r="C908" s="120">
        <v>0</v>
      </c>
      <c r="D908" s="88" t="s">
        <v>2244</v>
      </c>
      <c r="E908" s="88" t="b">
        <v>0</v>
      </c>
      <c r="F908" s="88" t="b">
        <v>0</v>
      </c>
      <c r="G908" s="88" t="b">
        <v>0</v>
      </c>
    </row>
    <row r="909" spans="1:7" ht="15">
      <c r="A909" s="88" t="s">
        <v>2623</v>
      </c>
      <c r="B909" s="88">
        <v>2</v>
      </c>
      <c r="C909" s="120">
        <v>0</v>
      </c>
      <c r="D909" s="88" t="s">
        <v>2244</v>
      </c>
      <c r="E909" s="88" t="b">
        <v>0</v>
      </c>
      <c r="F909" s="88" t="b">
        <v>0</v>
      </c>
      <c r="G909" s="88" t="b">
        <v>0</v>
      </c>
    </row>
    <row r="910" spans="1:7" ht="15">
      <c r="A910" s="88" t="s">
        <v>2624</v>
      </c>
      <c r="B910" s="88">
        <v>2</v>
      </c>
      <c r="C910" s="120">
        <v>0</v>
      </c>
      <c r="D910" s="88" t="s">
        <v>2244</v>
      </c>
      <c r="E910" s="88" t="b">
        <v>0</v>
      </c>
      <c r="F910" s="88" t="b">
        <v>0</v>
      </c>
      <c r="G910" s="88" t="b">
        <v>0</v>
      </c>
    </row>
    <row r="911" spans="1:7" ht="15">
      <c r="A911" s="88" t="s">
        <v>2273</v>
      </c>
      <c r="B911" s="88">
        <v>2</v>
      </c>
      <c r="C911" s="120">
        <v>0</v>
      </c>
      <c r="D911" s="88" t="s">
        <v>2244</v>
      </c>
      <c r="E911" s="88" t="b">
        <v>0</v>
      </c>
      <c r="F911" s="88" t="b">
        <v>0</v>
      </c>
      <c r="G911" s="88" t="b">
        <v>0</v>
      </c>
    </row>
    <row r="912" spans="1:7" ht="15">
      <c r="A912" s="88" t="s">
        <v>2625</v>
      </c>
      <c r="B912" s="88">
        <v>2</v>
      </c>
      <c r="C912" s="120">
        <v>0</v>
      </c>
      <c r="D912" s="88" t="s">
        <v>2244</v>
      </c>
      <c r="E912" s="88" t="b">
        <v>0</v>
      </c>
      <c r="F912" s="88" t="b">
        <v>0</v>
      </c>
      <c r="G912" s="88" t="b">
        <v>0</v>
      </c>
    </row>
    <row r="913" spans="1:7" ht="15">
      <c r="A913" s="88" t="s">
        <v>2626</v>
      </c>
      <c r="B913" s="88">
        <v>2</v>
      </c>
      <c r="C913" s="120">
        <v>0</v>
      </c>
      <c r="D913" s="88" t="s">
        <v>2244</v>
      </c>
      <c r="E913" s="88" t="b">
        <v>0</v>
      </c>
      <c r="F913" s="88" t="b">
        <v>0</v>
      </c>
      <c r="G913" s="88" t="b">
        <v>0</v>
      </c>
    </row>
    <row r="914" spans="1:7" ht="15">
      <c r="A914" s="88" t="s">
        <v>2627</v>
      </c>
      <c r="B914" s="88">
        <v>2</v>
      </c>
      <c r="C914" s="120">
        <v>0</v>
      </c>
      <c r="D914" s="88" t="s">
        <v>2244</v>
      </c>
      <c r="E914" s="88" t="b">
        <v>0</v>
      </c>
      <c r="F914" s="88" t="b">
        <v>0</v>
      </c>
      <c r="G914" s="88" t="b">
        <v>0</v>
      </c>
    </row>
    <row r="915" spans="1:7" ht="15">
      <c r="A915" s="88" t="s">
        <v>2628</v>
      </c>
      <c r="B915" s="88">
        <v>2</v>
      </c>
      <c r="C915" s="120">
        <v>0</v>
      </c>
      <c r="D915" s="88" t="s">
        <v>2244</v>
      </c>
      <c r="E915" s="88" t="b">
        <v>0</v>
      </c>
      <c r="F915" s="88" t="b">
        <v>0</v>
      </c>
      <c r="G915" s="88" t="b">
        <v>0</v>
      </c>
    </row>
    <row r="916" spans="1:7" ht="15">
      <c r="A916" s="88" t="s">
        <v>2629</v>
      </c>
      <c r="B916" s="88">
        <v>2</v>
      </c>
      <c r="C916" s="120">
        <v>0</v>
      </c>
      <c r="D916" s="88" t="s">
        <v>2244</v>
      </c>
      <c r="E916" s="88" t="b">
        <v>0</v>
      </c>
      <c r="F916" s="88" t="b">
        <v>0</v>
      </c>
      <c r="G916" s="88" t="b">
        <v>0</v>
      </c>
    </row>
    <row r="917" spans="1:7" ht="15">
      <c r="A917" s="88" t="s">
        <v>2271</v>
      </c>
      <c r="B917" s="88">
        <v>2</v>
      </c>
      <c r="C917" s="120">
        <v>0</v>
      </c>
      <c r="D917" s="88" t="s">
        <v>2244</v>
      </c>
      <c r="E917" s="88" t="b">
        <v>0</v>
      </c>
      <c r="F917" s="88" t="b">
        <v>0</v>
      </c>
      <c r="G917" s="88" t="b">
        <v>0</v>
      </c>
    </row>
    <row r="918" spans="1:7" ht="15">
      <c r="A918" s="88" t="s">
        <v>699</v>
      </c>
      <c r="B918" s="88">
        <v>2</v>
      </c>
      <c r="C918" s="120">
        <v>0</v>
      </c>
      <c r="D918" s="88" t="s">
        <v>2245</v>
      </c>
      <c r="E918" s="88" t="b">
        <v>0</v>
      </c>
      <c r="F918" s="88" t="b">
        <v>0</v>
      </c>
      <c r="G918" s="88" t="b">
        <v>0</v>
      </c>
    </row>
    <row r="919" spans="1:7" ht="15">
      <c r="A919" s="88" t="s">
        <v>2609</v>
      </c>
      <c r="B919" s="88">
        <v>2</v>
      </c>
      <c r="C919" s="120">
        <v>0</v>
      </c>
      <c r="D919" s="88" t="s">
        <v>2245</v>
      </c>
      <c r="E919" s="88" t="b">
        <v>0</v>
      </c>
      <c r="F919" s="88" t="b">
        <v>0</v>
      </c>
      <c r="G919" s="88" t="b">
        <v>0</v>
      </c>
    </row>
    <row r="920" spans="1:7" ht="15">
      <c r="A920" s="88" t="s">
        <v>2610</v>
      </c>
      <c r="B920" s="88">
        <v>2</v>
      </c>
      <c r="C920" s="120">
        <v>0</v>
      </c>
      <c r="D920" s="88" t="s">
        <v>2245</v>
      </c>
      <c r="E920" s="88" t="b">
        <v>0</v>
      </c>
      <c r="F920" s="88" t="b">
        <v>0</v>
      </c>
      <c r="G920" s="88" t="b">
        <v>0</v>
      </c>
    </row>
    <row r="921" spans="1:7" ht="15">
      <c r="A921" s="88" t="s">
        <v>2440</v>
      </c>
      <c r="B921" s="88">
        <v>2</v>
      </c>
      <c r="C921" s="120">
        <v>0</v>
      </c>
      <c r="D921" s="88" t="s">
        <v>2245</v>
      </c>
      <c r="E921" s="88" t="b">
        <v>0</v>
      </c>
      <c r="F921" s="88" t="b">
        <v>0</v>
      </c>
      <c r="G921" s="88" t="b">
        <v>0</v>
      </c>
    </row>
    <row r="922" spans="1:7" ht="15">
      <c r="A922" s="88" t="s">
        <v>2611</v>
      </c>
      <c r="B922" s="88">
        <v>2</v>
      </c>
      <c r="C922" s="120">
        <v>0</v>
      </c>
      <c r="D922" s="88" t="s">
        <v>2245</v>
      </c>
      <c r="E922" s="88" t="b">
        <v>0</v>
      </c>
      <c r="F922" s="88" t="b">
        <v>0</v>
      </c>
      <c r="G922" s="88" t="b">
        <v>0</v>
      </c>
    </row>
    <row r="923" spans="1:7" ht="15">
      <c r="A923" s="88" t="s">
        <v>2612</v>
      </c>
      <c r="B923" s="88">
        <v>2</v>
      </c>
      <c r="C923" s="120">
        <v>0</v>
      </c>
      <c r="D923" s="88" t="s">
        <v>2245</v>
      </c>
      <c r="E923" s="88" t="b">
        <v>1</v>
      </c>
      <c r="F923" s="88" t="b">
        <v>0</v>
      </c>
      <c r="G923" s="88" t="b">
        <v>0</v>
      </c>
    </row>
    <row r="924" spans="1:7" ht="15">
      <c r="A924" s="88" t="s">
        <v>2613</v>
      </c>
      <c r="B924" s="88">
        <v>2</v>
      </c>
      <c r="C924" s="120">
        <v>0</v>
      </c>
      <c r="D924" s="88" t="s">
        <v>2245</v>
      </c>
      <c r="E924" s="88" t="b">
        <v>0</v>
      </c>
      <c r="F924" s="88" t="b">
        <v>0</v>
      </c>
      <c r="G924" s="88" t="b">
        <v>0</v>
      </c>
    </row>
    <row r="925" spans="1:7" ht="15">
      <c r="A925" s="88" t="s">
        <v>2614</v>
      </c>
      <c r="B925" s="88">
        <v>2</v>
      </c>
      <c r="C925" s="120">
        <v>0</v>
      </c>
      <c r="D925" s="88" t="s">
        <v>2245</v>
      </c>
      <c r="E925" s="88" t="b">
        <v>0</v>
      </c>
      <c r="F925" s="88" t="b">
        <v>0</v>
      </c>
      <c r="G925" s="88" t="b">
        <v>0</v>
      </c>
    </row>
    <row r="926" spans="1:7" ht="15">
      <c r="A926" s="88" t="s">
        <v>2615</v>
      </c>
      <c r="B926" s="88">
        <v>2</v>
      </c>
      <c r="C926" s="120">
        <v>0</v>
      </c>
      <c r="D926" s="88" t="s">
        <v>2245</v>
      </c>
      <c r="E926" s="88" t="b">
        <v>0</v>
      </c>
      <c r="F926" s="88" t="b">
        <v>0</v>
      </c>
      <c r="G926" s="88" t="b">
        <v>0</v>
      </c>
    </row>
    <row r="927" spans="1:7" ht="15">
      <c r="A927" s="88" t="s">
        <v>2616</v>
      </c>
      <c r="B927" s="88">
        <v>2</v>
      </c>
      <c r="C927" s="120">
        <v>0</v>
      </c>
      <c r="D927" s="88" t="s">
        <v>2245</v>
      </c>
      <c r="E927" s="88" t="b">
        <v>0</v>
      </c>
      <c r="F927" s="88" t="b">
        <v>0</v>
      </c>
      <c r="G927" s="88" t="b">
        <v>0</v>
      </c>
    </row>
    <row r="928" spans="1:7" ht="15">
      <c r="A928" s="88" t="s">
        <v>2617</v>
      </c>
      <c r="B928" s="88">
        <v>2</v>
      </c>
      <c r="C928" s="120">
        <v>0</v>
      </c>
      <c r="D928" s="88" t="s">
        <v>2245</v>
      </c>
      <c r="E928" s="88" t="b">
        <v>0</v>
      </c>
      <c r="F928" s="88" t="b">
        <v>0</v>
      </c>
      <c r="G928" s="88" t="b">
        <v>0</v>
      </c>
    </row>
    <row r="929" spans="1:7" ht="15">
      <c r="A929" s="88" t="s">
        <v>2618</v>
      </c>
      <c r="B929" s="88">
        <v>2</v>
      </c>
      <c r="C929" s="120">
        <v>0</v>
      </c>
      <c r="D929" s="88" t="s">
        <v>2245</v>
      </c>
      <c r="E929" s="88" t="b">
        <v>0</v>
      </c>
      <c r="F929" s="88" t="b">
        <v>0</v>
      </c>
      <c r="G929" s="88" t="b">
        <v>0</v>
      </c>
    </row>
    <row r="930" spans="1:7" ht="15">
      <c r="A930" s="88" t="s">
        <v>2619</v>
      </c>
      <c r="B930" s="88">
        <v>2</v>
      </c>
      <c r="C930" s="120">
        <v>0</v>
      </c>
      <c r="D930" s="88" t="s">
        <v>2245</v>
      </c>
      <c r="E930" s="88" t="b">
        <v>0</v>
      </c>
      <c r="F930" s="88" t="b">
        <v>0</v>
      </c>
      <c r="G930" s="88" t="b">
        <v>0</v>
      </c>
    </row>
    <row r="931" spans="1:7" ht="15">
      <c r="A931" s="88" t="s">
        <v>2620</v>
      </c>
      <c r="B931" s="88">
        <v>2</v>
      </c>
      <c r="C931" s="120">
        <v>0</v>
      </c>
      <c r="D931" s="88" t="s">
        <v>2245</v>
      </c>
      <c r="E931" s="88" t="b">
        <v>0</v>
      </c>
      <c r="F931" s="88" t="b">
        <v>0</v>
      </c>
      <c r="G931" s="88" t="b">
        <v>0</v>
      </c>
    </row>
    <row r="932" spans="1:7" ht="15">
      <c r="A932" s="88" t="s">
        <v>2271</v>
      </c>
      <c r="B932" s="88">
        <v>2</v>
      </c>
      <c r="C932" s="120">
        <v>0</v>
      </c>
      <c r="D932" s="88" t="s">
        <v>2245</v>
      </c>
      <c r="E932" s="88" t="b">
        <v>0</v>
      </c>
      <c r="F932" s="88" t="b">
        <v>0</v>
      </c>
      <c r="G932" s="88" t="b">
        <v>0</v>
      </c>
    </row>
    <row r="933" spans="1:7" ht="15">
      <c r="A933" s="88" t="s">
        <v>2275</v>
      </c>
      <c r="B933" s="88">
        <v>2</v>
      </c>
      <c r="C933" s="120">
        <v>0</v>
      </c>
      <c r="D933" s="88" t="s">
        <v>2245</v>
      </c>
      <c r="E933" s="88" t="b">
        <v>0</v>
      </c>
      <c r="F933" s="88" t="b">
        <v>0</v>
      </c>
      <c r="G93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DEF2-125B-48CF-8FD0-B9CB46EEF7BD}">
  <dimension ref="A1:L9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2669</v>
      </c>
      <c r="B1" s="13" t="s">
        <v>2670</v>
      </c>
      <c r="C1" s="13" t="s">
        <v>2660</v>
      </c>
      <c r="D1" s="13" t="s">
        <v>2664</v>
      </c>
      <c r="E1" s="13" t="s">
        <v>2671</v>
      </c>
      <c r="F1" s="13" t="s">
        <v>144</v>
      </c>
      <c r="G1" s="13" t="s">
        <v>2672</v>
      </c>
      <c r="H1" s="13" t="s">
        <v>2673</v>
      </c>
      <c r="I1" s="13" t="s">
        <v>2674</v>
      </c>
      <c r="J1" s="13" t="s">
        <v>2675</v>
      </c>
      <c r="K1" s="13" t="s">
        <v>2676</v>
      </c>
      <c r="L1" s="13" t="s">
        <v>2677</v>
      </c>
    </row>
    <row r="2" spans="1:12" ht="15">
      <c r="A2" s="88" t="s">
        <v>2274</v>
      </c>
      <c r="B2" s="88" t="s">
        <v>2273</v>
      </c>
      <c r="C2" s="88">
        <v>60</v>
      </c>
      <c r="D2" s="120">
        <v>0.010255597050974587</v>
      </c>
      <c r="E2" s="120">
        <v>1.769330428556315</v>
      </c>
      <c r="F2" s="88" t="s">
        <v>2665</v>
      </c>
      <c r="G2" s="88" t="b">
        <v>0</v>
      </c>
      <c r="H2" s="88" t="b">
        <v>0</v>
      </c>
      <c r="I2" s="88" t="b">
        <v>0</v>
      </c>
      <c r="J2" s="88" t="b">
        <v>0</v>
      </c>
      <c r="K2" s="88" t="b">
        <v>0</v>
      </c>
      <c r="L2" s="88" t="b">
        <v>0</v>
      </c>
    </row>
    <row r="3" spans="1:12" ht="15">
      <c r="A3" s="88" t="s">
        <v>2273</v>
      </c>
      <c r="B3" s="88" t="s">
        <v>2271</v>
      </c>
      <c r="C3" s="88">
        <v>60</v>
      </c>
      <c r="D3" s="120">
        <v>0.010255597050974587</v>
      </c>
      <c r="E3" s="120">
        <v>1.1952991608285963</v>
      </c>
      <c r="F3" s="88" t="s">
        <v>2665</v>
      </c>
      <c r="G3" s="88" t="b">
        <v>0</v>
      </c>
      <c r="H3" s="88" t="b">
        <v>0</v>
      </c>
      <c r="I3" s="88" t="b">
        <v>0</v>
      </c>
      <c r="J3" s="88" t="b">
        <v>0</v>
      </c>
      <c r="K3" s="88" t="b">
        <v>0</v>
      </c>
      <c r="L3" s="88" t="b">
        <v>0</v>
      </c>
    </row>
    <row r="4" spans="1:12" ht="15">
      <c r="A4" s="88" t="s">
        <v>2278</v>
      </c>
      <c r="B4" s="88" t="s">
        <v>2279</v>
      </c>
      <c r="C4" s="88">
        <v>38</v>
      </c>
      <c r="D4" s="120">
        <v>0.007208113573952514</v>
      </c>
      <c r="E4" s="120">
        <v>1.9888873813930865</v>
      </c>
      <c r="F4" s="88" t="s">
        <v>2665</v>
      </c>
      <c r="G4" s="88" t="b">
        <v>0</v>
      </c>
      <c r="H4" s="88" t="b">
        <v>0</v>
      </c>
      <c r="I4" s="88" t="b">
        <v>0</v>
      </c>
      <c r="J4" s="88" t="b">
        <v>0</v>
      </c>
      <c r="K4" s="88" t="b">
        <v>0</v>
      </c>
      <c r="L4" s="88" t="b">
        <v>0</v>
      </c>
    </row>
    <row r="5" spans="1:12" ht="15">
      <c r="A5" s="88" t="s">
        <v>2279</v>
      </c>
      <c r="B5" s="88" t="s">
        <v>2280</v>
      </c>
      <c r="C5" s="88">
        <v>38</v>
      </c>
      <c r="D5" s="120">
        <v>0.007208113573952514</v>
      </c>
      <c r="E5" s="120">
        <v>1.9888873813930865</v>
      </c>
      <c r="F5" s="88" t="s">
        <v>2665</v>
      </c>
      <c r="G5" s="88" t="b">
        <v>0</v>
      </c>
      <c r="H5" s="88" t="b">
        <v>0</v>
      </c>
      <c r="I5" s="88" t="b">
        <v>0</v>
      </c>
      <c r="J5" s="88" t="b">
        <v>0</v>
      </c>
      <c r="K5" s="88" t="b">
        <v>0</v>
      </c>
      <c r="L5" s="88" t="b">
        <v>0</v>
      </c>
    </row>
    <row r="6" spans="1:12" ht="15">
      <c r="A6" s="88" t="s">
        <v>2280</v>
      </c>
      <c r="B6" s="88" t="s">
        <v>699</v>
      </c>
      <c r="C6" s="88">
        <v>38</v>
      </c>
      <c r="D6" s="120">
        <v>0.007208113573952514</v>
      </c>
      <c r="E6" s="120">
        <v>1.493124016617366</v>
      </c>
      <c r="F6" s="88" t="s">
        <v>2665</v>
      </c>
      <c r="G6" s="88" t="b">
        <v>0</v>
      </c>
      <c r="H6" s="88" t="b">
        <v>0</v>
      </c>
      <c r="I6" s="88" t="b">
        <v>0</v>
      </c>
      <c r="J6" s="88" t="b">
        <v>0</v>
      </c>
      <c r="K6" s="88" t="b">
        <v>0</v>
      </c>
      <c r="L6" s="88" t="b">
        <v>0</v>
      </c>
    </row>
    <row r="7" spans="1:12" ht="15">
      <c r="A7" s="88" t="s">
        <v>699</v>
      </c>
      <c r="B7" s="88" t="s">
        <v>2281</v>
      </c>
      <c r="C7" s="88">
        <v>38</v>
      </c>
      <c r="D7" s="120">
        <v>0.007208113573952514</v>
      </c>
      <c r="E7" s="120">
        <v>1.4787658665704988</v>
      </c>
      <c r="F7" s="88" t="s">
        <v>2665</v>
      </c>
      <c r="G7" s="88" t="b">
        <v>0</v>
      </c>
      <c r="H7" s="88" t="b">
        <v>0</v>
      </c>
      <c r="I7" s="88" t="b">
        <v>0</v>
      </c>
      <c r="J7" s="88" t="b">
        <v>0</v>
      </c>
      <c r="K7" s="88" t="b">
        <v>0</v>
      </c>
      <c r="L7" s="88" t="b">
        <v>0</v>
      </c>
    </row>
    <row r="8" spans="1:12" ht="15">
      <c r="A8" s="88" t="s">
        <v>2281</v>
      </c>
      <c r="B8" s="88" t="s">
        <v>2276</v>
      </c>
      <c r="C8" s="88">
        <v>38</v>
      </c>
      <c r="D8" s="120">
        <v>0.007208113573952514</v>
      </c>
      <c r="E8" s="120">
        <v>1.9059131463283225</v>
      </c>
      <c r="F8" s="88" t="s">
        <v>2665</v>
      </c>
      <c r="G8" s="88" t="b">
        <v>0</v>
      </c>
      <c r="H8" s="88" t="b">
        <v>0</v>
      </c>
      <c r="I8" s="88" t="b">
        <v>0</v>
      </c>
      <c r="J8" s="88" t="b">
        <v>0</v>
      </c>
      <c r="K8" s="88" t="b">
        <v>0</v>
      </c>
      <c r="L8" s="88" t="b">
        <v>0</v>
      </c>
    </row>
    <row r="9" spans="1:12" ht="15">
      <c r="A9" s="88" t="s">
        <v>2276</v>
      </c>
      <c r="B9" s="88" t="s">
        <v>2282</v>
      </c>
      <c r="C9" s="88">
        <v>38</v>
      </c>
      <c r="D9" s="120">
        <v>0.007208113573952514</v>
      </c>
      <c r="E9" s="120">
        <v>1.9059131463283225</v>
      </c>
      <c r="F9" s="88" t="s">
        <v>2665</v>
      </c>
      <c r="G9" s="88" t="b">
        <v>0</v>
      </c>
      <c r="H9" s="88" t="b">
        <v>0</v>
      </c>
      <c r="I9" s="88" t="b">
        <v>0</v>
      </c>
      <c r="J9" s="88" t="b">
        <v>1</v>
      </c>
      <c r="K9" s="88" t="b">
        <v>0</v>
      </c>
      <c r="L9" s="88" t="b">
        <v>0</v>
      </c>
    </row>
    <row r="10" spans="1:12" ht="15">
      <c r="A10" s="88" t="s">
        <v>2282</v>
      </c>
      <c r="B10" s="88" t="s">
        <v>2283</v>
      </c>
      <c r="C10" s="88">
        <v>38</v>
      </c>
      <c r="D10" s="120">
        <v>0.007208113573952514</v>
      </c>
      <c r="E10" s="120">
        <v>1.9888873813930865</v>
      </c>
      <c r="F10" s="88" t="s">
        <v>2665</v>
      </c>
      <c r="G10" s="88" t="b">
        <v>1</v>
      </c>
      <c r="H10" s="88" t="b">
        <v>0</v>
      </c>
      <c r="I10" s="88" t="b">
        <v>0</v>
      </c>
      <c r="J10" s="88" t="b">
        <v>0</v>
      </c>
      <c r="K10" s="88" t="b">
        <v>0</v>
      </c>
      <c r="L10" s="88" t="b">
        <v>0</v>
      </c>
    </row>
    <row r="11" spans="1:12" ht="15">
      <c r="A11" s="88" t="s">
        <v>2283</v>
      </c>
      <c r="B11" s="88" t="s">
        <v>2272</v>
      </c>
      <c r="C11" s="88">
        <v>38</v>
      </c>
      <c r="D11" s="120">
        <v>0.007208113573952514</v>
      </c>
      <c r="E11" s="120">
        <v>1.6548571256261801</v>
      </c>
      <c r="F11" s="88" t="s">
        <v>2665</v>
      </c>
      <c r="G11" s="88" t="b">
        <v>0</v>
      </c>
      <c r="H11" s="88" t="b">
        <v>0</v>
      </c>
      <c r="I11" s="88" t="b">
        <v>0</v>
      </c>
      <c r="J11" s="88" t="b">
        <v>1</v>
      </c>
      <c r="K11" s="88" t="b">
        <v>0</v>
      </c>
      <c r="L11" s="88" t="b">
        <v>0</v>
      </c>
    </row>
    <row r="12" spans="1:12" ht="15">
      <c r="A12" s="88" t="s">
        <v>2272</v>
      </c>
      <c r="B12" s="88" t="s">
        <v>2284</v>
      </c>
      <c r="C12" s="88">
        <v>38</v>
      </c>
      <c r="D12" s="120">
        <v>0.007208113573952514</v>
      </c>
      <c r="E12" s="120">
        <v>1.6548571256261801</v>
      </c>
      <c r="F12" s="88" t="s">
        <v>2665</v>
      </c>
      <c r="G12" s="88" t="b">
        <v>1</v>
      </c>
      <c r="H12" s="88" t="b">
        <v>0</v>
      </c>
      <c r="I12" s="88" t="b">
        <v>0</v>
      </c>
      <c r="J12" s="88" t="b">
        <v>0</v>
      </c>
      <c r="K12" s="88" t="b">
        <v>0</v>
      </c>
      <c r="L12" s="88" t="b">
        <v>0</v>
      </c>
    </row>
    <row r="13" spans="1:12" ht="15">
      <c r="A13" s="88" t="s">
        <v>2284</v>
      </c>
      <c r="B13" s="88" t="s">
        <v>2285</v>
      </c>
      <c r="C13" s="88">
        <v>38</v>
      </c>
      <c r="D13" s="120">
        <v>0.007208113573952514</v>
      </c>
      <c r="E13" s="120">
        <v>1.9888873813930865</v>
      </c>
      <c r="F13" s="88" t="s">
        <v>2665</v>
      </c>
      <c r="G13" s="88" t="b">
        <v>0</v>
      </c>
      <c r="H13" s="88" t="b">
        <v>0</v>
      </c>
      <c r="I13" s="88" t="b">
        <v>0</v>
      </c>
      <c r="J13" s="88" t="b">
        <v>0</v>
      </c>
      <c r="K13" s="88" t="b">
        <v>0</v>
      </c>
      <c r="L13" s="88" t="b">
        <v>0</v>
      </c>
    </row>
    <row r="14" spans="1:12" ht="15">
      <c r="A14" s="88" t="s">
        <v>2285</v>
      </c>
      <c r="B14" s="88" t="s">
        <v>2286</v>
      </c>
      <c r="C14" s="88">
        <v>38</v>
      </c>
      <c r="D14" s="120">
        <v>0.007208113573952514</v>
      </c>
      <c r="E14" s="120">
        <v>1.9888873813930865</v>
      </c>
      <c r="F14" s="88" t="s">
        <v>2665</v>
      </c>
      <c r="G14" s="88" t="b">
        <v>0</v>
      </c>
      <c r="H14" s="88" t="b">
        <v>0</v>
      </c>
      <c r="I14" s="88" t="b">
        <v>0</v>
      </c>
      <c r="J14" s="88" t="b">
        <v>0</v>
      </c>
      <c r="K14" s="88" t="b">
        <v>0</v>
      </c>
      <c r="L14" s="88" t="b">
        <v>0</v>
      </c>
    </row>
    <row r="15" spans="1:12" ht="15">
      <c r="A15" s="88" t="s">
        <v>2286</v>
      </c>
      <c r="B15" s="88" t="s">
        <v>2287</v>
      </c>
      <c r="C15" s="88">
        <v>38</v>
      </c>
      <c r="D15" s="120">
        <v>0.007208113573952514</v>
      </c>
      <c r="E15" s="120">
        <v>1.9888873813930865</v>
      </c>
      <c r="F15" s="88" t="s">
        <v>2665</v>
      </c>
      <c r="G15" s="88" t="b">
        <v>0</v>
      </c>
      <c r="H15" s="88" t="b">
        <v>0</v>
      </c>
      <c r="I15" s="88" t="b">
        <v>0</v>
      </c>
      <c r="J15" s="88" t="b">
        <v>0</v>
      </c>
      <c r="K15" s="88" t="b">
        <v>0</v>
      </c>
      <c r="L15" s="88" t="b">
        <v>0</v>
      </c>
    </row>
    <row r="16" spans="1:12" ht="15">
      <c r="A16" s="88" t="s">
        <v>2287</v>
      </c>
      <c r="B16" s="88" t="s">
        <v>2272</v>
      </c>
      <c r="C16" s="88">
        <v>38</v>
      </c>
      <c r="D16" s="120">
        <v>0.007208113573952514</v>
      </c>
      <c r="E16" s="120">
        <v>1.6548571256261801</v>
      </c>
      <c r="F16" s="88" t="s">
        <v>2665</v>
      </c>
      <c r="G16" s="88" t="b">
        <v>0</v>
      </c>
      <c r="H16" s="88" t="b">
        <v>0</v>
      </c>
      <c r="I16" s="88" t="b">
        <v>0</v>
      </c>
      <c r="J16" s="88" t="b">
        <v>1</v>
      </c>
      <c r="K16" s="88" t="b">
        <v>0</v>
      </c>
      <c r="L16" s="88" t="b">
        <v>0</v>
      </c>
    </row>
    <row r="17" spans="1:12" ht="15">
      <c r="A17" s="88" t="s">
        <v>2272</v>
      </c>
      <c r="B17" s="88" t="s">
        <v>2288</v>
      </c>
      <c r="C17" s="88">
        <v>38</v>
      </c>
      <c r="D17" s="120">
        <v>0.007208113573952514</v>
      </c>
      <c r="E17" s="120">
        <v>1.6548571256261801</v>
      </c>
      <c r="F17" s="88" t="s">
        <v>2665</v>
      </c>
      <c r="G17" s="88" t="b">
        <v>1</v>
      </c>
      <c r="H17" s="88" t="b">
        <v>0</v>
      </c>
      <c r="I17" s="88" t="b">
        <v>0</v>
      </c>
      <c r="J17" s="88" t="b">
        <v>0</v>
      </c>
      <c r="K17" s="88" t="b">
        <v>0</v>
      </c>
      <c r="L17" s="88" t="b">
        <v>0</v>
      </c>
    </row>
    <row r="18" spans="1:12" ht="15">
      <c r="A18" s="88" t="s">
        <v>2288</v>
      </c>
      <c r="B18" s="88" t="s">
        <v>2289</v>
      </c>
      <c r="C18" s="88">
        <v>38</v>
      </c>
      <c r="D18" s="120">
        <v>0.007208113573952514</v>
      </c>
      <c r="E18" s="120">
        <v>1.9888873813930865</v>
      </c>
      <c r="F18" s="88" t="s">
        <v>2665</v>
      </c>
      <c r="G18" s="88" t="b">
        <v>0</v>
      </c>
      <c r="H18" s="88" t="b">
        <v>0</v>
      </c>
      <c r="I18" s="88" t="b">
        <v>0</v>
      </c>
      <c r="J18" s="88" t="b">
        <v>0</v>
      </c>
      <c r="K18" s="88" t="b">
        <v>0</v>
      </c>
      <c r="L18" s="88" t="b">
        <v>0</v>
      </c>
    </row>
    <row r="19" spans="1:12" ht="15">
      <c r="A19" s="88" t="s">
        <v>2289</v>
      </c>
      <c r="B19" s="88" t="s">
        <v>2290</v>
      </c>
      <c r="C19" s="88">
        <v>38</v>
      </c>
      <c r="D19" s="120">
        <v>0.007208113573952514</v>
      </c>
      <c r="E19" s="120">
        <v>1.9888873813930865</v>
      </c>
      <c r="F19" s="88" t="s">
        <v>2665</v>
      </c>
      <c r="G19" s="88" t="b">
        <v>0</v>
      </c>
      <c r="H19" s="88" t="b">
        <v>0</v>
      </c>
      <c r="I19" s="88" t="b">
        <v>0</v>
      </c>
      <c r="J19" s="88" t="b">
        <v>0</v>
      </c>
      <c r="K19" s="88" t="b">
        <v>0</v>
      </c>
      <c r="L19" s="88" t="b">
        <v>0</v>
      </c>
    </row>
    <row r="20" spans="1:12" ht="15">
      <c r="A20" s="88" t="s">
        <v>2290</v>
      </c>
      <c r="B20" s="88" t="s">
        <v>699</v>
      </c>
      <c r="C20" s="88">
        <v>38</v>
      </c>
      <c r="D20" s="120">
        <v>0.007208113573952514</v>
      </c>
      <c r="E20" s="120">
        <v>1.493124016617366</v>
      </c>
      <c r="F20" s="88" t="s">
        <v>2665</v>
      </c>
      <c r="G20" s="88" t="b">
        <v>0</v>
      </c>
      <c r="H20" s="88" t="b">
        <v>0</v>
      </c>
      <c r="I20" s="88" t="b">
        <v>0</v>
      </c>
      <c r="J20" s="88" t="b">
        <v>0</v>
      </c>
      <c r="K20" s="88" t="b">
        <v>0</v>
      </c>
      <c r="L20" s="88" t="b">
        <v>0</v>
      </c>
    </row>
    <row r="21" spans="1:12" ht="15">
      <c r="A21" s="88" t="s">
        <v>699</v>
      </c>
      <c r="B21" s="88" t="s">
        <v>513</v>
      </c>
      <c r="C21" s="88">
        <v>38</v>
      </c>
      <c r="D21" s="120">
        <v>0.007208113573952514</v>
      </c>
      <c r="E21" s="120">
        <v>1.4787658665704988</v>
      </c>
      <c r="F21" s="88" t="s">
        <v>2665</v>
      </c>
      <c r="G21" s="88" t="b">
        <v>0</v>
      </c>
      <c r="H21" s="88" t="b">
        <v>0</v>
      </c>
      <c r="I21" s="88" t="b">
        <v>0</v>
      </c>
      <c r="J21" s="88" t="b">
        <v>0</v>
      </c>
      <c r="K21" s="88" t="b">
        <v>0</v>
      </c>
      <c r="L21" s="88" t="b">
        <v>0</v>
      </c>
    </row>
    <row r="22" spans="1:12" ht="15">
      <c r="A22" s="88" t="s">
        <v>513</v>
      </c>
      <c r="B22" s="88" t="s">
        <v>2277</v>
      </c>
      <c r="C22" s="88">
        <v>38</v>
      </c>
      <c r="D22" s="120">
        <v>0.007208113573952514</v>
      </c>
      <c r="E22" s="120">
        <v>1.9154584642345531</v>
      </c>
      <c r="F22" s="88" t="s">
        <v>2665</v>
      </c>
      <c r="G22" s="88" t="b">
        <v>0</v>
      </c>
      <c r="H22" s="88" t="b">
        <v>0</v>
      </c>
      <c r="I22" s="88" t="b">
        <v>0</v>
      </c>
      <c r="J22" s="88" t="b">
        <v>0</v>
      </c>
      <c r="K22" s="88" t="b">
        <v>0</v>
      </c>
      <c r="L22" s="88" t="b">
        <v>0</v>
      </c>
    </row>
    <row r="23" spans="1:12" ht="15">
      <c r="A23" s="88" t="s">
        <v>2277</v>
      </c>
      <c r="B23" s="88" t="s">
        <v>2271</v>
      </c>
      <c r="C23" s="88">
        <v>38</v>
      </c>
      <c r="D23" s="120">
        <v>0.007208113573952514</v>
      </c>
      <c r="E23" s="120">
        <v>1.173022766117444</v>
      </c>
      <c r="F23" s="88" t="s">
        <v>2665</v>
      </c>
      <c r="G23" s="88" t="b">
        <v>0</v>
      </c>
      <c r="H23" s="88" t="b">
        <v>0</v>
      </c>
      <c r="I23" s="88" t="b">
        <v>0</v>
      </c>
      <c r="J23" s="88" t="b">
        <v>0</v>
      </c>
      <c r="K23" s="88" t="b">
        <v>0</v>
      </c>
      <c r="L23" s="88" t="b">
        <v>0</v>
      </c>
    </row>
    <row r="24" spans="1:12" ht="15">
      <c r="A24" s="88" t="s">
        <v>2271</v>
      </c>
      <c r="B24" s="88" t="s">
        <v>2291</v>
      </c>
      <c r="C24" s="88">
        <v>38</v>
      </c>
      <c r="D24" s="120">
        <v>0.007208113573952514</v>
      </c>
      <c r="E24" s="120">
        <v>1.3331425311023477</v>
      </c>
      <c r="F24" s="88" t="s">
        <v>2665</v>
      </c>
      <c r="G24" s="88" t="b">
        <v>0</v>
      </c>
      <c r="H24" s="88" t="b">
        <v>0</v>
      </c>
      <c r="I24" s="88" t="b">
        <v>0</v>
      </c>
      <c r="J24" s="88" t="b">
        <v>0</v>
      </c>
      <c r="K24" s="88" t="b">
        <v>0</v>
      </c>
      <c r="L24" s="88" t="b">
        <v>0</v>
      </c>
    </row>
    <row r="25" spans="1:12" ht="15">
      <c r="A25" s="88" t="s">
        <v>2300</v>
      </c>
      <c r="B25" s="88" t="s">
        <v>2299</v>
      </c>
      <c r="C25" s="88">
        <v>22</v>
      </c>
      <c r="D25" s="120">
        <v>0.005507288070019848</v>
      </c>
      <c r="E25" s="120">
        <v>2.206943141992304</v>
      </c>
      <c r="F25" s="88" t="s">
        <v>2665</v>
      </c>
      <c r="G25" s="88" t="b">
        <v>0</v>
      </c>
      <c r="H25" s="88" t="b">
        <v>0</v>
      </c>
      <c r="I25" s="88" t="b">
        <v>0</v>
      </c>
      <c r="J25" s="88" t="b">
        <v>0</v>
      </c>
      <c r="K25" s="88" t="b">
        <v>0</v>
      </c>
      <c r="L25" s="88" t="b">
        <v>0</v>
      </c>
    </row>
    <row r="26" spans="1:12" ht="15">
      <c r="A26" s="88" t="s">
        <v>2299</v>
      </c>
      <c r="B26" s="88" t="s">
        <v>2301</v>
      </c>
      <c r="C26" s="88">
        <v>22</v>
      </c>
      <c r="D26" s="120">
        <v>0.005507288070019848</v>
      </c>
      <c r="E26" s="120">
        <v>2.206943141992304</v>
      </c>
      <c r="F26" s="88" t="s">
        <v>2665</v>
      </c>
      <c r="G26" s="88" t="b">
        <v>0</v>
      </c>
      <c r="H26" s="88" t="b">
        <v>0</v>
      </c>
      <c r="I26" s="88" t="b">
        <v>0</v>
      </c>
      <c r="J26" s="88" t="b">
        <v>0</v>
      </c>
      <c r="K26" s="88" t="b">
        <v>0</v>
      </c>
      <c r="L26" s="88" t="b">
        <v>0</v>
      </c>
    </row>
    <row r="27" spans="1:12" ht="15">
      <c r="A27" s="88" t="s">
        <v>2301</v>
      </c>
      <c r="B27" s="88" t="s">
        <v>2302</v>
      </c>
      <c r="C27" s="88">
        <v>22</v>
      </c>
      <c r="D27" s="120">
        <v>0.005507288070019848</v>
      </c>
      <c r="E27" s="120">
        <v>2.2262482971876905</v>
      </c>
      <c r="F27" s="88" t="s">
        <v>2665</v>
      </c>
      <c r="G27" s="88" t="b">
        <v>0</v>
      </c>
      <c r="H27" s="88" t="b">
        <v>0</v>
      </c>
      <c r="I27" s="88" t="b">
        <v>0</v>
      </c>
      <c r="J27" s="88" t="b">
        <v>0</v>
      </c>
      <c r="K27" s="88" t="b">
        <v>0</v>
      </c>
      <c r="L27" s="88" t="b">
        <v>0</v>
      </c>
    </row>
    <row r="28" spans="1:12" ht="15">
      <c r="A28" s="88" t="s">
        <v>2302</v>
      </c>
      <c r="B28" s="88" t="s">
        <v>2303</v>
      </c>
      <c r="C28" s="88">
        <v>22</v>
      </c>
      <c r="D28" s="120">
        <v>0.005507288070019848</v>
      </c>
      <c r="E28" s="120">
        <v>2.2262482971876905</v>
      </c>
      <c r="F28" s="88" t="s">
        <v>2665</v>
      </c>
      <c r="G28" s="88" t="b">
        <v>0</v>
      </c>
      <c r="H28" s="88" t="b">
        <v>0</v>
      </c>
      <c r="I28" s="88" t="b">
        <v>0</v>
      </c>
      <c r="J28" s="88" t="b">
        <v>0</v>
      </c>
      <c r="K28" s="88" t="b">
        <v>0</v>
      </c>
      <c r="L28" s="88" t="b">
        <v>0</v>
      </c>
    </row>
    <row r="29" spans="1:12" ht="15">
      <c r="A29" s="88" t="s">
        <v>2303</v>
      </c>
      <c r="B29" s="88" t="s">
        <v>2304</v>
      </c>
      <c r="C29" s="88">
        <v>22</v>
      </c>
      <c r="D29" s="120">
        <v>0.005507288070019848</v>
      </c>
      <c r="E29" s="120">
        <v>2.2262482971876905</v>
      </c>
      <c r="F29" s="88" t="s">
        <v>2665</v>
      </c>
      <c r="G29" s="88" t="b">
        <v>0</v>
      </c>
      <c r="H29" s="88" t="b">
        <v>0</v>
      </c>
      <c r="I29" s="88" t="b">
        <v>0</v>
      </c>
      <c r="J29" s="88" t="b">
        <v>0</v>
      </c>
      <c r="K29" s="88" t="b">
        <v>0</v>
      </c>
      <c r="L29" s="88" t="b">
        <v>0</v>
      </c>
    </row>
    <row r="30" spans="1:12" ht="15">
      <c r="A30" s="88" t="s">
        <v>2304</v>
      </c>
      <c r="B30" s="88" t="s">
        <v>2305</v>
      </c>
      <c r="C30" s="88">
        <v>22</v>
      </c>
      <c r="D30" s="120">
        <v>0.005507288070019848</v>
      </c>
      <c r="E30" s="120">
        <v>2.2262482971876905</v>
      </c>
      <c r="F30" s="88" t="s">
        <v>2665</v>
      </c>
      <c r="G30" s="88" t="b">
        <v>0</v>
      </c>
      <c r="H30" s="88" t="b">
        <v>0</v>
      </c>
      <c r="I30" s="88" t="b">
        <v>0</v>
      </c>
      <c r="J30" s="88" t="b">
        <v>0</v>
      </c>
      <c r="K30" s="88" t="b">
        <v>0</v>
      </c>
      <c r="L30" s="88" t="b">
        <v>0</v>
      </c>
    </row>
    <row r="31" spans="1:12" ht="15">
      <c r="A31" s="88" t="s">
        <v>2305</v>
      </c>
      <c r="B31" s="88" t="s">
        <v>2306</v>
      </c>
      <c r="C31" s="88">
        <v>22</v>
      </c>
      <c r="D31" s="120">
        <v>0.005507288070019848</v>
      </c>
      <c r="E31" s="120">
        <v>2.2262482971876905</v>
      </c>
      <c r="F31" s="88" t="s">
        <v>2665</v>
      </c>
      <c r="G31" s="88" t="b">
        <v>0</v>
      </c>
      <c r="H31" s="88" t="b">
        <v>0</v>
      </c>
      <c r="I31" s="88" t="b">
        <v>0</v>
      </c>
      <c r="J31" s="88" t="b">
        <v>1</v>
      </c>
      <c r="K31" s="88" t="b">
        <v>0</v>
      </c>
      <c r="L31" s="88" t="b">
        <v>0</v>
      </c>
    </row>
    <row r="32" spans="1:12" ht="15">
      <c r="A32" s="88" t="s">
        <v>2306</v>
      </c>
      <c r="B32" s="88" t="s">
        <v>2307</v>
      </c>
      <c r="C32" s="88">
        <v>22</v>
      </c>
      <c r="D32" s="120">
        <v>0.005507288070019848</v>
      </c>
      <c r="E32" s="120">
        <v>2.2262482971876905</v>
      </c>
      <c r="F32" s="88" t="s">
        <v>2665</v>
      </c>
      <c r="G32" s="88" t="b">
        <v>1</v>
      </c>
      <c r="H32" s="88" t="b">
        <v>0</v>
      </c>
      <c r="I32" s="88" t="b">
        <v>0</v>
      </c>
      <c r="J32" s="88" t="b">
        <v>0</v>
      </c>
      <c r="K32" s="88" t="b">
        <v>0</v>
      </c>
      <c r="L32" s="88" t="b">
        <v>0</v>
      </c>
    </row>
    <row r="33" spans="1:12" ht="15">
      <c r="A33" s="88" t="s">
        <v>2307</v>
      </c>
      <c r="B33" s="88" t="s">
        <v>2275</v>
      </c>
      <c r="C33" s="88">
        <v>22</v>
      </c>
      <c r="D33" s="120">
        <v>0.005507288070019848</v>
      </c>
      <c r="E33" s="120">
        <v>1.9352025224303102</v>
      </c>
      <c r="F33" s="88" t="s">
        <v>2665</v>
      </c>
      <c r="G33" s="88" t="b">
        <v>0</v>
      </c>
      <c r="H33" s="88" t="b">
        <v>0</v>
      </c>
      <c r="I33" s="88" t="b">
        <v>0</v>
      </c>
      <c r="J33" s="88" t="b">
        <v>0</v>
      </c>
      <c r="K33" s="88" t="b">
        <v>0</v>
      </c>
      <c r="L33" s="88" t="b">
        <v>0</v>
      </c>
    </row>
    <row r="34" spans="1:12" ht="15">
      <c r="A34" s="88" t="s">
        <v>2275</v>
      </c>
      <c r="B34" s="88" t="s">
        <v>2271</v>
      </c>
      <c r="C34" s="88">
        <v>22</v>
      </c>
      <c r="D34" s="120">
        <v>0.005507288070019848</v>
      </c>
      <c r="E34" s="120">
        <v>0.9461272840010051</v>
      </c>
      <c r="F34" s="88" t="s">
        <v>2665</v>
      </c>
      <c r="G34" s="88" t="b">
        <v>0</v>
      </c>
      <c r="H34" s="88" t="b">
        <v>0</v>
      </c>
      <c r="I34" s="88" t="b">
        <v>0</v>
      </c>
      <c r="J34" s="88" t="b">
        <v>0</v>
      </c>
      <c r="K34" s="88" t="b">
        <v>0</v>
      </c>
      <c r="L34" s="88" t="b">
        <v>0</v>
      </c>
    </row>
    <row r="35" spans="1:12" ht="15">
      <c r="A35" s="88" t="s">
        <v>2271</v>
      </c>
      <c r="B35" s="88" t="s">
        <v>527</v>
      </c>
      <c r="C35" s="88">
        <v>22</v>
      </c>
      <c r="D35" s="120">
        <v>0.005507288070019848</v>
      </c>
      <c r="E35" s="120">
        <v>1.3331425311023477</v>
      </c>
      <c r="F35" s="88" t="s">
        <v>2665</v>
      </c>
      <c r="G35" s="88" t="b">
        <v>0</v>
      </c>
      <c r="H35" s="88" t="b">
        <v>0</v>
      </c>
      <c r="I35" s="88" t="b">
        <v>0</v>
      </c>
      <c r="J35" s="88" t="b">
        <v>0</v>
      </c>
      <c r="K35" s="88" t="b">
        <v>0</v>
      </c>
      <c r="L35" s="88" t="b">
        <v>0</v>
      </c>
    </row>
    <row r="36" spans="1:12" ht="15">
      <c r="A36" s="88" t="s">
        <v>527</v>
      </c>
      <c r="B36" s="88" t="s">
        <v>526</v>
      </c>
      <c r="C36" s="88">
        <v>22</v>
      </c>
      <c r="D36" s="120">
        <v>0.005507288070019848</v>
      </c>
      <c r="E36" s="120">
        <v>2.2262482971876905</v>
      </c>
      <c r="F36" s="88" t="s">
        <v>2665</v>
      </c>
      <c r="G36" s="88" t="b">
        <v>0</v>
      </c>
      <c r="H36" s="88" t="b">
        <v>0</v>
      </c>
      <c r="I36" s="88" t="b">
        <v>0</v>
      </c>
      <c r="J36" s="88" t="b">
        <v>0</v>
      </c>
      <c r="K36" s="88" t="b">
        <v>0</v>
      </c>
      <c r="L36" s="88" t="b">
        <v>0</v>
      </c>
    </row>
    <row r="37" spans="1:12" ht="15">
      <c r="A37" s="88" t="s">
        <v>2309</v>
      </c>
      <c r="B37" s="88" t="s">
        <v>2310</v>
      </c>
      <c r="C37" s="88">
        <v>20</v>
      </c>
      <c r="D37" s="120">
        <v>0.005218136428563812</v>
      </c>
      <c r="E37" s="120">
        <v>2.2676409823459154</v>
      </c>
      <c r="F37" s="88" t="s">
        <v>2665</v>
      </c>
      <c r="G37" s="88" t="b">
        <v>0</v>
      </c>
      <c r="H37" s="88" t="b">
        <v>0</v>
      </c>
      <c r="I37" s="88" t="b">
        <v>0</v>
      </c>
      <c r="J37" s="88" t="b">
        <v>0</v>
      </c>
      <c r="K37" s="88" t="b">
        <v>0</v>
      </c>
      <c r="L37" s="88" t="b">
        <v>0</v>
      </c>
    </row>
    <row r="38" spans="1:12" ht="15">
      <c r="A38" s="88" t="s">
        <v>2310</v>
      </c>
      <c r="B38" s="88" t="s">
        <v>2311</v>
      </c>
      <c r="C38" s="88">
        <v>20</v>
      </c>
      <c r="D38" s="120">
        <v>0.005218136428563812</v>
      </c>
      <c r="E38" s="120">
        <v>2.2676409823459154</v>
      </c>
      <c r="F38" s="88" t="s">
        <v>2665</v>
      </c>
      <c r="G38" s="88" t="b">
        <v>0</v>
      </c>
      <c r="H38" s="88" t="b">
        <v>0</v>
      </c>
      <c r="I38" s="88" t="b">
        <v>0</v>
      </c>
      <c r="J38" s="88" t="b">
        <v>0</v>
      </c>
      <c r="K38" s="88" t="b">
        <v>0</v>
      </c>
      <c r="L38" s="88" t="b">
        <v>0</v>
      </c>
    </row>
    <row r="39" spans="1:12" ht="15">
      <c r="A39" s="88" t="s">
        <v>2311</v>
      </c>
      <c r="B39" s="88" t="s">
        <v>2312</v>
      </c>
      <c r="C39" s="88">
        <v>20</v>
      </c>
      <c r="D39" s="120">
        <v>0.005218136428563812</v>
      </c>
      <c r="E39" s="120">
        <v>2.2676409823459154</v>
      </c>
      <c r="F39" s="88" t="s">
        <v>2665</v>
      </c>
      <c r="G39" s="88" t="b">
        <v>0</v>
      </c>
      <c r="H39" s="88" t="b">
        <v>0</v>
      </c>
      <c r="I39" s="88" t="b">
        <v>0</v>
      </c>
      <c r="J39" s="88" t="b">
        <v>1</v>
      </c>
      <c r="K39" s="88" t="b">
        <v>0</v>
      </c>
      <c r="L39" s="88" t="b">
        <v>0</v>
      </c>
    </row>
    <row r="40" spans="1:12" ht="15">
      <c r="A40" s="88" t="s">
        <v>2312</v>
      </c>
      <c r="B40" s="88" t="s">
        <v>2297</v>
      </c>
      <c r="C40" s="88">
        <v>20</v>
      </c>
      <c r="D40" s="120">
        <v>0.005218136428563812</v>
      </c>
      <c r="E40" s="120">
        <v>2.1884597362982907</v>
      </c>
      <c r="F40" s="88" t="s">
        <v>2665</v>
      </c>
      <c r="G40" s="88" t="b">
        <v>1</v>
      </c>
      <c r="H40" s="88" t="b">
        <v>0</v>
      </c>
      <c r="I40" s="88" t="b">
        <v>0</v>
      </c>
      <c r="J40" s="88" t="b">
        <v>0</v>
      </c>
      <c r="K40" s="88" t="b">
        <v>0</v>
      </c>
      <c r="L40" s="88" t="b">
        <v>0</v>
      </c>
    </row>
    <row r="41" spans="1:12" ht="15">
      <c r="A41" s="88" t="s">
        <v>2297</v>
      </c>
      <c r="B41" s="88" t="s">
        <v>2313</v>
      </c>
      <c r="C41" s="88">
        <v>20</v>
      </c>
      <c r="D41" s="120">
        <v>0.005218136428563812</v>
      </c>
      <c r="E41" s="120">
        <v>2.1884597362982907</v>
      </c>
      <c r="F41" s="88" t="s">
        <v>2665</v>
      </c>
      <c r="G41" s="88" t="b">
        <v>0</v>
      </c>
      <c r="H41" s="88" t="b">
        <v>0</v>
      </c>
      <c r="I41" s="88" t="b">
        <v>0</v>
      </c>
      <c r="J41" s="88" t="b">
        <v>0</v>
      </c>
      <c r="K41" s="88" t="b">
        <v>0</v>
      </c>
      <c r="L41" s="88" t="b">
        <v>0</v>
      </c>
    </row>
    <row r="42" spans="1:12" ht="15">
      <c r="A42" s="88" t="s">
        <v>2313</v>
      </c>
      <c r="B42" s="88" t="s">
        <v>2314</v>
      </c>
      <c r="C42" s="88">
        <v>20</v>
      </c>
      <c r="D42" s="120">
        <v>0.005218136428563812</v>
      </c>
      <c r="E42" s="120">
        <v>2.2676409823459154</v>
      </c>
      <c r="F42" s="88" t="s">
        <v>2665</v>
      </c>
      <c r="G42" s="88" t="b">
        <v>0</v>
      </c>
      <c r="H42" s="88" t="b">
        <v>0</v>
      </c>
      <c r="I42" s="88" t="b">
        <v>0</v>
      </c>
      <c r="J42" s="88" t="b">
        <v>0</v>
      </c>
      <c r="K42" s="88" t="b">
        <v>0</v>
      </c>
      <c r="L42" s="88" t="b">
        <v>0</v>
      </c>
    </row>
    <row r="43" spans="1:12" ht="15">
      <c r="A43" s="88" t="s">
        <v>2314</v>
      </c>
      <c r="B43" s="88" t="s">
        <v>699</v>
      </c>
      <c r="C43" s="88">
        <v>20</v>
      </c>
      <c r="D43" s="120">
        <v>0.005218136428563812</v>
      </c>
      <c r="E43" s="120">
        <v>1.493124016617366</v>
      </c>
      <c r="F43" s="88" t="s">
        <v>2665</v>
      </c>
      <c r="G43" s="88" t="b">
        <v>0</v>
      </c>
      <c r="H43" s="88" t="b">
        <v>0</v>
      </c>
      <c r="I43" s="88" t="b">
        <v>0</v>
      </c>
      <c r="J43" s="88" t="b">
        <v>0</v>
      </c>
      <c r="K43" s="88" t="b">
        <v>0</v>
      </c>
      <c r="L43" s="88" t="b">
        <v>0</v>
      </c>
    </row>
    <row r="44" spans="1:12" ht="15">
      <c r="A44" s="88" t="s">
        <v>699</v>
      </c>
      <c r="B44" s="88" t="s">
        <v>2308</v>
      </c>
      <c r="C44" s="88">
        <v>20</v>
      </c>
      <c r="D44" s="120">
        <v>0.005218136428563812</v>
      </c>
      <c r="E44" s="120">
        <v>1.4575765675005605</v>
      </c>
      <c r="F44" s="88" t="s">
        <v>2665</v>
      </c>
      <c r="G44" s="88" t="b">
        <v>0</v>
      </c>
      <c r="H44" s="88" t="b">
        <v>0</v>
      </c>
      <c r="I44" s="88" t="b">
        <v>0</v>
      </c>
      <c r="J44" s="88" t="b">
        <v>0</v>
      </c>
      <c r="K44" s="88" t="b">
        <v>0</v>
      </c>
      <c r="L44" s="88" t="b">
        <v>0</v>
      </c>
    </row>
    <row r="45" spans="1:12" ht="15">
      <c r="A45" s="88" t="s">
        <v>2308</v>
      </c>
      <c r="B45" s="88" t="s">
        <v>2315</v>
      </c>
      <c r="C45" s="88">
        <v>20</v>
      </c>
      <c r="D45" s="120">
        <v>0.005218136428563812</v>
      </c>
      <c r="E45" s="120">
        <v>2.2464516832759776</v>
      </c>
      <c r="F45" s="88" t="s">
        <v>2665</v>
      </c>
      <c r="G45" s="88" t="b">
        <v>0</v>
      </c>
      <c r="H45" s="88" t="b">
        <v>0</v>
      </c>
      <c r="I45" s="88" t="b">
        <v>0</v>
      </c>
      <c r="J45" s="88" t="b">
        <v>0</v>
      </c>
      <c r="K45" s="88" t="b">
        <v>0</v>
      </c>
      <c r="L45" s="88" t="b">
        <v>0</v>
      </c>
    </row>
    <row r="46" spans="1:12" ht="15">
      <c r="A46" s="88" t="s">
        <v>2315</v>
      </c>
      <c r="B46" s="88" t="s">
        <v>2316</v>
      </c>
      <c r="C46" s="88">
        <v>20</v>
      </c>
      <c r="D46" s="120">
        <v>0.005218136428563812</v>
      </c>
      <c r="E46" s="120">
        <v>2.2676409823459154</v>
      </c>
      <c r="F46" s="88" t="s">
        <v>2665</v>
      </c>
      <c r="G46" s="88" t="b">
        <v>0</v>
      </c>
      <c r="H46" s="88" t="b">
        <v>0</v>
      </c>
      <c r="I46" s="88" t="b">
        <v>0</v>
      </c>
      <c r="J46" s="88" t="b">
        <v>0</v>
      </c>
      <c r="K46" s="88" t="b">
        <v>0</v>
      </c>
      <c r="L46" s="88" t="b">
        <v>0</v>
      </c>
    </row>
    <row r="47" spans="1:12" ht="15">
      <c r="A47" s="88" t="s">
        <v>2316</v>
      </c>
      <c r="B47" s="88" t="s">
        <v>2317</v>
      </c>
      <c r="C47" s="88">
        <v>20</v>
      </c>
      <c r="D47" s="120">
        <v>0.005218136428563812</v>
      </c>
      <c r="E47" s="120">
        <v>2.2676409823459154</v>
      </c>
      <c r="F47" s="88" t="s">
        <v>2665</v>
      </c>
      <c r="G47" s="88" t="b">
        <v>0</v>
      </c>
      <c r="H47" s="88" t="b">
        <v>0</v>
      </c>
      <c r="I47" s="88" t="b">
        <v>0</v>
      </c>
      <c r="J47" s="88" t="b">
        <v>0</v>
      </c>
      <c r="K47" s="88" t="b">
        <v>0</v>
      </c>
      <c r="L47" s="88" t="b">
        <v>0</v>
      </c>
    </row>
    <row r="48" spans="1:12" ht="15">
      <c r="A48" s="88" t="s">
        <v>2317</v>
      </c>
      <c r="B48" s="88" t="s">
        <v>534</v>
      </c>
      <c r="C48" s="88">
        <v>20</v>
      </c>
      <c r="D48" s="120">
        <v>0.005218136428563812</v>
      </c>
      <c r="E48" s="120">
        <v>2.2676409823459154</v>
      </c>
      <c r="F48" s="88" t="s">
        <v>2665</v>
      </c>
      <c r="G48" s="88" t="b">
        <v>0</v>
      </c>
      <c r="H48" s="88" t="b">
        <v>0</v>
      </c>
      <c r="I48" s="88" t="b">
        <v>0</v>
      </c>
      <c r="J48" s="88" t="b">
        <v>0</v>
      </c>
      <c r="K48" s="88" t="b">
        <v>0</v>
      </c>
      <c r="L48" s="88" t="b">
        <v>0</v>
      </c>
    </row>
    <row r="49" spans="1:12" ht="15">
      <c r="A49" s="88" t="s">
        <v>534</v>
      </c>
      <c r="B49" s="88" t="s">
        <v>2294</v>
      </c>
      <c r="C49" s="88">
        <v>20</v>
      </c>
      <c r="D49" s="120">
        <v>0.005218136428563812</v>
      </c>
      <c r="E49" s="120">
        <v>2.1373072138509093</v>
      </c>
      <c r="F49" s="88" t="s">
        <v>2665</v>
      </c>
      <c r="G49" s="88" t="b">
        <v>0</v>
      </c>
      <c r="H49" s="88" t="b">
        <v>0</v>
      </c>
      <c r="I49" s="88" t="b">
        <v>0</v>
      </c>
      <c r="J49" s="88" t="b">
        <v>0</v>
      </c>
      <c r="K49" s="88" t="b">
        <v>0</v>
      </c>
      <c r="L49" s="88" t="b">
        <v>0</v>
      </c>
    </row>
    <row r="50" spans="1:12" ht="15">
      <c r="A50" s="88" t="s">
        <v>2294</v>
      </c>
      <c r="B50" s="88" t="s">
        <v>2318</v>
      </c>
      <c r="C50" s="88">
        <v>20</v>
      </c>
      <c r="D50" s="120">
        <v>0.005218136428563812</v>
      </c>
      <c r="E50" s="120">
        <v>2.1373072138509093</v>
      </c>
      <c r="F50" s="88" t="s">
        <v>2665</v>
      </c>
      <c r="G50" s="88" t="b">
        <v>0</v>
      </c>
      <c r="H50" s="88" t="b">
        <v>0</v>
      </c>
      <c r="I50" s="88" t="b">
        <v>0</v>
      </c>
      <c r="J50" s="88" t="b">
        <v>0</v>
      </c>
      <c r="K50" s="88" t="b">
        <v>0</v>
      </c>
      <c r="L50" s="88" t="b">
        <v>0</v>
      </c>
    </row>
    <row r="51" spans="1:12" ht="15">
      <c r="A51" s="88" t="s">
        <v>2318</v>
      </c>
      <c r="B51" s="88" t="s">
        <v>2319</v>
      </c>
      <c r="C51" s="88">
        <v>20</v>
      </c>
      <c r="D51" s="120">
        <v>0.005218136428563812</v>
      </c>
      <c r="E51" s="120">
        <v>2.2676409823459154</v>
      </c>
      <c r="F51" s="88" t="s">
        <v>2665</v>
      </c>
      <c r="G51" s="88" t="b">
        <v>0</v>
      </c>
      <c r="H51" s="88" t="b">
        <v>0</v>
      </c>
      <c r="I51" s="88" t="b">
        <v>0</v>
      </c>
      <c r="J51" s="88" t="b">
        <v>0</v>
      </c>
      <c r="K51" s="88" t="b">
        <v>0</v>
      </c>
      <c r="L51" s="88" t="b">
        <v>0</v>
      </c>
    </row>
    <row r="52" spans="1:12" ht="15">
      <c r="A52" s="88" t="s">
        <v>2319</v>
      </c>
      <c r="B52" s="88" t="s">
        <v>2320</v>
      </c>
      <c r="C52" s="88">
        <v>20</v>
      </c>
      <c r="D52" s="120">
        <v>0.005218136428563812</v>
      </c>
      <c r="E52" s="120">
        <v>2.2676409823459154</v>
      </c>
      <c r="F52" s="88" t="s">
        <v>2665</v>
      </c>
      <c r="G52" s="88" t="b">
        <v>0</v>
      </c>
      <c r="H52" s="88" t="b">
        <v>0</v>
      </c>
      <c r="I52" s="88" t="b">
        <v>0</v>
      </c>
      <c r="J52" s="88" t="b">
        <v>0</v>
      </c>
      <c r="K52" s="88" t="b">
        <v>0</v>
      </c>
      <c r="L52" s="88" t="b">
        <v>0</v>
      </c>
    </row>
    <row r="53" spans="1:12" ht="15">
      <c r="A53" s="88" t="s">
        <v>2320</v>
      </c>
      <c r="B53" s="88" t="s">
        <v>2321</v>
      </c>
      <c r="C53" s="88">
        <v>20</v>
      </c>
      <c r="D53" s="120">
        <v>0.005218136428563812</v>
      </c>
      <c r="E53" s="120">
        <v>2.2676409823459154</v>
      </c>
      <c r="F53" s="88" t="s">
        <v>2665</v>
      </c>
      <c r="G53" s="88" t="b">
        <v>0</v>
      </c>
      <c r="H53" s="88" t="b">
        <v>0</v>
      </c>
      <c r="I53" s="88" t="b">
        <v>0</v>
      </c>
      <c r="J53" s="88" t="b">
        <v>0</v>
      </c>
      <c r="K53" s="88" t="b">
        <v>1</v>
      </c>
      <c r="L53" s="88" t="b">
        <v>0</v>
      </c>
    </row>
    <row r="54" spans="1:12" ht="15">
      <c r="A54" s="88" t="s">
        <v>2321</v>
      </c>
      <c r="B54" s="88" t="s">
        <v>2322</v>
      </c>
      <c r="C54" s="88">
        <v>20</v>
      </c>
      <c r="D54" s="120">
        <v>0.005218136428563812</v>
      </c>
      <c r="E54" s="120">
        <v>2.2676409823459154</v>
      </c>
      <c r="F54" s="88" t="s">
        <v>2665</v>
      </c>
      <c r="G54" s="88" t="b">
        <v>0</v>
      </c>
      <c r="H54" s="88" t="b">
        <v>1</v>
      </c>
      <c r="I54" s="88" t="b">
        <v>0</v>
      </c>
      <c r="J54" s="88" t="b">
        <v>0</v>
      </c>
      <c r="K54" s="88" t="b">
        <v>0</v>
      </c>
      <c r="L54" s="88" t="b">
        <v>0</v>
      </c>
    </row>
    <row r="55" spans="1:12" ht="15">
      <c r="A55" s="88" t="s">
        <v>2322</v>
      </c>
      <c r="B55" s="88" t="s">
        <v>2271</v>
      </c>
      <c r="C55" s="88">
        <v>20</v>
      </c>
      <c r="D55" s="120">
        <v>0.005218136428563812</v>
      </c>
      <c r="E55" s="120">
        <v>1.2164884598985342</v>
      </c>
      <c r="F55" s="88" t="s">
        <v>2665</v>
      </c>
      <c r="G55" s="88" t="b">
        <v>0</v>
      </c>
      <c r="H55" s="88" t="b">
        <v>0</v>
      </c>
      <c r="I55" s="88" t="b">
        <v>0</v>
      </c>
      <c r="J55" s="88" t="b">
        <v>0</v>
      </c>
      <c r="K55" s="88" t="b">
        <v>0</v>
      </c>
      <c r="L55" s="88" t="b">
        <v>0</v>
      </c>
    </row>
    <row r="56" spans="1:12" ht="15">
      <c r="A56" s="88" t="s">
        <v>2292</v>
      </c>
      <c r="B56" s="88" t="s">
        <v>2325</v>
      </c>
      <c r="C56" s="88">
        <v>17</v>
      </c>
      <c r="D56" s="120">
        <v>0.004741976583302497</v>
      </c>
      <c r="E56" s="120">
        <v>2.1215129466676776</v>
      </c>
      <c r="F56" s="88" t="s">
        <v>2665</v>
      </c>
      <c r="G56" s="88" t="b">
        <v>0</v>
      </c>
      <c r="H56" s="88" t="b">
        <v>0</v>
      </c>
      <c r="I56" s="88" t="b">
        <v>0</v>
      </c>
      <c r="J56" s="88" t="b">
        <v>0</v>
      </c>
      <c r="K56" s="88" t="b">
        <v>0</v>
      </c>
      <c r="L56" s="88" t="b">
        <v>0</v>
      </c>
    </row>
    <row r="57" spans="1:12" ht="15">
      <c r="A57" s="88" t="s">
        <v>564</v>
      </c>
      <c r="B57" s="88" t="s">
        <v>2327</v>
      </c>
      <c r="C57" s="88">
        <v>16</v>
      </c>
      <c r="D57" s="120">
        <v>0.004570666579777188</v>
      </c>
      <c r="E57" s="120">
        <v>2.364550995353972</v>
      </c>
      <c r="F57" s="88" t="s">
        <v>2665</v>
      </c>
      <c r="G57" s="88" t="b">
        <v>0</v>
      </c>
      <c r="H57" s="88" t="b">
        <v>0</v>
      </c>
      <c r="I57" s="88" t="b">
        <v>0</v>
      </c>
      <c r="J57" s="88" t="b">
        <v>0</v>
      </c>
      <c r="K57" s="88" t="b">
        <v>0</v>
      </c>
      <c r="L57" s="88" t="b">
        <v>0</v>
      </c>
    </row>
    <row r="58" spans="1:12" ht="15">
      <c r="A58" s="88" t="s">
        <v>2327</v>
      </c>
      <c r="B58" s="88" t="s">
        <v>2328</v>
      </c>
      <c r="C58" s="88">
        <v>16</v>
      </c>
      <c r="D58" s="120">
        <v>0.004570666579777188</v>
      </c>
      <c r="E58" s="120">
        <v>2.364550995353972</v>
      </c>
      <c r="F58" s="88" t="s">
        <v>2665</v>
      </c>
      <c r="G58" s="88" t="b">
        <v>0</v>
      </c>
      <c r="H58" s="88" t="b">
        <v>0</v>
      </c>
      <c r="I58" s="88" t="b">
        <v>0</v>
      </c>
      <c r="J58" s="88" t="b">
        <v>0</v>
      </c>
      <c r="K58" s="88" t="b">
        <v>0</v>
      </c>
      <c r="L58" s="88" t="b">
        <v>0</v>
      </c>
    </row>
    <row r="59" spans="1:12" ht="15">
      <c r="A59" s="88" t="s">
        <v>2328</v>
      </c>
      <c r="B59" s="88" t="s">
        <v>2292</v>
      </c>
      <c r="C59" s="88">
        <v>16</v>
      </c>
      <c r="D59" s="120">
        <v>0.004570666579777188</v>
      </c>
      <c r="E59" s="120">
        <v>2.1062729801109406</v>
      </c>
      <c r="F59" s="88" t="s">
        <v>2665</v>
      </c>
      <c r="G59" s="88" t="b">
        <v>0</v>
      </c>
      <c r="H59" s="88" t="b">
        <v>0</v>
      </c>
      <c r="I59" s="88" t="b">
        <v>0</v>
      </c>
      <c r="J59" s="88" t="b">
        <v>0</v>
      </c>
      <c r="K59" s="88" t="b">
        <v>0</v>
      </c>
      <c r="L59" s="88" t="b">
        <v>0</v>
      </c>
    </row>
    <row r="60" spans="1:12" ht="15">
      <c r="A60" s="88" t="s">
        <v>2325</v>
      </c>
      <c r="B60" s="88" t="s">
        <v>2329</v>
      </c>
      <c r="C60" s="88">
        <v>16</v>
      </c>
      <c r="D60" s="120">
        <v>0.004570666579777188</v>
      </c>
      <c r="E60" s="120">
        <v>2.338222056631623</v>
      </c>
      <c r="F60" s="88" t="s">
        <v>2665</v>
      </c>
      <c r="G60" s="88" t="b">
        <v>0</v>
      </c>
      <c r="H60" s="88" t="b">
        <v>0</v>
      </c>
      <c r="I60" s="88" t="b">
        <v>0</v>
      </c>
      <c r="J60" s="88" t="b">
        <v>0</v>
      </c>
      <c r="K60" s="88" t="b">
        <v>0</v>
      </c>
      <c r="L60" s="88" t="b">
        <v>0</v>
      </c>
    </row>
    <row r="61" spans="1:12" ht="15">
      <c r="A61" s="88" t="s">
        <v>2329</v>
      </c>
      <c r="B61" s="88" t="s">
        <v>2324</v>
      </c>
      <c r="C61" s="88">
        <v>16</v>
      </c>
      <c r="D61" s="120">
        <v>0.004570666579777188</v>
      </c>
      <c r="E61" s="120">
        <v>2.338222056631623</v>
      </c>
      <c r="F61" s="88" t="s">
        <v>2665</v>
      </c>
      <c r="G61" s="88" t="b">
        <v>0</v>
      </c>
      <c r="H61" s="88" t="b">
        <v>0</v>
      </c>
      <c r="I61" s="88" t="b">
        <v>0</v>
      </c>
      <c r="J61" s="88" t="b">
        <v>0</v>
      </c>
      <c r="K61" s="88" t="b">
        <v>0</v>
      </c>
      <c r="L61" s="88" t="b">
        <v>0</v>
      </c>
    </row>
    <row r="62" spans="1:12" ht="15">
      <c r="A62" s="88" t="s">
        <v>2324</v>
      </c>
      <c r="B62" s="88" t="s">
        <v>2295</v>
      </c>
      <c r="C62" s="88">
        <v>16</v>
      </c>
      <c r="D62" s="120">
        <v>0.004570666579777188</v>
      </c>
      <c r="E62" s="120">
        <v>2.11097827512856</v>
      </c>
      <c r="F62" s="88" t="s">
        <v>2665</v>
      </c>
      <c r="G62" s="88" t="b">
        <v>0</v>
      </c>
      <c r="H62" s="88" t="b">
        <v>0</v>
      </c>
      <c r="I62" s="88" t="b">
        <v>0</v>
      </c>
      <c r="J62" s="88" t="b">
        <v>0</v>
      </c>
      <c r="K62" s="88" t="b">
        <v>0</v>
      </c>
      <c r="L62" s="88" t="b">
        <v>0</v>
      </c>
    </row>
    <row r="63" spans="1:12" ht="15">
      <c r="A63" s="88" t="s">
        <v>2295</v>
      </c>
      <c r="B63" s="88" t="s">
        <v>2330</v>
      </c>
      <c r="C63" s="88">
        <v>16</v>
      </c>
      <c r="D63" s="120">
        <v>0.004570666579777188</v>
      </c>
      <c r="E63" s="120">
        <v>2.1373072138509093</v>
      </c>
      <c r="F63" s="88" t="s">
        <v>2665</v>
      </c>
      <c r="G63" s="88" t="b">
        <v>0</v>
      </c>
      <c r="H63" s="88" t="b">
        <v>0</v>
      </c>
      <c r="I63" s="88" t="b">
        <v>0</v>
      </c>
      <c r="J63" s="88" t="b">
        <v>0</v>
      </c>
      <c r="K63" s="88" t="b">
        <v>0</v>
      </c>
      <c r="L63" s="88" t="b">
        <v>0</v>
      </c>
    </row>
    <row r="64" spans="1:12" ht="15">
      <c r="A64" s="88" t="s">
        <v>2271</v>
      </c>
      <c r="B64" s="88" t="s">
        <v>473</v>
      </c>
      <c r="C64" s="88">
        <v>15</v>
      </c>
      <c r="D64" s="120">
        <v>0.004908635448041751</v>
      </c>
      <c r="E64" s="120">
        <v>1.3331425311023477</v>
      </c>
      <c r="F64" s="88" t="s">
        <v>2665</v>
      </c>
      <c r="G64" s="88" t="b">
        <v>0</v>
      </c>
      <c r="H64" s="88" t="b">
        <v>0</v>
      </c>
      <c r="I64" s="88" t="b">
        <v>0</v>
      </c>
      <c r="J64" s="88" t="b">
        <v>0</v>
      </c>
      <c r="K64" s="88" t="b">
        <v>0</v>
      </c>
      <c r="L64" s="88" t="b">
        <v>0</v>
      </c>
    </row>
    <row r="65" spans="1:12" ht="15">
      <c r="A65" s="88" t="s">
        <v>473</v>
      </c>
      <c r="B65" s="88" t="s">
        <v>2274</v>
      </c>
      <c r="C65" s="88">
        <v>15</v>
      </c>
      <c r="D65" s="120">
        <v>0.004908635448041751</v>
      </c>
      <c r="E65" s="120">
        <v>2.3925797189542153</v>
      </c>
      <c r="F65" s="88" t="s">
        <v>2665</v>
      </c>
      <c r="G65" s="88" t="b">
        <v>0</v>
      </c>
      <c r="H65" s="88" t="b">
        <v>0</v>
      </c>
      <c r="I65" s="88" t="b">
        <v>0</v>
      </c>
      <c r="J65" s="88" t="b">
        <v>0</v>
      </c>
      <c r="K65" s="88" t="b">
        <v>0</v>
      </c>
      <c r="L65" s="88" t="b">
        <v>0</v>
      </c>
    </row>
    <row r="66" spans="1:12" ht="15">
      <c r="A66" s="88" t="s">
        <v>2326</v>
      </c>
      <c r="B66" s="88" t="s">
        <v>2333</v>
      </c>
      <c r="C66" s="88">
        <v>12</v>
      </c>
      <c r="D66" s="120">
        <v>0.003811051758874689</v>
      </c>
      <c r="E66" s="120">
        <v>2.364550995353972</v>
      </c>
      <c r="F66" s="88" t="s">
        <v>2665</v>
      </c>
      <c r="G66" s="88" t="b">
        <v>0</v>
      </c>
      <c r="H66" s="88" t="b">
        <v>0</v>
      </c>
      <c r="I66" s="88" t="b">
        <v>0</v>
      </c>
      <c r="J66" s="88" t="b">
        <v>0</v>
      </c>
      <c r="K66" s="88" t="b">
        <v>0</v>
      </c>
      <c r="L66" s="88" t="b">
        <v>0</v>
      </c>
    </row>
    <row r="67" spans="1:12" ht="15">
      <c r="A67" s="88" t="s">
        <v>2333</v>
      </c>
      <c r="B67" s="88" t="s">
        <v>2300</v>
      </c>
      <c r="C67" s="88">
        <v>12</v>
      </c>
      <c r="D67" s="120">
        <v>0.003811051758874689</v>
      </c>
      <c r="E67" s="120">
        <v>2.45472762570306</v>
      </c>
      <c r="F67" s="88" t="s">
        <v>2665</v>
      </c>
      <c r="G67" s="88" t="b">
        <v>0</v>
      </c>
      <c r="H67" s="88" t="b">
        <v>0</v>
      </c>
      <c r="I67" s="88" t="b">
        <v>0</v>
      </c>
      <c r="J67" s="88" t="b">
        <v>0</v>
      </c>
      <c r="K67" s="88" t="b">
        <v>0</v>
      </c>
      <c r="L67" s="88" t="b">
        <v>0</v>
      </c>
    </row>
    <row r="68" spans="1:12" ht="15">
      <c r="A68" s="88" t="s">
        <v>2330</v>
      </c>
      <c r="B68" s="88" t="s">
        <v>2335</v>
      </c>
      <c r="C68" s="88">
        <v>12</v>
      </c>
      <c r="D68" s="120">
        <v>0.003811051758874689</v>
      </c>
      <c r="E68" s="120">
        <v>2.364550995353972</v>
      </c>
      <c r="F68" s="88" t="s">
        <v>2665</v>
      </c>
      <c r="G68" s="88" t="b">
        <v>0</v>
      </c>
      <c r="H68" s="88" t="b">
        <v>0</v>
      </c>
      <c r="I68" s="88" t="b">
        <v>0</v>
      </c>
      <c r="J68" s="88" t="b">
        <v>0</v>
      </c>
      <c r="K68" s="88" t="b">
        <v>0</v>
      </c>
      <c r="L68" s="88" t="b">
        <v>0</v>
      </c>
    </row>
    <row r="69" spans="1:12" ht="15">
      <c r="A69" s="88" t="s">
        <v>2335</v>
      </c>
      <c r="B69" s="88" t="s">
        <v>2341</v>
      </c>
      <c r="C69" s="88">
        <v>10</v>
      </c>
      <c r="D69" s="120">
        <v>0.003378179087209809</v>
      </c>
      <c r="E69" s="120">
        <v>2.5686709780098966</v>
      </c>
      <c r="F69" s="88" t="s">
        <v>2665</v>
      </c>
      <c r="G69" s="88" t="b">
        <v>0</v>
      </c>
      <c r="H69" s="88" t="b">
        <v>0</v>
      </c>
      <c r="I69" s="88" t="b">
        <v>0</v>
      </c>
      <c r="J69" s="88" t="b">
        <v>0</v>
      </c>
      <c r="K69" s="88" t="b">
        <v>0</v>
      </c>
      <c r="L69" s="88" t="b">
        <v>0</v>
      </c>
    </row>
    <row r="70" spans="1:12" ht="15">
      <c r="A70" s="88" t="s">
        <v>2296</v>
      </c>
      <c r="B70" s="88" t="s">
        <v>2342</v>
      </c>
      <c r="C70" s="88">
        <v>9</v>
      </c>
      <c r="D70" s="120">
        <v>0.0031455776871873657</v>
      </c>
      <c r="E70" s="120">
        <v>2.170730969337859</v>
      </c>
      <c r="F70" s="88" t="s">
        <v>2665</v>
      </c>
      <c r="G70" s="88" t="b">
        <v>0</v>
      </c>
      <c r="H70" s="88" t="b">
        <v>0</v>
      </c>
      <c r="I70" s="88" t="b">
        <v>0</v>
      </c>
      <c r="J70" s="88" t="b">
        <v>0</v>
      </c>
      <c r="K70" s="88" t="b">
        <v>0</v>
      </c>
      <c r="L70" s="88" t="b">
        <v>0</v>
      </c>
    </row>
    <row r="71" spans="1:12" ht="15">
      <c r="A71" s="88" t="s">
        <v>2341</v>
      </c>
      <c r="B71" s="88" t="s">
        <v>2344</v>
      </c>
      <c r="C71" s="88">
        <v>9</v>
      </c>
      <c r="D71" s="120">
        <v>0.0031455776871873657</v>
      </c>
      <c r="E71" s="120">
        <v>2.5686709780098966</v>
      </c>
      <c r="F71" s="88" t="s">
        <v>2665</v>
      </c>
      <c r="G71" s="88" t="b">
        <v>0</v>
      </c>
      <c r="H71" s="88" t="b">
        <v>0</v>
      </c>
      <c r="I71" s="88" t="b">
        <v>0</v>
      </c>
      <c r="J71" s="88" t="b">
        <v>0</v>
      </c>
      <c r="K71" s="88" t="b">
        <v>0</v>
      </c>
      <c r="L71" s="88" t="b">
        <v>0</v>
      </c>
    </row>
    <row r="72" spans="1:12" ht="15">
      <c r="A72" s="88" t="s">
        <v>2344</v>
      </c>
      <c r="B72" s="88" t="s">
        <v>2345</v>
      </c>
      <c r="C72" s="88">
        <v>9</v>
      </c>
      <c r="D72" s="120">
        <v>0.0031455776871873657</v>
      </c>
      <c r="E72" s="120">
        <v>2.614428468570572</v>
      </c>
      <c r="F72" s="88" t="s">
        <v>2665</v>
      </c>
      <c r="G72" s="88" t="b">
        <v>0</v>
      </c>
      <c r="H72" s="88" t="b">
        <v>0</v>
      </c>
      <c r="I72" s="88" t="b">
        <v>0</v>
      </c>
      <c r="J72" s="88" t="b">
        <v>0</v>
      </c>
      <c r="K72" s="88" t="b">
        <v>0</v>
      </c>
      <c r="L72" s="88" t="b">
        <v>0</v>
      </c>
    </row>
    <row r="73" spans="1:12" ht="15">
      <c r="A73" s="88" t="s">
        <v>2345</v>
      </c>
      <c r="B73" s="88" t="s">
        <v>2298</v>
      </c>
      <c r="C73" s="88">
        <v>9</v>
      </c>
      <c r="D73" s="120">
        <v>0.0031455776871873657</v>
      </c>
      <c r="E73" s="120">
        <v>2.1884597362982907</v>
      </c>
      <c r="F73" s="88" t="s">
        <v>2665</v>
      </c>
      <c r="G73" s="88" t="b">
        <v>0</v>
      </c>
      <c r="H73" s="88" t="b">
        <v>0</v>
      </c>
      <c r="I73" s="88" t="b">
        <v>0</v>
      </c>
      <c r="J73" s="88" t="b">
        <v>0</v>
      </c>
      <c r="K73" s="88" t="b">
        <v>0</v>
      </c>
      <c r="L73" s="88" t="b">
        <v>0</v>
      </c>
    </row>
    <row r="74" spans="1:12" ht="15">
      <c r="A74" s="88" t="s">
        <v>2298</v>
      </c>
      <c r="B74" s="88" t="s">
        <v>2346</v>
      </c>
      <c r="C74" s="88">
        <v>9</v>
      </c>
      <c r="D74" s="120">
        <v>0.0031455776871873657</v>
      </c>
      <c r="E74" s="120">
        <v>2.2262482971876905</v>
      </c>
      <c r="F74" s="88" t="s">
        <v>2665</v>
      </c>
      <c r="G74" s="88" t="b">
        <v>0</v>
      </c>
      <c r="H74" s="88" t="b">
        <v>0</v>
      </c>
      <c r="I74" s="88" t="b">
        <v>0</v>
      </c>
      <c r="J74" s="88" t="b">
        <v>0</v>
      </c>
      <c r="K74" s="88" t="b">
        <v>0</v>
      </c>
      <c r="L74" s="88" t="b">
        <v>0</v>
      </c>
    </row>
    <row r="75" spans="1:12" ht="15">
      <c r="A75" s="88" t="s">
        <v>2347</v>
      </c>
      <c r="B75" s="88" t="s">
        <v>2348</v>
      </c>
      <c r="C75" s="88">
        <v>9</v>
      </c>
      <c r="D75" s="120">
        <v>0.0031455776871873657</v>
      </c>
      <c r="E75" s="120">
        <v>2.614428468570572</v>
      </c>
      <c r="F75" s="88" t="s">
        <v>2665</v>
      </c>
      <c r="G75" s="88" t="b">
        <v>0</v>
      </c>
      <c r="H75" s="88" t="b">
        <v>0</v>
      </c>
      <c r="I75" s="88" t="b">
        <v>0</v>
      </c>
      <c r="J75" s="88" t="b">
        <v>0</v>
      </c>
      <c r="K75" s="88" t="b">
        <v>0</v>
      </c>
      <c r="L75" s="88" t="b">
        <v>0</v>
      </c>
    </row>
    <row r="76" spans="1:12" ht="15">
      <c r="A76" s="88" t="s">
        <v>2348</v>
      </c>
      <c r="B76" s="88" t="s">
        <v>2349</v>
      </c>
      <c r="C76" s="88">
        <v>9</v>
      </c>
      <c r="D76" s="120">
        <v>0.0031455776871873657</v>
      </c>
      <c r="E76" s="120">
        <v>2.614428468570572</v>
      </c>
      <c r="F76" s="88" t="s">
        <v>2665</v>
      </c>
      <c r="G76" s="88" t="b">
        <v>0</v>
      </c>
      <c r="H76" s="88" t="b">
        <v>0</v>
      </c>
      <c r="I76" s="88" t="b">
        <v>0</v>
      </c>
      <c r="J76" s="88" t="b">
        <v>0</v>
      </c>
      <c r="K76" s="88" t="b">
        <v>0</v>
      </c>
      <c r="L76" s="88" t="b">
        <v>0</v>
      </c>
    </row>
    <row r="77" spans="1:12" ht="15">
      <c r="A77" s="88" t="s">
        <v>2349</v>
      </c>
      <c r="B77" s="88" t="s">
        <v>2275</v>
      </c>
      <c r="C77" s="88">
        <v>9</v>
      </c>
      <c r="D77" s="120">
        <v>0.0031455776871873657</v>
      </c>
      <c r="E77" s="120">
        <v>1.9352025224303102</v>
      </c>
      <c r="F77" s="88" t="s">
        <v>2665</v>
      </c>
      <c r="G77" s="88" t="b">
        <v>0</v>
      </c>
      <c r="H77" s="88" t="b">
        <v>0</v>
      </c>
      <c r="I77" s="88" t="b">
        <v>0</v>
      </c>
      <c r="J77" s="88" t="b">
        <v>0</v>
      </c>
      <c r="K77" s="88" t="b">
        <v>0</v>
      </c>
      <c r="L77" s="88" t="b">
        <v>0</v>
      </c>
    </row>
    <row r="78" spans="1:12" ht="15">
      <c r="A78" s="88" t="s">
        <v>2275</v>
      </c>
      <c r="B78" s="88" t="s">
        <v>2350</v>
      </c>
      <c r="C78" s="88">
        <v>9</v>
      </c>
      <c r="D78" s="120">
        <v>0.0031455776871873657</v>
      </c>
      <c r="E78" s="120">
        <v>1.9558871212901612</v>
      </c>
      <c r="F78" s="88" t="s">
        <v>2665</v>
      </c>
      <c r="G78" s="88" t="b">
        <v>0</v>
      </c>
      <c r="H78" s="88" t="b">
        <v>0</v>
      </c>
      <c r="I78" s="88" t="b">
        <v>0</v>
      </c>
      <c r="J78" s="88" t="b">
        <v>1</v>
      </c>
      <c r="K78" s="88" t="b">
        <v>0</v>
      </c>
      <c r="L78" s="88" t="b">
        <v>0</v>
      </c>
    </row>
    <row r="79" spans="1:12" ht="15">
      <c r="A79" s="88" t="s">
        <v>2350</v>
      </c>
      <c r="B79" s="88" t="s">
        <v>2351</v>
      </c>
      <c r="C79" s="88">
        <v>9</v>
      </c>
      <c r="D79" s="120">
        <v>0.0031455776871873657</v>
      </c>
      <c r="E79" s="120">
        <v>2.614428468570572</v>
      </c>
      <c r="F79" s="88" t="s">
        <v>2665</v>
      </c>
      <c r="G79" s="88" t="b">
        <v>1</v>
      </c>
      <c r="H79" s="88" t="b">
        <v>0</v>
      </c>
      <c r="I79" s="88" t="b">
        <v>0</v>
      </c>
      <c r="J79" s="88" t="b">
        <v>0</v>
      </c>
      <c r="K79" s="88" t="b">
        <v>0</v>
      </c>
      <c r="L79" s="88" t="b">
        <v>0</v>
      </c>
    </row>
    <row r="80" spans="1:12" ht="15">
      <c r="A80" s="88" t="s">
        <v>2351</v>
      </c>
      <c r="B80" s="88" t="s">
        <v>2352</v>
      </c>
      <c r="C80" s="88">
        <v>9</v>
      </c>
      <c r="D80" s="120">
        <v>0.0031455776871873657</v>
      </c>
      <c r="E80" s="120">
        <v>2.614428468570572</v>
      </c>
      <c r="F80" s="88" t="s">
        <v>2665</v>
      </c>
      <c r="G80" s="88" t="b">
        <v>0</v>
      </c>
      <c r="H80" s="88" t="b">
        <v>0</v>
      </c>
      <c r="I80" s="88" t="b">
        <v>0</v>
      </c>
      <c r="J80" s="88" t="b">
        <v>0</v>
      </c>
      <c r="K80" s="88" t="b">
        <v>0</v>
      </c>
      <c r="L80" s="88" t="b">
        <v>0</v>
      </c>
    </row>
    <row r="81" spans="1:12" ht="15">
      <c r="A81" s="88" t="s">
        <v>2352</v>
      </c>
      <c r="B81" s="88" t="s">
        <v>2296</v>
      </c>
      <c r="C81" s="88">
        <v>9</v>
      </c>
      <c r="D81" s="120">
        <v>0.0031455776871873657</v>
      </c>
      <c r="E81" s="120">
        <v>2.170730969337859</v>
      </c>
      <c r="F81" s="88" t="s">
        <v>2665</v>
      </c>
      <c r="G81" s="88" t="b">
        <v>0</v>
      </c>
      <c r="H81" s="88" t="b">
        <v>0</v>
      </c>
      <c r="I81" s="88" t="b">
        <v>0</v>
      </c>
      <c r="J81" s="88" t="b">
        <v>0</v>
      </c>
      <c r="K81" s="88" t="b">
        <v>0</v>
      </c>
      <c r="L81" s="88" t="b">
        <v>0</v>
      </c>
    </row>
    <row r="82" spans="1:12" ht="15">
      <c r="A82" s="88" t="s">
        <v>2296</v>
      </c>
      <c r="B82" s="88" t="s">
        <v>2353</v>
      </c>
      <c r="C82" s="88">
        <v>9</v>
      </c>
      <c r="D82" s="120">
        <v>0.0031455776871873657</v>
      </c>
      <c r="E82" s="120">
        <v>2.170730969337859</v>
      </c>
      <c r="F82" s="88" t="s">
        <v>2665</v>
      </c>
      <c r="G82" s="88" t="b">
        <v>0</v>
      </c>
      <c r="H82" s="88" t="b">
        <v>0</v>
      </c>
      <c r="I82" s="88" t="b">
        <v>0</v>
      </c>
      <c r="J82" s="88" t="b">
        <v>0</v>
      </c>
      <c r="K82" s="88" t="b">
        <v>0</v>
      </c>
      <c r="L82" s="88" t="b">
        <v>0</v>
      </c>
    </row>
    <row r="83" spans="1:12" ht="15">
      <c r="A83" s="88" t="s">
        <v>2353</v>
      </c>
      <c r="B83" s="88" t="s">
        <v>2354</v>
      </c>
      <c r="C83" s="88">
        <v>9</v>
      </c>
      <c r="D83" s="120">
        <v>0.0031455776871873657</v>
      </c>
      <c r="E83" s="120">
        <v>2.614428468570572</v>
      </c>
      <c r="F83" s="88" t="s">
        <v>2665</v>
      </c>
      <c r="G83" s="88" t="b">
        <v>0</v>
      </c>
      <c r="H83" s="88" t="b">
        <v>0</v>
      </c>
      <c r="I83" s="88" t="b">
        <v>0</v>
      </c>
      <c r="J83" s="88" t="b">
        <v>0</v>
      </c>
      <c r="K83" s="88" t="b">
        <v>0</v>
      </c>
      <c r="L83" s="88" t="b">
        <v>0</v>
      </c>
    </row>
    <row r="84" spans="1:12" ht="15">
      <c r="A84" s="88" t="s">
        <v>2354</v>
      </c>
      <c r="B84" s="88" t="s">
        <v>2355</v>
      </c>
      <c r="C84" s="88">
        <v>9</v>
      </c>
      <c r="D84" s="120">
        <v>0.0031455776871873657</v>
      </c>
      <c r="E84" s="120">
        <v>2.614428468570572</v>
      </c>
      <c r="F84" s="88" t="s">
        <v>2665</v>
      </c>
      <c r="G84" s="88" t="b">
        <v>0</v>
      </c>
      <c r="H84" s="88" t="b">
        <v>0</v>
      </c>
      <c r="I84" s="88" t="b">
        <v>0</v>
      </c>
      <c r="J84" s="88" t="b">
        <v>0</v>
      </c>
      <c r="K84" s="88" t="b">
        <v>0</v>
      </c>
      <c r="L84" s="88" t="b">
        <v>0</v>
      </c>
    </row>
    <row r="85" spans="1:12" ht="15">
      <c r="A85" s="88" t="s">
        <v>2355</v>
      </c>
      <c r="B85" s="88" t="s">
        <v>2331</v>
      </c>
      <c r="C85" s="88">
        <v>9</v>
      </c>
      <c r="D85" s="120">
        <v>0.0031455776871873657</v>
      </c>
      <c r="E85" s="120">
        <v>2.3925797189542153</v>
      </c>
      <c r="F85" s="88" t="s">
        <v>2665</v>
      </c>
      <c r="G85" s="88" t="b">
        <v>0</v>
      </c>
      <c r="H85" s="88" t="b">
        <v>0</v>
      </c>
      <c r="I85" s="88" t="b">
        <v>0</v>
      </c>
      <c r="J85" s="88" t="b">
        <v>0</v>
      </c>
      <c r="K85" s="88" t="b">
        <v>0</v>
      </c>
      <c r="L85" s="88" t="b">
        <v>0</v>
      </c>
    </row>
    <row r="86" spans="1:12" ht="15">
      <c r="A86" s="88" t="s">
        <v>2331</v>
      </c>
      <c r="B86" s="88" t="s">
        <v>2356</v>
      </c>
      <c r="C86" s="88">
        <v>9</v>
      </c>
      <c r="D86" s="120">
        <v>0.0031455776871873657</v>
      </c>
      <c r="E86" s="120">
        <v>2.3925797189542153</v>
      </c>
      <c r="F86" s="88" t="s">
        <v>2665</v>
      </c>
      <c r="G86" s="88" t="b">
        <v>0</v>
      </c>
      <c r="H86" s="88" t="b">
        <v>0</v>
      </c>
      <c r="I86" s="88" t="b">
        <v>0</v>
      </c>
      <c r="J86" s="88" t="b">
        <v>0</v>
      </c>
      <c r="K86" s="88" t="b">
        <v>0</v>
      </c>
      <c r="L86" s="88" t="b">
        <v>0</v>
      </c>
    </row>
    <row r="87" spans="1:12" ht="15">
      <c r="A87" s="88" t="s">
        <v>2356</v>
      </c>
      <c r="B87" s="88" t="s">
        <v>2357</v>
      </c>
      <c r="C87" s="88">
        <v>9</v>
      </c>
      <c r="D87" s="120">
        <v>0.0031455776871873657</v>
      </c>
      <c r="E87" s="120">
        <v>2.614428468570572</v>
      </c>
      <c r="F87" s="88" t="s">
        <v>2665</v>
      </c>
      <c r="G87" s="88" t="b">
        <v>0</v>
      </c>
      <c r="H87" s="88" t="b">
        <v>0</v>
      </c>
      <c r="I87" s="88" t="b">
        <v>0</v>
      </c>
      <c r="J87" s="88" t="b">
        <v>0</v>
      </c>
      <c r="K87" s="88" t="b">
        <v>0</v>
      </c>
      <c r="L87" s="88" t="b">
        <v>0</v>
      </c>
    </row>
    <row r="88" spans="1:12" ht="15">
      <c r="A88" s="88" t="s">
        <v>2357</v>
      </c>
      <c r="B88" s="88" t="s">
        <v>2358</v>
      </c>
      <c r="C88" s="88">
        <v>9</v>
      </c>
      <c r="D88" s="120">
        <v>0.0031455776871873657</v>
      </c>
      <c r="E88" s="120">
        <v>2.614428468570572</v>
      </c>
      <c r="F88" s="88" t="s">
        <v>2665</v>
      </c>
      <c r="G88" s="88" t="b">
        <v>0</v>
      </c>
      <c r="H88" s="88" t="b">
        <v>0</v>
      </c>
      <c r="I88" s="88" t="b">
        <v>0</v>
      </c>
      <c r="J88" s="88" t="b">
        <v>0</v>
      </c>
      <c r="K88" s="88" t="b">
        <v>0</v>
      </c>
      <c r="L88" s="88" t="b">
        <v>0</v>
      </c>
    </row>
    <row r="89" spans="1:12" ht="15">
      <c r="A89" s="88" t="s">
        <v>2358</v>
      </c>
      <c r="B89" s="88" t="s">
        <v>2271</v>
      </c>
      <c r="C89" s="88">
        <v>9</v>
      </c>
      <c r="D89" s="120">
        <v>0.0031455776871873657</v>
      </c>
      <c r="E89" s="120">
        <v>1.2164884598985342</v>
      </c>
      <c r="F89" s="88" t="s">
        <v>2665</v>
      </c>
      <c r="G89" s="88" t="b">
        <v>0</v>
      </c>
      <c r="H89" s="88" t="b">
        <v>0</v>
      </c>
      <c r="I89" s="88" t="b">
        <v>0</v>
      </c>
      <c r="J89" s="88" t="b">
        <v>0</v>
      </c>
      <c r="K89" s="88" t="b">
        <v>0</v>
      </c>
      <c r="L89" s="88" t="b">
        <v>0</v>
      </c>
    </row>
    <row r="90" spans="1:12" ht="15">
      <c r="A90" s="88" t="s">
        <v>2271</v>
      </c>
      <c r="B90" s="88" t="s">
        <v>2359</v>
      </c>
      <c r="C90" s="88">
        <v>9</v>
      </c>
      <c r="D90" s="120">
        <v>0.0031455776871873657</v>
      </c>
      <c r="E90" s="120">
        <v>1.3331425311023477</v>
      </c>
      <c r="F90" s="88" t="s">
        <v>2665</v>
      </c>
      <c r="G90" s="88" t="b">
        <v>0</v>
      </c>
      <c r="H90" s="88" t="b">
        <v>0</v>
      </c>
      <c r="I90" s="88" t="b">
        <v>0</v>
      </c>
      <c r="J90" s="88" t="b">
        <v>0</v>
      </c>
      <c r="K90" s="88" t="b">
        <v>0</v>
      </c>
      <c r="L90" s="88" t="b">
        <v>0</v>
      </c>
    </row>
    <row r="91" spans="1:12" ht="15">
      <c r="A91" s="88" t="s">
        <v>2359</v>
      </c>
      <c r="B91" s="88" t="s">
        <v>2293</v>
      </c>
      <c r="C91" s="88">
        <v>9</v>
      </c>
      <c r="D91" s="120">
        <v>0.0031455776871873657</v>
      </c>
      <c r="E91" s="120">
        <v>2.1215129466676776</v>
      </c>
      <c r="F91" s="88" t="s">
        <v>2665</v>
      </c>
      <c r="G91" s="88" t="b">
        <v>0</v>
      </c>
      <c r="H91" s="88" t="b">
        <v>0</v>
      </c>
      <c r="I91" s="88" t="b">
        <v>0</v>
      </c>
      <c r="J91" s="88" t="b">
        <v>0</v>
      </c>
      <c r="K91" s="88" t="b">
        <v>0</v>
      </c>
      <c r="L91" s="88" t="b">
        <v>0</v>
      </c>
    </row>
    <row r="92" spans="1:12" ht="15">
      <c r="A92" s="88" t="s">
        <v>2293</v>
      </c>
      <c r="B92" s="88" t="s">
        <v>2360</v>
      </c>
      <c r="C92" s="88">
        <v>9</v>
      </c>
      <c r="D92" s="120">
        <v>0.0031455776871873657</v>
      </c>
      <c r="E92" s="120">
        <v>2.2464516832759776</v>
      </c>
      <c r="F92" s="88" t="s">
        <v>2665</v>
      </c>
      <c r="G92" s="88" t="b">
        <v>0</v>
      </c>
      <c r="H92" s="88" t="b">
        <v>0</v>
      </c>
      <c r="I92" s="88" t="b">
        <v>0</v>
      </c>
      <c r="J92" s="88" t="b">
        <v>0</v>
      </c>
      <c r="K92" s="88" t="b">
        <v>0</v>
      </c>
      <c r="L92" s="88" t="b">
        <v>0</v>
      </c>
    </row>
    <row r="93" spans="1:12" ht="15">
      <c r="A93" s="88" t="s">
        <v>2360</v>
      </c>
      <c r="B93" s="88" t="s">
        <v>2361</v>
      </c>
      <c r="C93" s="88">
        <v>9</v>
      </c>
      <c r="D93" s="120">
        <v>0.0031455776871873657</v>
      </c>
      <c r="E93" s="120">
        <v>2.614428468570572</v>
      </c>
      <c r="F93" s="88" t="s">
        <v>2665</v>
      </c>
      <c r="G93" s="88" t="b">
        <v>0</v>
      </c>
      <c r="H93" s="88" t="b">
        <v>0</v>
      </c>
      <c r="I93" s="88" t="b">
        <v>0</v>
      </c>
      <c r="J93" s="88" t="b">
        <v>0</v>
      </c>
      <c r="K93" s="88" t="b">
        <v>0</v>
      </c>
      <c r="L93" s="88" t="b">
        <v>0</v>
      </c>
    </row>
    <row r="94" spans="1:12" ht="15">
      <c r="A94" s="88" t="s">
        <v>2361</v>
      </c>
      <c r="B94" s="88" t="s">
        <v>2362</v>
      </c>
      <c r="C94" s="88">
        <v>9</v>
      </c>
      <c r="D94" s="120">
        <v>0.0031455776871873657</v>
      </c>
      <c r="E94" s="120">
        <v>2.614428468570572</v>
      </c>
      <c r="F94" s="88" t="s">
        <v>2665</v>
      </c>
      <c r="G94" s="88" t="b">
        <v>0</v>
      </c>
      <c r="H94" s="88" t="b">
        <v>0</v>
      </c>
      <c r="I94" s="88" t="b">
        <v>0</v>
      </c>
      <c r="J94" s="88" t="b">
        <v>0</v>
      </c>
      <c r="K94" s="88" t="b">
        <v>0</v>
      </c>
      <c r="L94" s="88" t="b">
        <v>0</v>
      </c>
    </row>
    <row r="95" spans="1:12" ht="15">
      <c r="A95" s="88" t="s">
        <v>2362</v>
      </c>
      <c r="B95" s="88" t="s">
        <v>2363</v>
      </c>
      <c r="C95" s="88">
        <v>9</v>
      </c>
      <c r="D95" s="120">
        <v>0.0031455776871873657</v>
      </c>
      <c r="E95" s="120">
        <v>2.614428468570572</v>
      </c>
      <c r="F95" s="88" t="s">
        <v>2665</v>
      </c>
      <c r="G95" s="88" t="b">
        <v>0</v>
      </c>
      <c r="H95" s="88" t="b">
        <v>0</v>
      </c>
      <c r="I95" s="88" t="b">
        <v>0</v>
      </c>
      <c r="J95" s="88" t="b">
        <v>0</v>
      </c>
      <c r="K95" s="88" t="b">
        <v>0</v>
      </c>
      <c r="L95" s="88" t="b">
        <v>0</v>
      </c>
    </row>
    <row r="96" spans="1:12" ht="15">
      <c r="A96" s="88" t="s">
        <v>2363</v>
      </c>
      <c r="B96" s="88" t="s">
        <v>2364</v>
      </c>
      <c r="C96" s="88">
        <v>9</v>
      </c>
      <c r="D96" s="120">
        <v>0.0031455776871873657</v>
      </c>
      <c r="E96" s="120">
        <v>2.614428468570572</v>
      </c>
      <c r="F96" s="88" t="s">
        <v>2665</v>
      </c>
      <c r="G96" s="88" t="b">
        <v>0</v>
      </c>
      <c r="H96" s="88" t="b">
        <v>0</v>
      </c>
      <c r="I96" s="88" t="b">
        <v>0</v>
      </c>
      <c r="J96" s="88" t="b">
        <v>0</v>
      </c>
      <c r="K96" s="88" t="b">
        <v>0</v>
      </c>
      <c r="L96" s="88" t="b">
        <v>0</v>
      </c>
    </row>
    <row r="97" spans="1:12" ht="15">
      <c r="A97" s="88" t="s">
        <v>2364</v>
      </c>
      <c r="B97" s="88" t="s">
        <v>2365</v>
      </c>
      <c r="C97" s="88">
        <v>9</v>
      </c>
      <c r="D97" s="120">
        <v>0.0031455776871873657</v>
      </c>
      <c r="E97" s="120">
        <v>2.614428468570572</v>
      </c>
      <c r="F97" s="88" t="s">
        <v>2665</v>
      </c>
      <c r="G97" s="88" t="b">
        <v>0</v>
      </c>
      <c r="H97" s="88" t="b">
        <v>0</v>
      </c>
      <c r="I97" s="88" t="b">
        <v>0</v>
      </c>
      <c r="J97" s="88" t="b">
        <v>0</v>
      </c>
      <c r="K97" s="88" t="b">
        <v>0</v>
      </c>
      <c r="L97" s="88" t="b">
        <v>0</v>
      </c>
    </row>
    <row r="98" spans="1:12" ht="15">
      <c r="A98" s="88" t="s">
        <v>2365</v>
      </c>
      <c r="B98" s="88" t="s">
        <v>2323</v>
      </c>
      <c r="C98" s="88">
        <v>9</v>
      </c>
      <c r="D98" s="120">
        <v>0.0031455776871873657</v>
      </c>
      <c r="E98" s="120">
        <v>2.3133984729065906</v>
      </c>
      <c r="F98" s="88" t="s">
        <v>2665</v>
      </c>
      <c r="G98" s="88" t="b">
        <v>0</v>
      </c>
      <c r="H98" s="88" t="b">
        <v>0</v>
      </c>
      <c r="I98" s="88" t="b">
        <v>0</v>
      </c>
      <c r="J98" s="88" t="b">
        <v>0</v>
      </c>
      <c r="K98" s="88" t="b">
        <v>0</v>
      </c>
      <c r="L98" s="88" t="b">
        <v>0</v>
      </c>
    </row>
    <row r="99" spans="1:12" ht="15">
      <c r="A99" s="88" t="s">
        <v>2323</v>
      </c>
      <c r="B99" s="88" t="s">
        <v>2366</v>
      </c>
      <c r="C99" s="88">
        <v>9</v>
      </c>
      <c r="D99" s="120">
        <v>0.0031455776871873657</v>
      </c>
      <c r="E99" s="120">
        <v>2.614428468570572</v>
      </c>
      <c r="F99" s="88" t="s">
        <v>2665</v>
      </c>
      <c r="G99" s="88" t="b">
        <v>0</v>
      </c>
      <c r="H99" s="88" t="b">
        <v>0</v>
      </c>
      <c r="I99" s="88" t="b">
        <v>0</v>
      </c>
      <c r="J99" s="88" t="b">
        <v>0</v>
      </c>
      <c r="K99" s="88" t="b">
        <v>0</v>
      </c>
      <c r="L99" s="88" t="b">
        <v>0</v>
      </c>
    </row>
    <row r="100" spans="1:12" ht="15">
      <c r="A100" s="88" t="s">
        <v>2366</v>
      </c>
      <c r="B100" s="88" t="s">
        <v>2367</v>
      </c>
      <c r="C100" s="88">
        <v>9</v>
      </c>
      <c r="D100" s="120">
        <v>0.0031455776871873657</v>
      </c>
      <c r="E100" s="120">
        <v>2.614428468570572</v>
      </c>
      <c r="F100" s="88" t="s">
        <v>2665</v>
      </c>
      <c r="G100" s="88" t="b">
        <v>0</v>
      </c>
      <c r="H100" s="88" t="b">
        <v>0</v>
      </c>
      <c r="I100" s="88" t="b">
        <v>0</v>
      </c>
      <c r="J100" s="88" t="b">
        <v>0</v>
      </c>
      <c r="K100" s="88" t="b">
        <v>0</v>
      </c>
      <c r="L100" s="88" t="b">
        <v>0</v>
      </c>
    </row>
    <row r="101" spans="1:12" ht="15">
      <c r="A101" s="88" t="s">
        <v>2367</v>
      </c>
      <c r="B101" s="88" t="s">
        <v>2368</v>
      </c>
      <c r="C101" s="88">
        <v>9</v>
      </c>
      <c r="D101" s="120">
        <v>0.0031455776871873657</v>
      </c>
      <c r="E101" s="120">
        <v>2.614428468570572</v>
      </c>
      <c r="F101" s="88" t="s">
        <v>2665</v>
      </c>
      <c r="G101" s="88" t="b">
        <v>0</v>
      </c>
      <c r="H101" s="88" t="b">
        <v>0</v>
      </c>
      <c r="I101" s="88" t="b">
        <v>0</v>
      </c>
      <c r="J101" s="88" t="b">
        <v>0</v>
      </c>
      <c r="K101" s="88" t="b">
        <v>0</v>
      </c>
      <c r="L101" s="88" t="b">
        <v>0</v>
      </c>
    </row>
    <row r="102" spans="1:12" ht="15">
      <c r="A102" s="88" t="s">
        <v>2368</v>
      </c>
      <c r="B102" s="88" t="s">
        <v>2369</v>
      </c>
      <c r="C102" s="88">
        <v>9</v>
      </c>
      <c r="D102" s="120">
        <v>0.0031455776871873657</v>
      </c>
      <c r="E102" s="120">
        <v>2.614428468570572</v>
      </c>
      <c r="F102" s="88" t="s">
        <v>2665</v>
      </c>
      <c r="G102" s="88" t="b">
        <v>0</v>
      </c>
      <c r="H102" s="88" t="b">
        <v>0</v>
      </c>
      <c r="I102" s="88" t="b">
        <v>0</v>
      </c>
      <c r="J102" s="88" t="b">
        <v>0</v>
      </c>
      <c r="K102" s="88" t="b">
        <v>0</v>
      </c>
      <c r="L102" s="88" t="b">
        <v>0</v>
      </c>
    </row>
    <row r="103" spans="1:12" ht="15">
      <c r="A103" s="88" t="s">
        <v>2369</v>
      </c>
      <c r="B103" s="88" t="s">
        <v>2323</v>
      </c>
      <c r="C103" s="88">
        <v>9</v>
      </c>
      <c r="D103" s="120">
        <v>0.0031455776871873657</v>
      </c>
      <c r="E103" s="120">
        <v>2.3133984729065906</v>
      </c>
      <c r="F103" s="88" t="s">
        <v>2665</v>
      </c>
      <c r="G103" s="88" t="b">
        <v>0</v>
      </c>
      <c r="H103" s="88" t="b">
        <v>0</v>
      </c>
      <c r="I103" s="88" t="b">
        <v>0</v>
      </c>
      <c r="J103" s="88" t="b">
        <v>0</v>
      </c>
      <c r="K103" s="88" t="b">
        <v>0</v>
      </c>
      <c r="L103" s="88" t="b">
        <v>0</v>
      </c>
    </row>
    <row r="104" spans="1:12" ht="15">
      <c r="A104" s="88" t="s">
        <v>569</v>
      </c>
      <c r="B104" s="88" t="s">
        <v>2337</v>
      </c>
      <c r="C104" s="88">
        <v>8</v>
      </c>
      <c r="D104" s="120">
        <v>0.0029006219882309167</v>
      </c>
      <c r="E104" s="120">
        <v>2.614428468570572</v>
      </c>
      <c r="F104" s="88" t="s">
        <v>2665</v>
      </c>
      <c r="G104" s="88" t="b">
        <v>0</v>
      </c>
      <c r="H104" s="88" t="b">
        <v>0</v>
      </c>
      <c r="I104" s="88" t="b">
        <v>0</v>
      </c>
      <c r="J104" s="88" t="b">
        <v>0</v>
      </c>
      <c r="K104" s="88" t="b">
        <v>0</v>
      </c>
      <c r="L104" s="88" t="b">
        <v>0</v>
      </c>
    </row>
    <row r="105" spans="1:12" ht="15">
      <c r="A105" s="88" t="s">
        <v>2337</v>
      </c>
      <c r="B105" s="88" t="s">
        <v>475</v>
      </c>
      <c r="C105" s="88">
        <v>8</v>
      </c>
      <c r="D105" s="120">
        <v>0.0029006219882309167</v>
      </c>
      <c r="E105" s="120">
        <v>2.5272782928516717</v>
      </c>
      <c r="F105" s="88" t="s">
        <v>2665</v>
      </c>
      <c r="G105" s="88" t="b">
        <v>0</v>
      </c>
      <c r="H105" s="88" t="b">
        <v>0</v>
      </c>
      <c r="I105" s="88" t="b">
        <v>0</v>
      </c>
      <c r="J105" s="88" t="b">
        <v>0</v>
      </c>
      <c r="K105" s="88" t="b">
        <v>0</v>
      </c>
      <c r="L105" s="88" t="b">
        <v>0</v>
      </c>
    </row>
    <row r="106" spans="1:12" ht="15">
      <c r="A106" s="88" t="s">
        <v>475</v>
      </c>
      <c r="B106" s="88" t="s">
        <v>2373</v>
      </c>
      <c r="C106" s="88">
        <v>8</v>
      </c>
      <c r="D106" s="120">
        <v>0.0029006219882309167</v>
      </c>
      <c r="E106" s="120">
        <v>2.665580991017953</v>
      </c>
      <c r="F106" s="88" t="s">
        <v>2665</v>
      </c>
      <c r="G106" s="88" t="b">
        <v>0</v>
      </c>
      <c r="H106" s="88" t="b">
        <v>0</v>
      </c>
      <c r="I106" s="88" t="b">
        <v>0</v>
      </c>
      <c r="J106" s="88" t="b">
        <v>0</v>
      </c>
      <c r="K106" s="88" t="b">
        <v>0</v>
      </c>
      <c r="L106" s="88" t="b">
        <v>0</v>
      </c>
    </row>
    <row r="107" spans="1:12" ht="15">
      <c r="A107" s="88" t="s">
        <v>2373</v>
      </c>
      <c r="B107" s="88" t="s">
        <v>568</v>
      </c>
      <c r="C107" s="88">
        <v>8</v>
      </c>
      <c r="D107" s="120">
        <v>0.0029006219882309167</v>
      </c>
      <c r="E107" s="120">
        <v>2.614428468570572</v>
      </c>
      <c r="F107" s="88" t="s">
        <v>2665</v>
      </c>
      <c r="G107" s="88" t="b">
        <v>0</v>
      </c>
      <c r="H107" s="88" t="b">
        <v>0</v>
      </c>
      <c r="I107" s="88" t="b">
        <v>0</v>
      </c>
      <c r="J107" s="88" t="b">
        <v>0</v>
      </c>
      <c r="K107" s="88" t="b">
        <v>0</v>
      </c>
      <c r="L107" s="88" t="b">
        <v>0</v>
      </c>
    </row>
    <row r="108" spans="1:12" ht="15">
      <c r="A108" s="88" t="s">
        <v>568</v>
      </c>
      <c r="B108" s="88" t="s">
        <v>2374</v>
      </c>
      <c r="C108" s="88">
        <v>8</v>
      </c>
      <c r="D108" s="120">
        <v>0.0029006219882309167</v>
      </c>
      <c r="E108" s="120">
        <v>2.614428468570572</v>
      </c>
      <c r="F108" s="88" t="s">
        <v>2665</v>
      </c>
      <c r="G108" s="88" t="b">
        <v>0</v>
      </c>
      <c r="H108" s="88" t="b">
        <v>0</v>
      </c>
      <c r="I108" s="88" t="b">
        <v>0</v>
      </c>
      <c r="J108" s="88" t="b">
        <v>0</v>
      </c>
      <c r="K108" s="88" t="b">
        <v>0</v>
      </c>
      <c r="L108" s="88" t="b">
        <v>0</v>
      </c>
    </row>
    <row r="109" spans="1:12" ht="15">
      <c r="A109" s="88" t="s">
        <v>2374</v>
      </c>
      <c r="B109" s="88" t="s">
        <v>567</v>
      </c>
      <c r="C109" s="88">
        <v>8</v>
      </c>
      <c r="D109" s="120">
        <v>0.0029006219882309167</v>
      </c>
      <c r="E109" s="120">
        <v>2.5272782928516717</v>
      </c>
      <c r="F109" s="88" t="s">
        <v>2665</v>
      </c>
      <c r="G109" s="88" t="b">
        <v>0</v>
      </c>
      <c r="H109" s="88" t="b">
        <v>0</v>
      </c>
      <c r="I109" s="88" t="b">
        <v>0</v>
      </c>
      <c r="J109" s="88" t="b">
        <v>0</v>
      </c>
      <c r="K109" s="88" t="b">
        <v>0</v>
      </c>
      <c r="L109" s="88" t="b">
        <v>0</v>
      </c>
    </row>
    <row r="110" spans="1:12" ht="15">
      <c r="A110" s="88" t="s">
        <v>567</v>
      </c>
      <c r="B110" s="88" t="s">
        <v>2375</v>
      </c>
      <c r="C110" s="88">
        <v>8</v>
      </c>
      <c r="D110" s="120">
        <v>0.0029006219882309167</v>
      </c>
      <c r="E110" s="120">
        <v>2.5272782928516717</v>
      </c>
      <c r="F110" s="88" t="s">
        <v>2665</v>
      </c>
      <c r="G110" s="88" t="b">
        <v>0</v>
      </c>
      <c r="H110" s="88" t="b">
        <v>0</v>
      </c>
      <c r="I110" s="88" t="b">
        <v>0</v>
      </c>
      <c r="J110" s="88" t="b">
        <v>0</v>
      </c>
      <c r="K110" s="88" t="b">
        <v>0</v>
      </c>
      <c r="L110" s="88" t="b">
        <v>0</v>
      </c>
    </row>
    <row r="111" spans="1:12" ht="15">
      <c r="A111" s="88" t="s">
        <v>2375</v>
      </c>
      <c r="B111" s="88" t="s">
        <v>2376</v>
      </c>
      <c r="C111" s="88">
        <v>8</v>
      </c>
      <c r="D111" s="120">
        <v>0.0029006219882309167</v>
      </c>
      <c r="E111" s="120">
        <v>2.665580991017953</v>
      </c>
      <c r="F111" s="88" t="s">
        <v>2665</v>
      </c>
      <c r="G111" s="88" t="b">
        <v>0</v>
      </c>
      <c r="H111" s="88" t="b">
        <v>0</v>
      </c>
      <c r="I111" s="88" t="b">
        <v>0</v>
      </c>
      <c r="J111" s="88" t="b">
        <v>0</v>
      </c>
      <c r="K111" s="88" t="b">
        <v>0</v>
      </c>
      <c r="L111" s="88" t="b">
        <v>0</v>
      </c>
    </row>
    <row r="112" spans="1:12" ht="15">
      <c r="A112" s="88" t="s">
        <v>2376</v>
      </c>
      <c r="B112" s="88" t="s">
        <v>2295</v>
      </c>
      <c r="C112" s="88">
        <v>8</v>
      </c>
      <c r="D112" s="120">
        <v>0.0029006219882309167</v>
      </c>
      <c r="E112" s="120">
        <v>2.1373072138509093</v>
      </c>
      <c r="F112" s="88" t="s">
        <v>2665</v>
      </c>
      <c r="G112" s="88" t="b">
        <v>0</v>
      </c>
      <c r="H112" s="88" t="b">
        <v>0</v>
      </c>
      <c r="I112" s="88" t="b">
        <v>0</v>
      </c>
      <c r="J112" s="88" t="b">
        <v>0</v>
      </c>
      <c r="K112" s="88" t="b">
        <v>0</v>
      </c>
      <c r="L112" s="88" t="b">
        <v>0</v>
      </c>
    </row>
    <row r="113" spans="1:12" ht="15">
      <c r="A113" s="88" t="s">
        <v>2295</v>
      </c>
      <c r="B113" s="88" t="s">
        <v>2336</v>
      </c>
      <c r="C113" s="88">
        <v>8</v>
      </c>
      <c r="D113" s="120">
        <v>0.0029006219882309167</v>
      </c>
      <c r="E113" s="120">
        <v>1.999004515684628</v>
      </c>
      <c r="F113" s="88" t="s">
        <v>2665</v>
      </c>
      <c r="G113" s="88" t="b">
        <v>0</v>
      </c>
      <c r="H113" s="88" t="b">
        <v>0</v>
      </c>
      <c r="I113" s="88" t="b">
        <v>0</v>
      </c>
      <c r="J113" s="88" t="b">
        <v>0</v>
      </c>
      <c r="K113" s="88" t="b">
        <v>0</v>
      </c>
      <c r="L113" s="88" t="b">
        <v>0</v>
      </c>
    </row>
    <row r="114" spans="1:12" ht="15">
      <c r="A114" s="88" t="s">
        <v>2336</v>
      </c>
      <c r="B114" s="88" t="s">
        <v>2298</v>
      </c>
      <c r="C114" s="88">
        <v>8</v>
      </c>
      <c r="D114" s="120">
        <v>0.0029006219882309167</v>
      </c>
      <c r="E114" s="120">
        <v>2.050157038132009</v>
      </c>
      <c r="F114" s="88" t="s">
        <v>2665</v>
      </c>
      <c r="G114" s="88" t="b">
        <v>0</v>
      </c>
      <c r="H114" s="88" t="b">
        <v>0</v>
      </c>
      <c r="I114" s="88" t="b">
        <v>0</v>
      </c>
      <c r="J114" s="88" t="b">
        <v>0</v>
      </c>
      <c r="K114" s="88" t="b">
        <v>0</v>
      </c>
      <c r="L114" s="88" t="b">
        <v>0</v>
      </c>
    </row>
    <row r="115" spans="1:12" ht="15">
      <c r="A115" s="88" t="s">
        <v>2379</v>
      </c>
      <c r="B115" s="88" t="s">
        <v>2296</v>
      </c>
      <c r="C115" s="88">
        <v>7</v>
      </c>
      <c r="D115" s="120">
        <v>0.0026417600365451293</v>
      </c>
      <c r="E115" s="120">
        <v>2.170730969337859</v>
      </c>
      <c r="F115" s="88" t="s">
        <v>2665</v>
      </c>
      <c r="G115" s="88" t="b">
        <v>1</v>
      </c>
      <c r="H115" s="88" t="b">
        <v>0</v>
      </c>
      <c r="I115" s="88" t="b">
        <v>0</v>
      </c>
      <c r="J115" s="88" t="b">
        <v>0</v>
      </c>
      <c r="K115" s="88" t="b">
        <v>0</v>
      </c>
      <c r="L115" s="88" t="b">
        <v>0</v>
      </c>
    </row>
    <row r="116" spans="1:12" ht="15">
      <c r="A116" s="88" t="s">
        <v>2342</v>
      </c>
      <c r="B116" s="88" t="s">
        <v>2380</v>
      </c>
      <c r="C116" s="88">
        <v>7</v>
      </c>
      <c r="D116" s="120">
        <v>0.0026417600365451293</v>
      </c>
      <c r="E116" s="120">
        <v>2.614428468570572</v>
      </c>
      <c r="F116" s="88" t="s">
        <v>2665</v>
      </c>
      <c r="G116" s="88" t="b">
        <v>0</v>
      </c>
      <c r="H116" s="88" t="b">
        <v>0</v>
      </c>
      <c r="I116" s="88" t="b">
        <v>0</v>
      </c>
      <c r="J116" s="88" t="b">
        <v>0</v>
      </c>
      <c r="K116" s="88" t="b">
        <v>0</v>
      </c>
      <c r="L116" s="88" t="b">
        <v>0</v>
      </c>
    </row>
    <row r="117" spans="1:12" ht="15">
      <c r="A117" s="88" t="s">
        <v>2380</v>
      </c>
      <c r="B117" s="88" t="s">
        <v>2332</v>
      </c>
      <c r="C117" s="88">
        <v>7</v>
      </c>
      <c r="D117" s="120">
        <v>0.0026417600365451293</v>
      </c>
      <c r="E117" s="120">
        <v>2.4225429423316585</v>
      </c>
      <c r="F117" s="88" t="s">
        <v>2665</v>
      </c>
      <c r="G117" s="88" t="b">
        <v>0</v>
      </c>
      <c r="H117" s="88" t="b">
        <v>0</v>
      </c>
      <c r="I117" s="88" t="b">
        <v>0</v>
      </c>
      <c r="J117" s="88" t="b">
        <v>0</v>
      </c>
      <c r="K117" s="88" t="b">
        <v>0</v>
      </c>
      <c r="L117" s="88" t="b">
        <v>0</v>
      </c>
    </row>
    <row r="118" spans="1:12" ht="15">
      <c r="A118" s="88" t="s">
        <v>2332</v>
      </c>
      <c r="B118" s="88" t="s">
        <v>699</v>
      </c>
      <c r="C118" s="88">
        <v>7</v>
      </c>
      <c r="D118" s="120">
        <v>0.0026417600365451293</v>
      </c>
      <c r="E118" s="120">
        <v>1.1920940209533848</v>
      </c>
      <c r="F118" s="88" t="s">
        <v>2665</v>
      </c>
      <c r="G118" s="88" t="b">
        <v>0</v>
      </c>
      <c r="H118" s="88" t="b">
        <v>0</v>
      </c>
      <c r="I118" s="88" t="b">
        <v>0</v>
      </c>
      <c r="J118" s="88" t="b">
        <v>0</v>
      </c>
      <c r="K118" s="88" t="b">
        <v>0</v>
      </c>
      <c r="L118" s="88" t="b">
        <v>0</v>
      </c>
    </row>
    <row r="119" spans="1:12" ht="15">
      <c r="A119" s="88" t="s">
        <v>699</v>
      </c>
      <c r="B119" s="88" t="s">
        <v>2381</v>
      </c>
      <c r="C119" s="88">
        <v>7</v>
      </c>
      <c r="D119" s="120">
        <v>0.0026417600365451293</v>
      </c>
      <c r="E119" s="120">
        <v>1.4787658665704988</v>
      </c>
      <c r="F119" s="88" t="s">
        <v>2665</v>
      </c>
      <c r="G119" s="88" t="b">
        <v>0</v>
      </c>
      <c r="H119" s="88" t="b">
        <v>0</v>
      </c>
      <c r="I119" s="88" t="b">
        <v>0</v>
      </c>
      <c r="J119" s="88" t="b">
        <v>0</v>
      </c>
      <c r="K119" s="88" t="b">
        <v>0</v>
      </c>
      <c r="L119" s="88" t="b">
        <v>0</v>
      </c>
    </row>
    <row r="120" spans="1:12" ht="15">
      <c r="A120" s="88" t="s">
        <v>2381</v>
      </c>
      <c r="B120" s="88" t="s">
        <v>2382</v>
      </c>
      <c r="C120" s="88">
        <v>7</v>
      </c>
      <c r="D120" s="120">
        <v>0.0026417600365451293</v>
      </c>
      <c r="E120" s="120">
        <v>2.7235729379956397</v>
      </c>
      <c r="F120" s="88" t="s">
        <v>2665</v>
      </c>
      <c r="G120" s="88" t="b">
        <v>0</v>
      </c>
      <c r="H120" s="88" t="b">
        <v>0</v>
      </c>
      <c r="I120" s="88" t="b">
        <v>0</v>
      </c>
      <c r="J120" s="88" t="b">
        <v>0</v>
      </c>
      <c r="K120" s="88" t="b">
        <v>0</v>
      </c>
      <c r="L120" s="88" t="b">
        <v>0</v>
      </c>
    </row>
    <row r="121" spans="1:12" ht="15">
      <c r="A121" s="88" t="s">
        <v>2382</v>
      </c>
      <c r="B121" s="88" t="s">
        <v>2339</v>
      </c>
      <c r="C121" s="88">
        <v>7</v>
      </c>
      <c r="D121" s="120">
        <v>0.0026417600365451293</v>
      </c>
      <c r="E121" s="120">
        <v>2.5686709780098966</v>
      </c>
      <c r="F121" s="88" t="s">
        <v>2665</v>
      </c>
      <c r="G121" s="88" t="b">
        <v>0</v>
      </c>
      <c r="H121" s="88" t="b">
        <v>0</v>
      </c>
      <c r="I121" s="88" t="b">
        <v>0</v>
      </c>
      <c r="J121" s="88" t="b">
        <v>0</v>
      </c>
      <c r="K121" s="88" t="b">
        <v>0</v>
      </c>
      <c r="L121" s="88" t="b">
        <v>0</v>
      </c>
    </row>
    <row r="122" spans="1:12" ht="15">
      <c r="A122" s="88" t="s">
        <v>2339</v>
      </c>
      <c r="B122" s="88" t="s">
        <v>2383</v>
      </c>
      <c r="C122" s="88">
        <v>7</v>
      </c>
      <c r="D122" s="120">
        <v>0.0026417600365451293</v>
      </c>
      <c r="E122" s="120">
        <v>2.5686709780098966</v>
      </c>
      <c r="F122" s="88" t="s">
        <v>2665</v>
      </c>
      <c r="G122" s="88" t="b">
        <v>0</v>
      </c>
      <c r="H122" s="88" t="b">
        <v>0</v>
      </c>
      <c r="I122" s="88" t="b">
        <v>0</v>
      </c>
      <c r="J122" s="88" t="b">
        <v>0</v>
      </c>
      <c r="K122" s="88" t="b">
        <v>0</v>
      </c>
      <c r="L122" s="88" t="b">
        <v>0</v>
      </c>
    </row>
    <row r="123" spans="1:12" ht="15">
      <c r="A123" s="88" t="s">
        <v>2383</v>
      </c>
      <c r="B123" s="88" t="s">
        <v>2384</v>
      </c>
      <c r="C123" s="88">
        <v>7</v>
      </c>
      <c r="D123" s="120">
        <v>0.0026417600365451293</v>
      </c>
      <c r="E123" s="120">
        <v>2.7235729379956397</v>
      </c>
      <c r="F123" s="88" t="s">
        <v>2665</v>
      </c>
      <c r="G123" s="88" t="b">
        <v>0</v>
      </c>
      <c r="H123" s="88" t="b">
        <v>0</v>
      </c>
      <c r="I123" s="88" t="b">
        <v>0</v>
      </c>
      <c r="J123" s="88" t="b">
        <v>0</v>
      </c>
      <c r="K123" s="88" t="b">
        <v>0</v>
      </c>
      <c r="L123" s="88" t="b">
        <v>0</v>
      </c>
    </row>
    <row r="124" spans="1:12" ht="15">
      <c r="A124" s="88" t="s">
        <v>2384</v>
      </c>
      <c r="B124" s="88" t="s">
        <v>2343</v>
      </c>
      <c r="C124" s="88">
        <v>7</v>
      </c>
      <c r="D124" s="120">
        <v>0.0026417600365451293</v>
      </c>
      <c r="E124" s="120">
        <v>2.614428468570572</v>
      </c>
      <c r="F124" s="88" t="s">
        <v>2665</v>
      </c>
      <c r="G124" s="88" t="b">
        <v>0</v>
      </c>
      <c r="H124" s="88" t="b">
        <v>0</v>
      </c>
      <c r="I124" s="88" t="b">
        <v>0</v>
      </c>
      <c r="J124" s="88" t="b">
        <v>0</v>
      </c>
      <c r="K124" s="88" t="b">
        <v>0</v>
      </c>
      <c r="L124" s="88" t="b">
        <v>0</v>
      </c>
    </row>
    <row r="125" spans="1:12" ht="15">
      <c r="A125" s="88" t="s">
        <v>2343</v>
      </c>
      <c r="B125" s="88" t="s">
        <v>2385</v>
      </c>
      <c r="C125" s="88">
        <v>7</v>
      </c>
      <c r="D125" s="120">
        <v>0.0026417600365451293</v>
      </c>
      <c r="E125" s="120">
        <v>2.614428468570572</v>
      </c>
      <c r="F125" s="88" t="s">
        <v>2665</v>
      </c>
      <c r="G125" s="88" t="b">
        <v>0</v>
      </c>
      <c r="H125" s="88" t="b">
        <v>0</v>
      </c>
      <c r="I125" s="88" t="b">
        <v>0</v>
      </c>
      <c r="J125" s="88" t="b">
        <v>1</v>
      </c>
      <c r="K125" s="88" t="b">
        <v>0</v>
      </c>
      <c r="L125" s="88" t="b">
        <v>0</v>
      </c>
    </row>
    <row r="126" spans="1:12" ht="15">
      <c r="A126" s="88" t="s">
        <v>2385</v>
      </c>
      <c r="B126" s="88" t="s">
        <v>2386</v>
      </c>
      <c r="C126" s="88">
        <v>7</v>
      </c>
      <c r="D126" s="120">
        <v>0.0026417600365451293</v>
      </c>
      <c r="E126" s="120">
        <v>2.7235729379956397</v>
      </c>
      <c r="F126" s="88" t="s">
        <v>2665</v>
      </c>
      <c r="G126" s="88" t="b">
        <v>1</v>
      </c>
      <c r="H126" s="88" t="b">
        <v>0</v>
      </c>
      <c r="I126" s="88" t="b">
        <v>0</v>
      </c>
      <c r="J126" s="88" t="b">
        <v>0</v>
      </c>
      <c r="K126" s="88" t="b">
        <v>0</v>
      </c>
      <c r="L126" s="88" t="b">
        <v>0</v>
      </c>
    </row>
    <row r="127" spans="1:12" ht="15">
      <c r="A127" s="88" t="s">
        <v>2386</v>
      </c>
      <c r="B127" s="88" t="s">
        <v>2332</v>
      </c>
      <c r="C127" s="88">
        <v>7</v>
      </c>
      <c r="D127" s="120">
        <v>0.0026417600365451293</v>
      </c>
      <c r="E127" s="120">
        <v>2.4225429423316585</v>
      </c>
      <c r="F127" s="88" t="s">
        <v>2665</v>
      </c>
      <c r="G127" s="88" t="b">
        <v>0</v>
      </c>
      <c r="H127" s="88" t="b">
        <v>0</v>
      </c>
      <c r="I127" s="88" t="b">
        <v>0</v>
      </c>
      <c r="J127" s="88" t="b">
        <v>0</v>
      </c>
      <c r="K127" s="88" t="b">
        <v>0</v>
      </c>
      <c r="L127" s="88" t="b">
        <v>0</v>
      </c>
    </row>
    <row r="128" spans="1:12" ht="15">
      <c r="A128" s="88" t="s">
        <v>2332</v>
      </c>
      <c r="B128" s="88" t="s">
        <v>2387</v>
      </c>
      <c r="C128" s="88">
        <v>7</v>
      </c>
      <c r="D128" s="120">
        <v>0.0026417600365451293</v>
      </c>
      <c r="E128" s="120">
        <v>2.4225429423316585</v>
      </c>
      <c r="F128" s="88" t="s">
        <v>2665</v>
      </c>
      <c r="G128" s="88" t="b">
        <v>0</v>
      </c>
      <c r="H128" s="88" t="b">
        <v>0</v>
      </c>
      <c r="I128" s="88" t="b">
        <v>0</v>
      </c>
      <c r="J128" s="88" t="b">
        <v>0</v>
      </c>
      <c r="K128" s="88" t="b">
        <v>0</v>
      </c>
      <c r="L128" s="88" t="b">
        <v>0</v>
      </c>
    </row>
    <row r="129" spans="1:12" ht="15">
      <c r="A129" s="88" t="s">
        <v>2387</v>
      </c>
      <c r="B129" s="88" t="s">
        <v>525</v>
      </c>
      <c r="C129" s="88">
        <v>7</v>
      </c>
      <c r="D129" s="120">
        <v>0.0026417600365451293</v>
      </c>
      <c r="E129" s="120">
        <v>2.7235729379956397</v>
      </c>
      <c r="F129" s="88" t="s">
        <v>2665</v>
      </c>
      <c r="G129" s="88" t="b">
        <v>0</v>
      </c>
      <c r="H129" s="88" t="b">
        <v>0</v>
      </c>
      <c r="I129" s="88" t="b">
        <v>0</v>
      </c>
      <c r="J129" s="88" t="b">
        <v>0</v>
      </c>
      <c r="K129" s="88" t="b">
        <v>0</v>
      </c>
      <c r="L129" s="88" t="b">
        <v>0</v>
      </c>
    </row>
    <row r="130" spans="1:12" ht="15">
      <c r="A130" s="88" t="s">
        <v>525</v>
      </c>
      <c r="B130" s="88" t="s">
        <v>524</v>
      </c>
      <c r="C130" s="88">
        <v>7</v>
      </c>
      <c r="D130" s="120">
        <v>0.0026417600365451293</v>
      </c>
      <c r="E130" s="120">
        <v>2.7235729379956397</v>
      </c>
      <c r="F130" s="88" t="s">
        <v>2665</v>
      </c>
      <c r="G130" s="88" t="b">
        <v>0</v>
      </c>
      <c r="H130" s="88" t="b">
        <v>0</v>
      </c>
      <c r="I130" s="88" t="b">
        <v>0</v>
      </c>
      <c r="J130" s="88" t="b">
        <v>0</v>
      </c>
      <c r="K130" s="88" t="b">
        <v>0</v>
      </c>
      <c r="L130" s="88" t="b">
        <v>0</v>
      </c>
    </row>
    <row r="131" spans="1:12" ht="15">
      <c r="A131" s="88" t="s">
        <v>524</v>
      </c>
      <c r="B131" s="88" t="s">
        <v>2271</v>
      </c>
      <c r="C131" s="88">
        <v>7</v>
      </c>
      <c r="D131" s="120">
        <v>0.0026417600365451293</v>
      </c>
      <c r="E131" s="120">
        <v>1.2164884598985342</v>
      </c>
      <c r="F131" s="88" t="s">
        <v>2665</v>
      </c>
      <c r="G131" s="88" t="b">
        <v>0</v>
      </c>
      <c r="H131" s="88" t="b">
        <v>0</v>
      </c>
      <c r="I131" s="88" t="b">
        <v>0</v>
      </c>
      <c r="J131" s="88" t="b">
        <v>0</v>
      </c>
      <c r="K131" s="88" t="b">
        <v>0</v>
      </c>
      <c r="L131" s="88" t="b">
        <v>0</v>
      </c>
    </row>
    <row r="132" spans="1:12" ht="15">
      <c r="A132" s="88" t="s">
        <v>2271</v>
      </c>
      <c r="B132" s="88" t="s">
        <v>2293</v>
      </c>
      <c r="C132" s="88">
        <v>7</v>
      </c>
      <c r="D132" s="120">
        <v>0.0026417600365451293</v>
      </c>
      <c r="E132" s="120">
        <v>0.7310825397743854</v>
      </c>
      <c r="F132" s="88" t="s">
        <v>2665</v>
      </c>
      <c r="G132" s="88" t="b">
        <v>0</v>
      </c>
      <c r="H132" s="88" t="b">
        <v>0</v>
      </c>
      <c r="I132" s="88" t="b">
        <v>0</v>
      </c>
      <c r="J132" s="88" t="b">
        <v>0</v>
      </c>
      <c r="K132" s="88" t="b">
        <v>0</v>
      </c>
      <c r="L132" s="88" t="b">
        <v>0</v>
      </c>
    </row>
    <row r="133" spans="1:12" ht="15">
      <c r="A133" s="88" t="s">
        <v>2298</v>
      </c>
      <c r="B133" s="88" t="s">
        <v>2389</v>
      </c>
      <c r="C133" s="88">
        <v>7</v>
      </c>
      <c r="D133" s="120">
        <v>0.0026417600365451293</v>
      </c>
      <c r="E133" s="120">
        <v>2.2262482971876905</v>
      </c>
      <c r="F133" s="88" t="s">
        <v>2665</v>
      </c>
      <c r="G133" s="88" t="b">
        <v>0</v>
      </c>
      <c r="H133" s="88" t="b">
        <v>0</v>
      </c>
      <c r="I133" s="88" t="b">
        <v>0</v>
      </c>
      <c r="J133" s="88" t="b">
        <v>0</v>
      </c>
      <c r="K133" s="88" t="b">
        <v>0</v>
      </c>
      <c r="L133" s="88" t="b">
        <v>0</v>
      </c>
    </row>
    <row r="134" spans="1:12" ht="15">
      <c r="A134" s="88" t="s">
        <v>2271</v>
      </c>
      <c r="B134" s="88" t="s">
        <v>2277</v>
      </c>
      <c r="C134" s="88">
        <v>7</v>
      </c>
      <c r="D134" s="120">
        <v>0.0026417600365451293</v>
      </c>
      <c r="E134" s="120">
        <v>0.5250280573412609</v>
      </c>
      <c r="F134" s="88" t="s">
        <v>2665</v>
      </c>
      <c r="G134" s="88" t="b">
        <v>0</v>
      </c>
      <c r="H134" s="88" t="b">
        <v>0</v>
      </c>
      <c r="I134" s="88" t="b">
        <v>0</v>
      </c>
      <c r="J134" s="88" t="b">
        <v>0</v>
      </c>
      <c r="K134" s="88" t="b">
        <v>0</v>
      </c>
      <c r="L134" s="88" t="b">
        <v>0</v>
      </c>
    </row>
    <row r="135" spans="1:12" ht="15">
      <c r="A135" s="88" t="s">
        <v>699</v>
      </c>
      <c r="B135" s="88" t="s">
        <v>2390</v>
      </c>
      <c r="C135" s="88">
        <v>6</v>
      </c>
      <c r="D135" s="120">
        <v>0.0023669924031940862</v>
      </c>
      <c r="E135" s="120">
        <v>1.4787658665704988</v>
      </c>
      <c r="F135" s="88" t="s">
        <v>2665</v>
      </c>
      <c r="G135" s="88" t="b">
        <v>0</v>
      </c>
      <c r="H135" s="88" t="b">
        <v>0</v>
      </c>
      <c r="I135" s="88" t="b">
        <v>0</v>
      </c>
      <c r="J135" s="88" t="b">
        <v>0</v>
      </c>
      <c r="K135" s="88" t="b">
        <v>0</v>
      </c>
      <c r="L135" s="88" t="b">
        <v>0</v>
      </c>
    </row>
    <row r="136" spans="1:12" ht="15">
      <c r="A136" s="88" t="s">
        <v>2338</v>
      </c>
      <c r="B136" s="88" t="s">
        <v>2271</v>
      </c>
      <c r="C136" s="88">
        <v>6</v>
      </c>
      <c r="D136" s="120">
        <v>0.0023669924031940862</v>
      </c>
      <c r="E136" s="120">
        <v>1.2164884598985342</v>
      </c>
      <c r="F136" s="88" t="s">
        <v>2665</v>
      </c>
      <c r="G136" s="88" t="b">
        <v>0</v>
      </c>
      <c r="H136" s="88" t="b">
        <v>0</v>
      </c>
      <c r="I136" s="88" t="b">
        <v>0</v>
      </c>
      <c r="J136" s="88" t="b">
        <v>0</v>
      </c>
      <c r="K136" s="88" t="b">
        <v>0</v>
      </c>
      <c r="L136" s="88" t="b">
        <v>0</v>
      </c>
    </row>
    <row r="137" spans="1:12" ht="15">
      <c r="A137" s="88" t="s">
        <v>2391</v>
      </c>
      <c r="B137" s="88" t="s">
        <v>2392</v>
      </c>
      <c r="C137" s="88">
        <v>6</v>
      </c>
      <c r="D137" s="120">
        <v>0.0023669924031940862</v>
      </c>
      <c r="E137" s="120">
        <v>2.790519727626253</v>
      </c>
      <c r="F137" s="88" t="s">
        <v>2665</v>
      </c>
      <c r="G137" s="88" t="b">
        <v>0</v>
      </c>
      <c r="H137" s="88" t="b">
        <v>0</v>
      </c>
      <c r="I137" s="88" t="b">
        <v>0</v>
      </c>
      <c r="J137" s="88" t="b">
        <v>1</v>
      </c>
      <c r="K137" s="88" t="b">
        <v>0</v>
      </c>
      <c r="L137" s="88" t="b">
        <v>0</v>
      </c>
    </row>
    <row r="138" spans="1:12" ht="15">
      <c r="A138" s="88" t="s">
        <v>2392</v>
      </c>
      <c r="B138" s="88" t="s">
        <v>2275</v>
      </c>
      <c r="C138" s="88">
        <v>6</v>
      </c>
      <c r="D138" s="120">
        <v>0.0023669924031940862</v>
      </c>
      <c r="E138" s="120">
        <v>1.9352025224303102</v>
      </c>
      <c r="F138" s="88" t="s">
        <v>2665</v>
      </c>
      <c r="G138" s="88" t="b">
        <v>1</v>
      </c>
      <c r="H138" s="88" t="b">
        <v>0</v>
      </c>
      <c r="I138" s="88" t="b">
        <v>0</v>
      </c>
      <c r="J138" s="88" t="b">
        <v>0</v>
      </c>
      <c r="K138" s="88" t="b">
        <v>0</v>
      </c>
      <c r="L138" s="88" t="b">
        <v>0</v>
      </c>
    </row>
    <row r="139" spans="1:12" ht="15">
      <c r="A139" s="88" t="s">
        <v>2275</v>
      </c>
      <c r="B139" s="88" t="s">
        <v>2331</v>
      </c>
      <c r="C139" s="88">
        <v>6</v>
      </c>
      <c r="D139" s="120">
        <v>0.0023669924031940862</v>
      </c>
      <c r="E139" s="120">
        <v>1.5579471126181237</v>
      </c>
      <c r="F139" s="88" t="s">
        <v>2665</v>
      </c>
      <c r="G139" s="88" t="b">
        <v>0</v>
      </c>
      <c r="H139" s="88" t="b">
        <v>0</v>
      </c>
      <c r="I139" s="88" t="b">
        <v>0</v>
      </c>
      <c r="J139" s="88" t="b">
        <v>0</v>
      </c>
      <c r="K139" s="88" t="b">
        <v>0</v>
      </c>
      <c r="L139" s="88" t="b">
        <v>0</v>
      </c>
    </row>
    <row r="140" spans="1:12" ht="15">
      <c r="A140" s="88" t="s">
        <v>2331</v>
      </c>
      <c r="B140" s="88" t="s">
        <v>2271</v>
      </c>
      <c r="C140" s="88">
        <v>6</v>
      </c>
      <c r="D140" s="120">
        <v>0.0023669924031940862</v>
      </c>
      <c r="E140" s="120">
        <v>0.8185484512264966</v>
      </c>
      <c r="F140" s="88" t="s">
        <v>2665</v>
      </c>
      <c r="G140" s="88" t="b">
        <v>0</v>
      </c>
      <c r="H140" s="88" t="b">
        <v>0</v>
      </c>
      <c r="I140" s="88" t="b">
        <v>0</v>
      </c>
      <c r="J140" s="88" t="b">
        <v>0</v>
      </c>
      <c r="K140" s="88" t="b">
        <v>0</v>
      </c>
      <c r="L140" s="88" t="b">
        <v>0</v>
      </c>
    </row>
    <row r="141" spans="1:12" ht="15">
      <c r="A141" s="88" t="s">
        <v>2394</v>
      </c>
      <c r="B141" s="88" t="s">
        <v>2395</v>
      </c>
      <c r="C141" s="88">
        <v>6</v>
      </c>
      <c r="D141" s="120">
        <v>0.0023669924031940862</v>
      </c>
      <c r="E141" s="120">
        <v>2.790519727626253</v>
      </c>
      <c r="F141" s="88" t="s">
        <v>2665</v>
      </c>
      <c r="G141" s="88" t="b">
        <v>0</v>
      </c>
      <c r="H141" s="88" t="b">
        <v>0</v>
      </c>
      <c r="I141" s="88" t="b">
        <v>0</v>
      </c>
      <c r="J141" s="88" t="b">
        <v>0</v>
      </c>
      <c r="K141" s="88" t="b">
        <v>0</v>
      </c>
      <c r="L141" s="88" t="b">
        <v>0</v>
      </c>
    </row>
    <row r="142" spans="1:12" ht="15">
      <c r="A142" s="88" t="s">
        <v>2395</v>
      </c>
      <c r="B142" s="88" t="s">
        <v>2396</v>
      </c>
      <c r="C142" s="88">
        <v>6</v>
      </c>
      <c r="D142" s="120">
        <v>0.0023669924031940862</v>
      </c>
      <c r="E142" s="120">
        <v>2.790519727626253</v>
      </c>
      <c r="F142" s="88" t="s">
        <v>2665</v>
      </c>
      <c r="G142" s="88" t="b">
        <v>0</v>
      </c>
      <c r="H142" s="88" t="b">
        <v>0</v>
      </c>
      <c r="I142" s="88" t="b">
        <v>0</v>
      </c>
      <c r="J142" s="88" t="b">
        <v>0</v>
      </c>
      <c r="K142" s="88" t="b">
        <v>0</v>
      </c>
      <c r="L142" s="88" t="b">
        <v>0</v>
      </c>
    </row>
    <row r="143" spans="1:12" ht="15">
      <c r="A143" s="88" t="s">
        <v>2396</v>
      </c>
      <c r="B143" s="88" t="s">
        <v>2397</v>
      </c>
      <c r="C143" s="88">
        <v>6</v>
      </c>
      <c r="D143" s="120">
        <v>0.0023669924031940862</v>
      </c>
      <c r="E143" s="120">
        <v>2.790519727626253</v>
      </c>
      <c r="F143" s="88" t="s">
        <v>2665</v>
      </c>
      <c r="G143" s="88" t="b">
        <v>0</v>
      </c>
      <c r="H143" s="88" t="b">
        <v>0</v>
      </c>
      <c r="I143" s="88" t="b">
        <v>0</v>
      </c>
      <c r="J143" s="88" t="b">
        <v>0</v>
      </c>
      <c r="K143" s="88" t="b">
        <v>0</v>
      </c>
      <c r="L143" s="88" t="b">
        <v>0</v>
      </c>
    </row>
    <row r="144" spans="1:12" ht="15">
      <c r="A144" s="88" t="s">
        <v>2397</v>
      </c>
      <c r="B144" s="88" t="s">
        <v>2398</v>
      </c>
      <c r="C144" s="88">
        <v>6</v>
      </c>
      <c r="D144" s="120">
        <v>0.0023669924031940862</v>
      </c>
      <c r="E144" s="120">
        <v>2.790519727626253</v>
      </c>
      <c r="F144" s="88" t="s">
        <v>2665</v>
      </c>
      <c r="G144" s="88" t="b">
        <v>0</v>
      </c>
      <c r="H144" s="88" t="b">
        <v>0</v>
      </c>
      <c r="I144" s="88" t="b">
        <v>0</v>
      </c>
      <c r="J144" s="88" t="b">
        <v>0</v>
      </c>
      <c r="K144" s="88" t="b">
        <v>0</v>
      </c>
      <c r="L144" s="88" t="b">
        <v>0</v>
      </c>
    </row>
    <row r="145" spans="1:12" ht="15">
      <c r="A145" s="88" t="s">
        <v>2398</v>
      </c>
      <c r="B145" s="88" t="s">
        <v>2399</v>
      </c>
      <c r="C145" s="88">
        <v>6</v>
      </c>
      <c r="D145" s="120">
        <v>0.0023669924031940862</v>
      </c>
      <c r="E145" s="120">
        <v>2.790519727626253</v>
      </c>
      <c r="F145" s="88" t="s">
        <v>2665</v>
      </c>
      <c r="G145" s="88" t="b">
        <v>0</v>
      </c>
      <c r="H145" s="88" t="b">
        <v>0</v>
      </c>
      <c r="I145" s="88" t="b">
        <v>0</v>
      </c>
      <c r="J145" s="88" t="b">
        <v>0</v>
      </c>
      <c r="K145" s="88" t="b">
        <v>0</v>
      </c>
      <c r="L145" s="88" t="b">
        <v>0</v>
      </c>
    </row>
    <row r="146" spans="1:12" ht="15">
      <c r="A146" s="88" t="s">
        <v>2399</v>
      </c>
      <c r="B146" s="88" t="s">
        <v>2400</v>
      </c>
      <c r="C146" s="88">
        <v>6</v>
      </c>
      <c r="D146" s="120">
        <v>0.0023669924031940862</v>
      </c>
      <c r="E146" s="120">
        <v>2.790519727626253</v>
      </c>
      <c r="F146" s="88" t="s">
        <v>2665</v>
      </c>
      <c r="G146" s="88" t="b">
        <v>0</v>
      </c>
      <c r="H146" s="88" t="b">
        <v>0</v>
      </c>
      <c r="I146" s="88" t="b">
        <v>0</v>
      </c>
      <c r="J146" s="88" t="b">
        <v>0</v>
      </c>
      <c r="K146" s="88" t="b">
        <v>0</v>
      </c>
      <c r="L146" s="88" t="b">
        <v>0</v>
      </c>
    </row>
    <row r="147" spans="1:12" ht="15">
      <c r="A147" s="88" t="s">
        <v>2400</v>
      </c>
      <c r="B147" s="88" t="s">
        <v>699</v>
      </c>
      <c r="C147" s="88">
        <v>6</v>
      </c>
      <c r="D147" s="120">
        <v>0.0023669924031940862</v>
      </c>
      <c r="E147" s="120">
        <v>1.4931240166173658</v>
      </c>
      <c r="F147" s="88" t="s">
        <v>2665</v>
      </c>
      <c r="G147" s="88" t="b">
        <v>0</v>
      </c>
      <c r="H147" s="88" t="b">
        <v>0</v>
      </c>
      <c r="I147" s="88" t="b">
        <v>0</v>
      </c>
      <c r="J147" s="88" t="b">
        <v>0</v>
      </c>
      <c r="K147" s="88" t="b">
        <v>0</v>
      </c>
      <c r="L147" s="88" t="b">
        <v>0</v>
      </c>
    </row>
    <row r="148" spans="1:12" ht="15">
      <c r="A148" s="88" t="s">
        <v>699</v>
      </c>
      <c r="B148" s="88" t="s">
        <v>2401</v>
      </c>
      <c r="C148" s="88">
        <v>6</v>
      </c>
      <c r="D148" s="120">
        <v>0.0023669924031940862</v>
      </c>
      <c r="E148" s="120">
        <v>1.4787658665704988</v>
      </c>
      <c r="F148" s="88" t="s">
        <v>2665</v>
      </c>
      <c r="G148" s="88" t="b">
        <v>0</v>
      </c>
      <c r="H148" s="88" t="b">
        <v>0</v>
      </c>
      <c r="I148" s="88" t="b">
        <v>0</v>
      </c>
      <c r="J148" s="88" t="b">
        <v>0</v>
      </c>
      <c r="K148" s="88" t="b">
        <v>0</v>
      </c>
      <c r="L148" s="88" t="b">
        <v>0</v>
      </c>
    </row>
    <row r="149" spans="1:12" ht="15">
      <c r="A149" s="88" t="s">
        <v>2401</v>
      </c>
      <c r="B149" s="88" t="s">
        <v>2402</v>
      </c>
      <c r="C149" s="88">
        <v>6</v>
      </c>
      <c r="D149" s="120">
        <v>0.0023669924031940862</v>
      </c>
      <c r="E149" s="120">
        <v>2.790519727626253</v>
      </c>
      <c r="F149" s="88" t="s">
        <v>2665</v>
      </c>
      <c r="G149" s="88" t="b">
        <v>0</v>
      </c>
      <c r="H149" s="88" t="b">
        <v>0</v>
      </c>
      <c r="I149" s="88" t="b">
        <v>0</v>
      </c>
      <c r="J149" s="88" t="b">
        <v>0</v>
      </c>
      <c r="K149" s="88" t="b">
        <v>0</v>
      </c>
      <c r="L149" s="88" t="b">
        <v>0</v>
      </c>
    </row>
    <row r="150" spans="1:12" ht="15">
      <c r="A150" s="88" t="s">
        <v>2402</v>
      </c>
      <c r="B150" s="88" t="s">
        <v>532</v>
      </c>
      <c r="C150" s="88">
        <v>6</v>
      </c>
      <c r="D150" s="120">
        <v>0.0023669924031940862</v>
      </c>
      <c r="E150" s="120">
        <v>2.790519727626253</v>
      </c>
      <c r="F150" s="88" t="s">
        <v>2665</v>
      </c>
      <c r="G150" s="88" t="b">
        <v>0</v>
      </c>
      <c r="H150" s="88" t="b">
        <v>0</v>
      </c>
      <c r="I150" s="88" t="b">
        <v>0</v>
      </c>
      <c r="J150" s="88" t="b">
        <v>0</v>
      </c>
      <c r="K150" s="88" t="b">
        <v>0</v>
      </c>
      <c r="L150" s="88" t="b">
        <v>0</v>
      </c>
    </row>
    <row r="151" spans="1:12" ht="15">
      <c r="A151" s="88" t="s">
        <v>532</v>
      </c>
      <c r="B151" s="88" t="s">
        <v>2403</v>
      </c>
      <c r="C151" s="88">
        <v>6</v>
      </c>
      <c r="D151" s="120">
        <v>0.0023669924031940862</v>
      </c>
      <c r="E151" s="120">
        <v>2.790519727626253</v>
      </c>
      <c r="F151" s="88" t="s">
        <v>2665</v>
      </c>
      <c r="G151" s="88" t="b">
        <v>0</v>
      </c>
      <c r="H151" s="88" t="b">
        <v>0</v>
      </c>
      <c r="I151" s="88" t="b">
        <v>0</v>
      </c>
      <c r="J151" s="88" t="b">
        <v>0</v>
      </c>
      <c r="K151" s="88" t="b">
        <v>0</v>
      </c>
      <c r="L151" s="88" t="b">
        <v>0</v>
      </c>
    </row>
    <row r="152" spans="1:12" ht="15">
      <c r="A152" s="88" t="s">
        <v>2403</v>
      </c>
      <c r="B152" s="88" t="s">
        <v>2271</v>
      </c>
      <c r="C152" s="88">
        <v>6</v>
      </c>
      <c r="D152" s="120">
        <v>0.0023669924031940862</v>
      </c>
      <c r="E152" s="120">
        <v>1.2164884598985342</v>
      </c>
      <c r="F152" s="88" t="s">
        <v>2665</v>
      </c>
      <c r="G152" s="88" t="b">
        <v>0</v>
      </c>
      <c r="H152" s="88" t="b">
        <v>0</v>
      </c>
      <c r="I152" s="88" t="b">
        <v>0</v>
      </c>
      <c r="J152" s="88" t="b">
        <v>0</v>
      </c>
      <c r="K152" s="88" t="b">
        <v>0</v>
      </c>
      <c r="L152" s="88" t="b">
        <v>0</v>
      </c>
    </row>
    <row r="153" spans="1:12" ht="15">
      <c r="A153" s="88" t="s">
        <v>2271</v>
      </c>
      <c r="B153" s="88" t="s">
        <v>2404</v>
      </c>
      <c r="C153" s="88">
        <v>6</v>
      </c>
      <c r="D153" s="120">
        <v>0.0023669924031940862</v>
      </c>
      <c r="E153" s="120">
        <v>1.3331425311023477</v>
      </c>
      <c r="F153" s="88" t="s">
        <v>2665</v>
      </c>
      <c r="G153" s="88" t="b">
        <v>0</v>
      </c>
      <c r="H153" s="88" t="b">
        <v>0</v>
      </c>
      <c r="I153" s="88" t="b">
        <v>0</v>
      </c>
      <c r="J153" s="88" t="b">
        <v>0</v>
      </c>
      <c r="K153" s="88" t="b">
        <v>0</v>
      </c>
      <c r="L153" s="88" t="b">
        <v>0</v>
      </c>
    </row>
    <row r="154" spans="1:12" ht="15">
      <c r="A154" s="88" t="s">
        <v>2404</v>
      </c>
      <c r="B154" s="88" t="s">
        <v>2405</v>
      </c>
      <c r="C154" s="88">
        <v>6</v>
      </c>
      <c r="D154" s="120">
        <v>0.0023669924031940862</v>
      </c>
      <c r="E154" s="120">
        <v>2.790519727626253</v>
      </c>
      <c r="F154" s="88" t="s">
        <v>2665</v>
      </c>
      <c r="G154" s="88" t="b">
        <v>0</v>
      </c>
      <c r="H154" s="88" t="b">
        <v>0</v>
      </c>
      <c r="I154" s="88" t="b">
        <v>0</v>
      </c>
      <c r="J154" s="88" t="b">
        <v>0</v>
      </c>
      <c r="K154" s="88" t="b">
        <v>1</v>
      </c>
      <c r="L154" s="88" t="b">
        <v>0</v>
      </c>
    </row>
    <row r="155" spans="1:12" ht="15">
      <c r="A155" s="88" t="s">
        <v>2405</v>
      </c>
      <c r="B155" s="88" t="s">
        <v>2406</v>
      </c>
      <c r="C155" s="88">
        <v>6</v>
      </c>
      <c r="D155" s="120">
        <v>0.0023669924031940862</v>
      </c>
      <c r="E155" s="120">
        <v>2.790519727626253</v>
      </c>
      <c r="F155" s="88" t="s">
        <v>2665</v>
      </c>
      <c r="G155" s="88" t="b">
        <v>0</v>
      </c>
      <c r="H155" s="88" t="b">
        <v>1</v>
      </c>
      <c r="I155" s="88" t="b">
        <v>0</v>
      </c>
      <c r="J155" s="88" t="b">
        <v>0</v>
      </c>
      <c r="K155" s="88" t="b">
        <v>0</v>
      </c>
      <c r="L155" s="88" t="b">
        <v>0</v>
      </c>
    </row>
    <row r="156" spans="1:12" ht="15">
      <c r="A156" s="88" t="s">
        <v>2406</v>
      </c>
      <c r="B156" s="88" t="s">
        <v>2334</v>
      </c>
      <c r="C156" s="88">
        <v>6</v>
      </c>
      <c r="D156" s="120">
        <v>0.0023669924031940862</v>
      </c>
      <c r="E156" s="120">
        <v>2.614428468570572</v>
      </c>
      <c r="F156" s="88" t="s">
        <v>2665</v>
      </c>
      <c r="G156" s="88" t="b">
        <v>0</v>
      </c>
      <c r="H156" s="88" t="b">
        <v>0</v>
      </c>
      <c r="I156" s="88" t="b">
        <v>0</v>
      </c>
      <c r="J156" s="88" t="b">
        <v>0</v>
      </c>
      <c r="K156" s="88" t="b">
        <v>0</v>
      </c>
      <c r="L156" s="88" t="b">
        <v>0</v>
      </c>
    </row>
    <row r="157" spans="1:12" ht="15">
      <c r="A157" s="88" t="s">
        <v>2334</v>
      </c>
      <c r="B157" s="88" t="s">
        <v>2372</v>
      </c>
      <c r="C157" s="88">
        <v>6</v>
      </c>
      <c r="D157" s="120">
        <v>0.0023669924031940862</v>
      </c>
      <c r="E157" s="120">
        <v>2.364550995353972</v>
      </c>
      <c r="F157" s="88" t="s">
        <v>2665</v>
      </c>
      <c r="G157" s="88" t="b">
        <v>0</v>
      </c>
      <c r="H157" s="88" t="b">
        <v>0</v>
      </c>
      <c r="I157" s="88" t="b">
        <v>0</v>
      </c>
      <c r="J157" s="88" t="b">
        <v>1</v>
      </c>
      <c r="K157" s="88" t="b">
        <v>0</v>
      </c>
      <c r="L157" s="88" t="b">
        <v>0</v>
      </c>
    </row>
    <row r="158" spans="1:12" ht="15">
      <c r="A158" s="88" t="s">
        <v>2372</v>
      </c>
      <c r="B158" s="88" t="s">
        <v>2407</v>
      </c>
      <c r="C158" s="88">
        <v>6</v>
      </c>
      <c r="D158" s="120">
        <v>0.0023669924031940862</v>
      </c>
      <c r="E158" s="120">
        <v>2.665580991017953</v>
      </c>
      <c r="F158" s="88" t="s">
        <v>2665</v>
      </c>
      <c r="G158" s="88" t="b">
        <v>1</v>
      </c>
      <c r="H158" s="88" t="b">
        <v>0</v>
      </c>
      <c r="I158" s="88" t="b">
        <v>0</v>
      </c>
      <c r="J158" s="88" t="b">
        <v>0</v>
      </c>
      <c r="K158" s="88" t="b">
        <v>0</v>
      </c>
      <c r="L158" s="88" t="b">
        <v>0</v>
      </c>
    </row>
    <row r="159" spans="1:12" ht="15">
      <c r="A159" s="88" t="s">
        <v>2407</v>
      </c>
      <c r="B159" s="88" t="s">
        <v>531</v>
      </c>
      <c r="C159" s="88">
        <v>6</v>
      </c>
      <c r="D159" s="120">
        <v>0.0023669924031940862</v>
      </c>
      <c r="E159" s="120">
        <v>2.790519727626253</v>
      </c>
      <c r="F159" s="88" t="s">
        <v>2665</v>
      </c>
      <c r="G159" s="88" t="b">
        <v>0</v>
      </c>
      <c r="H159" s="88" t="b">
        <v>0</v>
      </c>
      <c r="I159" s="88" t="b">
        <v>0</v>
      </c>
      <c r="J159" s="88" t="b">
        <v>0</v>
      </c>
      <c r="K159" s="88" t="b">
        <v>0</v>
      </c>
      <c r="L159" s="88" t="b">
        <v>0</v>
      </c>
    </row>
    <row r="160" spans="1:12" ht="15">
      <c r="A160" s="88" t="s">
        <v>531</v>
      </c>
      <c r="B160" s="88" t="s">
        <v>2408</v>
      </c>
      <c r="C160" s="88">
        <v>6</v>
      </c>
      <c r="D160" s="120">
        <v>0.0023669924031940862</v>
      </c>
      <c r="E160" s="120">
        <v>2.790519727626253</v>
      </c>
      <c r="F160" s="88" t="s">
        <v>2665</v>
      </c>
      <c r="G160" s="88" t="b">
        <v>0</v>
      </c>
      <c r="H160" s="88" t="b">
        <v>0</v>
      </c>
      <c r="I160" s="88" t="b">
        <v>0</v>
      </c>
      <c r="J160" s="88" t="b">
        <v>1</v>
      </c>
      <c r="K160" s="88" t="b">
        <v>0</v>
      </c>
      <c r="L160" s="88" t="b">
        <v>0</v>
      </c>
    </row>
    <row r="161" spans="1:12" ht="15">
      <c r="A161" s="88" t="s">
        <v>2408</v>
      </c>
      <c r="B161" s="88" t="s">
        <v>2409</v>
      </c>
      <c r="C161" s="88">
        <v>6</v>
      </c>
      <c r="D161" s="120">
        <v>0.0023669924031940862</v>
      </c>
      <c r="E161" s="120">
        <v>2.790519727626253</v>
      </c>
      <c r="F161" s="88" t="s">
        <v>2665</v>
      </c>
      <c r="G161" s="88" t="b">
        <v>1</v>
      </c>
      <c r="H161" s="88" t="b">
        <v>0</v>
      </c>
      <c r="I161" s="88" t="b">
        <v>0</v>
      </c>
      <c r="J161" s="88" t="b">
        <v>0</v>
      </c>
      <c r="K161" s="88" t="b">
        <v>0</v>
      </c>
      <c r="L161" s="88" t="b">
        <v>0</v>
      </c>
    </row>
    <row r="162" spans="1:12" ht="15">
      <c r="A162" s="88" t="s">
        <v>2410</v>
      </c>
      <c r="B162" s="88" t="s">
        <v>2411</v>
      </c>
      <c r="C162" s="88">
        <v>5</v>
      </c>
      <c r="D162" s="120">
        <v>0.002073644980068856</v>
      </c>
      <c r="E162" s="120">
        <v>2.869700973673878</v>
      </c>
      <c r="F162" s="88" t="s">
        <v>2665</v>
      </c>
      <c r="G162" s="88" t="b">
        <v>0</v>
      </c>
      <c r="H162" s="88" t="b">
        <v>0</v>
      </c>
      <c r="I162" s="88" t="b">
        <v>0</v>
      </c>
      <c r="J162" s="88" t="b">
        <v>0</v>
      </c>
      <c r="K162" s="88" t="b">
        <v>0</v>
      </c>
      <c r="L162" s="88" t="b">
        <v>0</v>
      </c>
    </row>
    <row r="163" spans="1:12" ht="15">
      <c r="A163" s="88" t="s">
        <v>2411</v>
      </c>
      <c r="B163" s="88" t="s">
        <v>2388</v>
      </c>
      <c r="C163" s="88">
        <v>5</v>
      </c>
      <c r="D163" s="120">
        <v>0.002073644980068856</v>
      </c>
      <c r="E163" s="120">
        <v>2.7235729379956397</v>
      </c>
      <c r="F163" s="88" t="s">
        <v>2665</v>
      </c>
      <c r="G163" s="88" t="b">
        <v>0</v>
      </c>
      <c r="H163" s="88" t="b">
        <v>0</v>
      </c>
      <c r="I163" s="88" t="b">
        <v>0</v>
      </c>
      <c r="J163" s="88" t="b">
        <v>0</v>
      </c>
      <c r="K163" s="88" t="b">
        <v>0</v>
      </c>
      <c r="L163" s="88" t="b">
        <v>0</v>
      </c>
    </row>
    <row r="164" spans="1:12" ht="15">
      <c r="A164" s="88" t="s">
        <v>2388</v>
      </c>
      <c r="B164" s="88" t="s">
        <v>2412</v>
      </c>
      <c r="C164" s="88">
        <v>5</v>
      </c>
      <c r="D164" s="120">
        <v>0.002073644980068856</v>
      </c>
      <c r="E164" s="120">
        <v>2.7235729379956397</v>
      </c>
      <c r="F164" s="88" t="s">
        <v>2665</v>
      </c>
      <c r="G164" s="88" t="b">
        <v>0</v>
      </c>
      <c r="H164" s="88" t="b">
        <v>0</v>
      </c>
      <c r="I164" s="88" t="b">
        <v>0</v>
      </c>
      <c r="J164" s="88" t="b">
        <v>0</v>
      </c>
      <c r="K164" s="88" t="b">
        <v>0</v>
      </c>
      <c r="L164" s="88" t="b">
        <v>0</v>
      </c>
    </row>
    <row r="165" spans="1:12" ht="15">
      <c r="A165" s="88" t="s">
        <v>2412</v>
      </c>
      <c r="B165" s="88" t="s">
        <v>2413</v>
      </c>
      <c r="C165" s="88">
        <v>5</v>
      </c>
      <c r="D165" s="120">
        <v>0.002073644980068856</v>
      </c>
      <c r="E165" s="120">
        <v>2.869700973673878</v>
      </c>
      <c r="F165" s="88" t="s">
        <v>2665</v>
      </c>
      <c r="G165" s="88" t="b">
        <v>0</v>
      </c>
      <c r="H165" s="88" t="b">
        <v>0</v>
      </c>
      <c r="I165" s="88" t="b">
        <v>0</v>
      </c>
      <c r="J165" s="88" t="b">
        <v>0</v>
      </c>
      <c r="K165" s="88" t="b">
        <v>0</v>
      </c>
      <c r="L165" s="88" t="b">
        <v>0</v>
      </c>
    </row>
    <row r="166" spans="1:12" ht="15">
      <c r="A166" s="88" t="s">
        <v>2413</v>
      </c>
      <c r="B166" s="88" t="s">
        <v>2294</v>
      </c>
      <c r="C166" s="88">
        <v>5</v>
      </c>
      <c r="D166" s="120">
        <v>0.002073644980068856</v>
      </c>
      <c r="E166" s="120">
        <v>2.1373072138509093</v>
      </c>
      <c r="F166" s="88" t="s">
        <v>2665</v>
      </c>
      <c r="G166" s="88" t="b">
        <v>0</v>
      </c>
      <c r="H166" s="88" t="b">
        <v>0</v>
      </c>
      <c r="I166" s="88" t="b">
        <v>0</v>
      </c>
      <c r="J166" s="88" t="b">
        <v>0</v>
      </c>
      <c r="K166" s="88" t="b">
        <v>0</v>
      </c>
      <c r="L166" s="88" t="b">
        <v>0</v>
      </c>
    </row>
    <row r="167" spans="1:12" ht="15">
      <c r="A167" s="88" t="s">
        <v>2294</v>
      </c>
      <c r="B167" s="88" t="s">
        <v>2414</v>
      </c>
      <c r="C167" s="88">
        <v>5</v>
      </c>
      <c r="D167" s="120">
        <v>0.002073644980068856</v>
      </c>
      <c r="E167" s="120">
        <v>2.1373072138509093</v>
      </c>
      <c r="F167" s="88" t="s">
        <v>2665</v>
      </c>
      <c r="G167" s="88" t="b">
        <v>0</v>
      </c>
      <c r="H167" s="88" t="b">
        <v>0</v>
      </c>
      <c r="I167" s="88" t="b">
        <v>0</v>
      </c>
      <c r="J167" s="88" t="b">
        <v>0</v>
      </c>
      <c r="K167" s="88" t="b">
        <v>0</v>
      </c>
      <c r="L167" s="88" t="b">
        <v>0</v>
      </c>
    </row>
    <row r="168" spans="1:12" ht="15">
      <c r="A168" s="88" t="s">
        <v>2414</v>
      </c>
      <c r="B168" s="88" t="s">
        <v>2415</v>
      </c>
      <c r="C168" s="88">
        <v>5</v>
      </c>
      <c r="D168" s="120">
        <v>0.002073644980068856</v>
      </c>
      <c r="E168" s="120">
        <v>2.869700973673878</v>
      </c>
      <c r="F168" s="88" t="s">
        <v>2665</v>
      </c>
      <c r="G168" s="88" t="b">
        <v>0</v>
      </c>
      <c r="H168" s="88" t="b">
        <v>0</v>
      </c>
      <c r="I168" s="88" t="b">
        <v>0</v>
      </c>
      <c r="J168" s="88" t="b">
        <v>0</v>
      </c>
      <c r="K168" s="88" t="b">
        <v>0</v>
      </c>
      <c r="L168" s="88" t="b">
        <v>0</v>
      </c>
    </row>
    <row r="169" spans="1:12" ht="15">
      <c r="A169" s="88" t="s">
        <v>2415</v>
      </c>
      <c r="B169" s="88" t="s">
        <v>2293</v>
      </c>
      <c r="C169" s="88">
        <v>5</v>
      </c>
      <c r="D169" s="120">
        <v>0.002073644980068856</v>
      </c>
      <c r="E169" s="120">
        <v>2.1215129466676776</v>
      </c>
      <c r="F169" s="88" t="s">
        <v>2665</v>
      </c>
      <c r="G169" s="88" t="b">
        <v>0</v>
      </c>
      <c r="H169" s="88" t="b">
        <v>0</v>
      </c>
      <c r="I169" s="88" t="b">
        <v>0</v>
      </c>
      <c r="J169" s="88" t="b">
        <v>0</v>
      </c>
      <c r="K169" s="88" t="b">
        <v>0</v>
      </c>
      <c r="L169" s="88" t="b">
        <v>0</v>
      </c>
    </row>
    <row r="170" spans="1:12" ht="15">
      <c r="A170" s="88" t="s">
        <v>2293</v>
      </c>
      <c r="B170" s="88" t="s">
        <v>2416</v>
      </c>
      <c r="C170" s="88">
        <v>5</v>
      </c>
      <c r="D170" s="120">
        <v>0.002073644980068856</v>
      </c>
      <c r="E170" s="120">
        <v>2.2464516832759776</v>
      </c>
      <c r="F170" s="88" t="s">
        <v>2665</v>
      </c>
      <c r="G170" s="88" t="b">
        <v>0</v>
      </c>
      <c r="H170" s="88" t="b">
        <v>0</v>
      </c>
      <c r="I170" s="88" t="b">
        <v>0</v>
      </c>
      <c r="J170" s="88" t="b">
        <v>0</v>
      </c>
      <c r="K170" s="88" t="b">
        <v>0</v>
      </c>
      <c r="L170" s="88" t="b">
        <v>0</v>
      </c>
    </row>
    <row r="171" spans="1:12" ht="15">
      <c r="A171" s="88" t="s">
        <v>2416</v>
      </c>
      <c r="B171" s="88" t="s">
        <v>2340</v>
      </c>
      <c r="C171" s="88">
        <v>5</v>
      </c>
      <c r="D171" s="120">
        <v>0.002073644980068856</v>
      </c>
      <c r="E171" s="120">
        <v>2.5686709780098966</v>
      </c>
      <c r="F171" s="88" t="s">
        <v>2665</v>
      </c>
      <c r="G171" s="88" t="b">
        <v>0</v>
      </c>
      <c r="H171" s="88" t="b">
        <v>0</v>
      </c>
      <c r="I171" s="88" t="b">
        <v>0</v>
      </c>
      <c r="J171" s="88" t="b">
        <v>0</v>
      </c>
      <c r="K171" s="88" t="b">
        <v>0</v>
      </c>
      <c r="L171" s="88" t="b">
        <v>0</v>
      </c>
    </row>
    <row r="172" spans="1:12" ht="15">
      <c r="A172" s="88" t="s">
        <v>2340</v>
      </c>
      <c r="B172" s="88" t="s">
        <v>2417</v>
      </c>
      <c r="C172" s="88">
        <v>5</v>
      </c>
      <c r="D172" s="120">
        <v>0.002073644980068856</v>
      </c>
      <c r="E172" s="120">
        <v>2.5686709780098966</v>
      </c>
      <c r="F172" s="88" t="s">
        <v>2665</v>
      </c>
      <c r="G172" s="88" t="b">
        <v>0</v>
      </c>
      <c r="H172" s="88" t="b">
        <v>0</v>
      </c>
      <c r="I172" s="88" t="b">
        <v>0</v>
      </c>
      <c r="J172" s="88" t="b">
        <v>0</v>
      </c>
      <c r="K172" s="88" t="b">
        <v>0</v>
      </c>
      <c r="L172" s="88" t="b">
        <v>0</v>
      </c>
    </row>
    <row r="173" spans="1:12" ht="15">
      <c r="A173" s="88" t="s">
        <v>2417</v>
      </c>
      <c r="B173" s="88" t="s">
        <v>2418</v>
      </c>
      <c r="C173" s="88">
        <v>5</v>
      </c>
      <c r="D173" s="120">
        <v>0.002073644980068856</v>
      </c>
      <c r="E173" s="120">
        <v>2.869700973673878</v>
      </c>
      <c r="F173" s="88" t="s">
        <v>2665</v>
      </c>
      <c r="G173" s="88" t="b">
        <v>0</v>
      </c>
      <c r="H173" s="88" t="b">
        <v>0</v>
      </c>
      <c r="I173" s="88" t="b">
        <v>0</v>
      </c>
      <c r="J173" s="88" t="b">
        <v>1</v>
      </c>
      <c r="K173" s="88" t="b">
        <v>0</v>
      </c>
      <c r="L173" s="88" t="b">
        <v>0</v>
      </c>
    </row>
    <row r="174" spans="1:12" ht="15">
      <c r="A174" s="88" t="s">
        <v>2418</v>
      </c>
      <c r="B174" s="88" t="s">
        <v>2340</v>
      </c>
      <c r="C174" s="88">
        <v>5</v>
      </c>
      <c r="D174" s="120">
        <v>0.002073644980068856</v>
      </c>
      <c r="E174" s="120">
        <v>2.5686709780098966</v>
      </c>
      <c r="F174" s="88" t="s">
        <v>2665</v>
      </c>
      <c r="G174" s="88" t="b">
        <v>1</v>
      </c>
      <c r="H174" s="88" t="b">
        <v>0</v>
      </c>
      <c r="I174" s="88" t="b">
        <v>0</v>
      </c>
      <c r="J174" s="88" t="b">
        <v>0</v>
      </c>
      <c r="K174" s="88" t="b">
        <v>0</v>
      </c>
      <c r="L174" s="88" t="b">
        <v>0</v>
      </c>
    </row>
    <row r="175" spans="1:12" ht="15">
      <c r="A175" s="88" t="s">
        <v>2340</v>
      </c>
      <c r="B175" s="88" t="s">
        <v>2419</v>
      </c>
      <c r="C175" s="88">
        <v>5</v>
      </c>
      <c r="D175" s="120">
        <v>0.002073644980068856</v>
      </c>
      <c r="E175" s="120">
        <v>2.5686709780098966</v>
      </c>
      <c r="F175" s="88" t="s">
        <v>2665</v>
      </c>
      <c r="G175" s="88" t="b">
        <v>0</v>
      </c>
      <c r="H175" s="88" t="b">
        <v>0</v>
      </c>
      <c r="I175" s="88" t="b">
        <v>0</v>
      </c>
      <c r="J175" s="88" t="b">
        <v>0</v>
      </c>
      <c r="K175" s="88" t="b">
        <v>0</v>
      </c>
      <c r="L175" s="88" t="b">
        <v>0</v>
      </c>
    </row>
    <row r="176" spans="1:12" ht="15">
      <c r="A176" s="88" t="s">
        <v>2419</v>
      </c>
      <c r="B176" s="88" t="s">
        <v>2271</v>
      </c>
      <c r="C176" s="88">
        <v>5</v>
      </c>
      <c r="D176" s="120">
        <v>0.002073644980068856</v>
      </c>
      <c r="E176" s="120">
        <v>1.2164884598985342</v>
      </c>
      <c r="F176" s="88" t="s">
        <v>2665</v>
      </c>
      <c r="G176" s="88" t="b">
        <v>0</v>
      </c>
      <c r="H176" s="88" t="b">
        <v>0</v>
      </c>
      <c r="I176" s="88" t="b">
        <v>0</v>
      </c>
      <c r="J176" s="88" t="b">
        <v>0</v>
      </c>
      <c r="K176" s="88" t="b">
        <v>0</v>
      </c>
      <c r="L176" s="88" t="b">
        <v>0</v>
      </c>
    </row>
    <row r="177" spans="1:12" ht="15">
      <c r="A177" s="88" t="s">
        <v>2422</v>
      </c>
      <c r="B177" s="88" t="s">
        <v>2423</v>
      </c>
      <c r="C177" s="88">
        <v>4</v>
      </c>
      <c r="D177" s="120">
        <v>0.0017579553432866192</v>
      </c>
      <c r="E177" s="120">
        <v>2.966610986681934</v>
      </c>
      <c r="F177" s="88" t="s">
        <v>2665</v>
      </c>
      <c r="G177" s="88" t="b">
        <v>0</v>
      </c>
      <c r="H177" s="88" t="b">
        <v>0</v>
      </c>
      <c r="I177" s="88" t="b">
        <v>0</v>
      </c>
      <c r="J177" s="88" t="b">
        <v>0</v>
      </c>
      <c r="K177" s="88" t="b">
        <v>0</v>
      </c>
      <c r="L177" s="88" t="b">
        <v>0</v>
      </c>
    </row>
    <row r="178" spans="1:12" ht="15">
      <c r="A178" s="88" t="s">
        <v>2423</v>
      </c>
      <c r="B178" s="88" t="s">
        <v>2424</v>
      </c>
      <c r="C178" s="88">
        <v>4</v>
      </c>
      <c r="D178" s="120">
        <v>0.0017579553432866192</v>
      </c>
      <c r="E178" s="120">
        <v>2.966610986681934</v>
      </c>
      <c r="F178" s="88" t="s">
        <v>2665</v>
      </c>
      <c r="G178" s="88" t="b">
        <v>0</v>
      </c>
      <c r="H178" s="88" t="b">
        <v>0</v>
      </c>
      <c r="I178" s="88" t="b">
        <v>0</v>
      </c>
      <c r="J178" s="88" t="b">
        <v>0</v>
      </c>
      <c r="K178" s="88" t="b">
        <v>0</v>
      </c>
      <c r="L178" s="88" t="b">
        <v>0</v>
      </c>
    </row>
    <row r="179" spans="1:12" ht="15">
      <c r="A179" s="88" t="s">
        <v>2424</v>
      </c>
      <c r="B179" s="88" t="s">
        <v>2425</v>
      </c>
      <c r="C179" s="88">
        <v>4</v>
      </c>
      <c r="D179" s="120">
        <v>0.0017579553432866192</v>
      </c>
      <c r="E179" s="120">
        <v>2.966610986681934</v>
      </c>
      <c r="F179" s="88" t="s">
        <v>2665</v>
      </c>
      <c r="G179" s="88" t="b">
        <v>0</v>
      </c>
      <c r="H179" s="88" t="b">
        <v>0</v>
      </c>
      <c r="I179" s="88" t="b">
        <v>0</v>
      </c>
      <c r="J179" s="88" t="b">
        <v>0</v>
      </c>
      <c r="K179" s="88" t="b">
        <v>0</v>
      </c>
      <c r="L179" s="88" t="b">
        <v>0</v>
      </c>
    </row>
    <row r="180" spans="1:12" ht="15">
      <c r="A180" s="88" t="s">
        <v>2425</v>
      </c>
      <c r="B180" s="88" t="s">
        <v>2426</v>
      </c>
      <c r="C180" s="88">
        <v>4</v>
      </c>
      <c r="D180" s="120">
        <v>0.0017579553432866192</v>
      </c>
      <c r="E180" s="120">
        <v>2.966610986681934</v>
      </c>
      <c r="F180" s="88" t="s">
        <v>2665</v>
      </c>
      <c r="G180" s="88" t="b">
        <v>0</v>
      </c>
      <c r="H180" s="88" t="b">
        <v>0</v>
      </c>
      <c r="I180" s="88" t="b">
        <v>0</v>
      </c>
      <c r="J180" s="88" t="b">
        <v>0</v>
      </c>
      <c r="K180" s="88" t="b">
        <v>0</v>
      </c>
      <c r="L180" s="88" t="b">
        <v>0</v>
      </c>
    </row>
    <row r="181" spans="1:12" ht="15">
      <c r="A181" s="88" t="s">
        <v>2426</v>
      </c>
      <c r="B181" s="88" t="s">
        <v>2427</v>
      </c>
      <c r="C181" s="88">
        <v>4</v>
      </c>
      <c r="D181" s="120">
        <v>0.0017579553432866192</v>
      </c>
      <c r="E181" s="120">
        <v>2.966610986681934</v>
      </c>
      <c r="F181" s="88" t="s">
        <v>2665</v>
      </c>
      <c r="G181" s="88" t="b">
        <v>0</v>
      </c>
      <c r="H181" s="88" t="b">
        <v>0</v>
      </c>
      <c r="I181" s="88" t="b">
        <v>0</v>
      </c>
      <c r="J181" s="88" t="b">
        <v>0</v>
      </c>
      <c r="K181" s="88" t="b">
        <v>0</v>
      </c>
      <c r="L181" s="88" t="b">
        <v>0</v>
      </c>
    </row>
    <row r="182" spans="1:12" ht="15">
      <c r="A182" s="88" t="s">
        <v>2427</v>
      </c>
      <c r="B182" s="88" t="s">
        <v>2370</v>
      </c>
      <c r="C182" s="88">
        <v>4</v>
      </c>
      <c r="D182" s="120">
        <v>0.0017579553432866192</v>
      </c>
      <c r="E182" s="120">
        <v>2.665580991017953</v>
      </c>
      <c r="F182" s="88" t="s">
        <v>2665</v>
      </c>
      <c r="G182" s="88" t="b">
        <v>0</v>
      </c>
      <c r="H182" s="88" t="b">
        <v>0</v>
      </c>
      <c r="I182" s="88" t="b">
        <v>0</v>
      </c>
      <c r="J182" s="88" t="b">
        <v>0</v>
      </c>
      <c r="K182" s="88" t="b">
        <v>1</v>
      </c>
      <c r="L182" s="88" t="b">
        <v>0</v>
      </c>
    </row>
    <row r="183" spans="1:12" ht="15">
      <c r="A183" s="88" t="s">
        <v>2370</v>
      </c>
      <c r="B183" s="88" t="s">
        <v>2428</v>
      </c>
      <c r="C183" s="88">
        <v>4</v>
      </c>
      <c r="D183" s="120">
        <v>0.0017579553432866192</v>
      </c>
      <c r="E183" s="120">
        <v>2.665580991017953</v>
      </c>
      <c r="F183" s="88" t="s">
        <v>2665</v>
      </c>
      <c r="G183" s="88" t="b">
        <v>0</v>
      </c>
      <c r="H183" s="88" t="b">
        <v>1</v>
      </c>
      <c r="I183" s="88" t="b">
        <v>0</v>
      </c>
      <c r="J183" s="88" t="b">
        <v>0</v>
      </c>
      <c r="K183" s="88" t="b">
        <v>0</v>
      </c>
      <c r="L183" s="88" t="b">
        <v>0</v>
      </c>
    </row>
    <row r="184" spans="1:12" ht="15">
      <c r="A184" s="88" t="s">
        <v>2428</v>
      </c>
      <c r="B184" s="88" t="s">
        <v>2429</v>
      </c>
      <c r="C184" s="88">
        <v>4</v>
      </c>
      <c r="D184" s="120">
        <v>0.0017579553432866192</v>
      </c>
      <c r="E184" s="120">
        <v>2.966610986681934</v>
      </c>
      <c r="F184" s="88" t="s">
        <v>2665</v>
      </c>
      <c r="G184" s="88" t="b">
        <v>0</v>
      </c>
      <c r="H184" s="88" t="b">
        <v>0</v>
      </c>
      <c r="I184" s="88" t="b">
        <v>0</v>
      </c>
      <c r="J184" s="88" t="b">
        <v>0</v>
      </c>
      <c r="K184" s="88" t="b">
        <v>0</v>
      </c>
      <c r="L184" s="88" t="b">
        <v>0</v>
      </c>
    </row>
    <row r="185" spans="1:12" ht="15">
      <c r="A185" s="88" t="s">
        <v>2429</v>
      </c>
      <c r="B185" s="88" t="s">
        <v>2430</v>
      </c>
      <c r="C185" s="88">
        <v>4</v>
      </c>
      <c r="D185" s="120">
        <v>0.0017579553432866192</v>
      </c>
      <c r="E185" s="120">
        <v>2.966610986681934</v>
      </c>
      <c r="F185" s="88" t="s">
        <v>2665</v>
      </c>
      <c r="G185" s="88" t="b">
        <v>0</v>
      </c>
      <c r="H185" s="88" t="b">
        <v>0</v>
      </c>
      <c r="I185" s="88" t="b">
        <v>0</v>
      </c>
      <c r="J185" s="88" t="b">
        <v>0</v>
      </c>
      <c r="K185" s="88" t="b">
        <v>0</v>
      </c>
      <c r="L185" s="88" t="b">
        <v>0</v>
      </c>
    </row>
    <row r="186" spans="1:12" ht="15">
      <c r="A186" s="88" t="s">
        <v>2430</v>
      </c>
      <c r="B186" s="88" t="s">
        <v>2431</v>
      </c>
      <c r="C186" s="88">
        <v>4</v>
      </c>
      <c r="D186" s="120">
        <v>0.0017579553432866192</v>
      </c>
      <c r="E186" s="120">
        <v>2.966610986681934</v>
      </c>
      <c r="F186" s="88" t="s">
        <v>2665</v>
      </c>
      <c r="G186" s="88" t="b">
        <v>0</v>
      </c>
      <c r="H186" s="88" t="b">
        <v>0</v>
      </c>
      <c r="I186" s="88" t="b">
        <v>0</v>
      </c>
      <c r="J186" s="88" t="b">
        <v>0</v>
      </c>
      <c r="K186" s="88" t="b">
        <v>0</v>
      </c>
      <c r="L186" s="88" t="b">
        <v>0</v>
      </c>
    </row>
    <row r="187" spans="1:12" ht="15">
      <c r="A187" s="88" t="s">
        <v>2431</v>
      </c>
      <c r="B187" s="88" t="s">
        <v>2432</v>
      </c>
      <c r="C187" s="88">
        <v>4</v>
      </c>
      <c r="D187" s="120">
        <v>0.0017579553432866192</v>
      </c>
      <c r="E187" s="120">
        <v>2.966610986681934</v>
      </c>
      <c r="F187" s="88" t="s">
        <v>2665</v>
      </c>
      <c r="G187" s="88" t="b">
        <v>0</v>
      </c>
      <c r="H187" s="88" t="b">
        <v>0</v>
      </c>
      <c r="I187" s="88" t="b">
        <v>0</v>
      </c>
      <c r="J187" s="88" t="b">
        <v>0</v>
      </c>
      <c r="K187" s="88" t="b">
        <v>0</v>
      </c>
      <c r="L187" s="88" t="b">
        <v>0</v>
      </c>
    </row>
    <row r="188" spans="1:12" ht="15">
      <c r="A188" s="88" t="s">
        <v>2432</v>
      </c>
      <c r="B188" s="88" t="s">
        <v>2433</v>
      </c>
      <c r="C188" s="88">
        <v>4</v>
      </c>
      <c r="D188" s="120">
        <v>0.0017579553432866192</v>
      </c>
      <c r="E188" s="120">
        <v>2.966610986681934</v>
      </c>
      <c r="F188" s="88" t="s">
        <v>2665</v>
      </c>
      <c r="G188" s="88" t="b">
        <v>0</v>
      </c>
      <c r="H188" s="88" t="b">
        <v>0</v>
      </c>
      <c r="I188" s="88" t="b">
        <v>0</v>
      </c>
      <c r="J188" s="88" t="b">
        <v>0</v>
      </c>
      <c r="K188" s="88" t="b">
        <v>0</v>
      </c>
      <c r="L188" s="88" t="b">
        <v>0</v>
      </c>
    </row>
    <row r="189" spans="1:12" ht="15">
      <c r="A189" s="88" t="s">
        <v>2433</v>
      </c>
      <c r="B189" s="88" t="s">
        <v>2370</v>
      </c>
      <c r="C189" s="88">
        <v>4</v>
      </c>
      <c r="D189" s="120">
        <v>0.0017579553432866192</v>
      </c>
      <c r="E189" s="120">
        <v>2.665580991017953</v>
      </c>
      <c r="F189" s="88" t="s">
        <v>2665</v>
      </c>
      <c r="G189" s="88" t="b">
        <v>0</v>
      </c>
      <c r="H189" s="88" t="b">
        <v>0</v>
      </c>
      <c r="I189" s="88" t="b">
        <v>0</v>
      </c>
      <c r="J189" s="88" t="b">
        <v>0</v>
      </c>
      <c r="K189" s="88" t="b">
        <v>1</v>
      </c>
      <c r="L189" s="88" t="b">
        <v>0</v>
      </c>
    </row>
    <row r="190" spans="1:12" ht="15">
      <c r="A190" s="88" t="s">
        <v>2370</v>
      </c>
      <c r="B190" s="88" t="s">
        <v>2434</v>
      </c>
      <c r="C190" s="88">
        <v>4</v>
      </c>
      <c r="D190" s="120">
        <v>0.0017579553432866192</v>
      </c>
      <c r="E190" s="120">
        <v>2.665580991017953</v>
      </c>
      <c r="F190" s="88" t="s">
        <v>2665</v>
      </c>
      <c r="G190" s="88" t="b">
        <v>0</v>
      </c>
      <c r="H190" s="88" t="b">
        <v>1</v>
      </c>
      <c r="I190" s="88" t="b">
        <v>0</v>
      </c>
      <c r="J190" s="88" t="b">
        <v>0</v>
      </c>
      <c r="K190" s="88" t="b">
        <v>0</v>
      </c>
      <c r="L190" s="88" t="b">
        <v>0</v>
      </c>
    </row>
    <row r="191" spans="1:12" ht="15">
      <c r="A191" s="88" t="s">
        <v>2434</v>
      </c>
      <c r="B191" s="88" t="s">
        <v>2435</v>
      </c>
      <c r="C191" s="88">
        <v>4</v>
      </c>
      <c r="D191" s="120">
        <v>0.0017579553432866192</v>
      </c>
      <c r="E191" s="120">
        <v>2.966610986681934</v>
      </c>
      <c r="F191" s="88" t="s">
        <v>2665</v>
      </c>
      <c r="G191" s="88" t="b">
        <v>0</v>
      </c>
      <c r="H191" s="88" t="b">
        <v>0</v>
      </c>
      <c r="I191" s="88" t="b">
        <v>0</v>
      </c>
      <c r="J191" s="88" t="b">
        <v>0</v>
      </c>
      <c r="K191" s="88" t="b">
        <v>0</v>
      </c>
      <c r="L191" s="88" t="b">
        <v>0</v>
      </c>
    </row>
    <row r="192" spans="1:12" ht="15">
      <c r="A192" s="88" t="s">
        <v>2435</v>
      </c>
      <c r="B192" s="88" t="s">
        <v>2436</v>
      </c>
      <c r="C192" s="88">
        <v>4</v>
      </c>
      <c r="D192" s="120">
        <v>0.0017579553432866192</v>
      </c>
      <c r="E192" s="120">
        <v>2.966610986681934</v>
      </c>
      <c r="F192" s="88" t="s">
        <v>2665</v>
      </c>
      <c r="G192" s="88" t="b">
        <v>0</v>
      </c>
      <c r="H192" s="88" t="b">
        <v>0</v>
      </c>
      <c r="I192" s="88" t="b">
        <v>0</v>
      </c>
      <c r="J192" s="88" t="b">
        <v>0</v>
      </c>
      <c r="K192" s="88" t="b">
        <v>0</v>
      </c>
      <c r="L192" s="88" t="b">
        <v>0</v>
      </c>
    </row>
    <row r="193" spans="1:12" ht="15">
      <c r="A193" s="88" t="s">
        <v>2436</v>
      </c>
      <c r="B193" s="88" t="s">
        <v>2437</v>
      </c>
      <c r="C193" s="88">
        <v>4</v>
      </c>
      <c r="D193" s="120">
        <v>0.0017579553432866192</v>
      </c>
      <c r="E193" s="120">
        <v>2.966610986681934</v>
      </c>
      <c r="F193" s="88" t="s">
        <v>2665</v>
      </c>
      <c r="G193" s="88" t="b">
        <v>0</v>
      </c>
      <c r="H193" s="88" t="b">
        <v>0</v>
      </c>
      <c r="I193" s="88" t="b">
        <v>0</v>
      </c>
      <c r="J193" s="88" t="b">
        <v>0</v>
      </c>
      <c r="K193" s="88" t="b">
        <v>0</v>
      </c>
      <c r="L193" s="88" t="b">
        <v>0</v>
      </c>
    </row>
    <row r="194" spans="1:12" ht="15">
      <c r="A194" s="88" t="s">
        <v>2437</v>
      </c>
      <c r="B194" s="88" t="s">
        <v>2371</v>
      </c>
      <c r="C194" s="88">
        <v>4</v>
      </c>
      <c r="D194" s="120">
        <v>0.0017579553432866192</v>
      </c>
      <c r="E194" s="120">
        <v>2.665580991017953</v>
      </c>
      <c r="F194" s="88" t="s">
        <v>2665</v>
      </c>
      <c r="G194" s="88" t="b">
        <v>0</v>
      </c>
      <c r="H194" s="88" t="b">
        <v>0</v>
      </c>
      <c r="I194" s="88" t="b">
        <v>0</v>
      </c>
      <c r="J194" s="88" t="b">
        <v>0</v>
      </c>
      <c r="K194" s="88" t="b">
        <v>0</v>
      </c>
      <c r="L194" s="88" t="b">
        <v>0</v>
      </c>
    </row>
    <row r="195" spans="1:12" ht="15">
      <c r="A195" s="88" t="s">
        <v>2371</v>
      </c>
      <c r="B195" s="88" t="s">
        <v>2438</v>
      </c>
      <c r="C195" s="88">
        <v>4</v>
      </c>
      <c r="D195" s="120">
        <v>0.0017579553432866192</v>
      </c>
      <c r="E195" s="120">
        <v>2.7235729379956397</v>
      </c>
      <c r="F195" s="88" t="s">
        <v>2665</v>
      </c>
      <c r="G195" s="88" t="b">
        <v>0</v>
      </c>
      <c r="H195" s="88" t="b">
        <v>0</v>
      </c>
      <c r="I195" s="88" t="b">
        <v>0</v>
      </c>
      <c r="J195" s="88" t="b">
        <v>0</v>
      </c>
      <c r="K195" s="88" t="b">
        <v>0</v>
      </c>
      <c r="L195" s="88" t="b">
        <v>0</v>
      </c>
    </row>
    <row r="196" spans="1:12" ht="15">
      <c r="A196" s="88" t="s">
        <v>2438</v>
      </c>
      <c r="B196" s="88" t="s">
        <v>528</v>
      </c>
      <c r="C196" s="88">
        <v>4</v>
      </c>
      <c r="D196" s="120">
        <v>0.0017579553432866192</v>
      </c>
      <c r="E196" s="120">
        <v>2.966610986681934</v>
      </c>
      <c r="F196" s="88" t="s">
        <v>2665</v>
      </c>
      <c r="G196" s="88" t="b">
        <v>0</v>
      </c>
      <c r="H196" s="88" t="b">
        <v>0</v>
      </c>
      <c r="I196" s="88" t="b">
        <v>0</v>
      </c>
      <c r="J196" s="88" t="b">
        <v>0</v>
      </c>
      <c r="K196" s="88" t="b">
        <v>0</v>
      </c>
      <c r="L196" s="88" t="b">
        <v>0</v>
      </c>
    </row>
    <row r="197" spans="1:12" ht="15">
      <c r="A197" s="88" t="s">
        <v>528</v>
      </c>
      <c r="B197" s="88" t="s">
        <v>2439</v>
      </c>
      <c r="C197" s="88">
        <v>4</v>
      </c>
      <c r="D197" s="120">
        <v>0.0017579553432866192</v>
      </c>
      <c r="E197" s="120">
        <v>2.966610986681934</v>
      </c>
      <c r="F197" s="88" t="s">
        <v>2665</v>
      </c>
      <c r="G197" s="88" t="b">
        <v>0</v>
      </c>
      <c r="H197" s="88" t="b">
        <v>0</v>
      </c>
      <c r="I197" s="88" t="b">
        <v>0</v>
      </c>
      <c r="J197" s="88" t="b">
        <v>0</v>
      </c>
      <c r="K197" s="88" t="b">
        <v>0</v>
      </c>
      <c r="L197" s="88" t="b">
        <v>0</v>
      </c>
    </row>
    <row r="198" spans="1:12" ht="15">
      <c r="A198" s="88" t="s">
        <v>2439</v>
      </c>
      <c r="B198" s="88" t="s">
        <v>2271</v>
      </c>
      <c r="C198" s="88">
        <v>4</v>
      </c>
      <c r="D198" s="120">
        <v>0.0017579553432866192</v>
      </c>
      <c r="E198" s="120">
        <v>1.2164884598985342</v>
      </c>
      <c r="F198" s="88" t="s">
        <v>2665</v>
      </c>
      <c r="G198" s="88" t="b">
        <v>0</v>
      </c>
      <c r="H198" s="88" t="b">
        <v>0</v>
      </c>
      <c r="I198" s="88" t="b">
        <v>0</v>
      </c>
      <c r="J198" s="88" t="b">
        <v>0</v>
      </c>
      <c r="K198" s="88" t="b">
        <v>0</v>
      </c>
      <c r="L198" s="88" t="b">
        <v>0</v>
      </c>
    </row>
    <row r="199" spans="1:12" ht="15">
      <c r="A199" s="88" t="s">
        <v>2446</v>
      </c>
      <c r="B199" s="88" t="s">
        <v>2447</v>
      </c>
      <c r="C199" s="88">
        <v>4</v>
      </c>
      <c r="D199" s="120">
        <v>0.0017579553432866192</v>
      </c>
      <c r="E199" s="120">
        <v>2.966610986681934</v>
      </c>
      <c r="F199" s="88" t="s">
        <v>2665</v>
      </c>
      <c r="G199" s="88" t="b">
        <v>0</v>
      </c>
      <c r="H199" s="88" t="b">
        <v>0</v>
      </c>
      <c r="I199" s="88" t="b">
        <v>0</v>
      </c>
      <c r="J199" s="88" t="b">
        <v>0</v>
      </c>
      <c r="K199" s="88" t="b">
        <v>0</v>
      </c>
      <c r="L199" s="88" t="b">
        <v>0</v>
      </c>
    </row>
    <row r="200" spans="1:12" ht="15">
      <c r="A200" s="88" t="s">
        <v>2447</v>
      </c>
      <c r="B200" s="88" t="s">
        <v>2448</v>
      </c>
      <c r="C200" s="88">
        <v>4</v>
      </c>
      <c r="D200" s="120">
        <v>0.0017579553432866192</v>
      </c>
      <c r="E200" s="120">
        <v>2.966610986681934</v>
      </c>
      <c r="F200" s="88" t="s">
        <v>2665</v>
      </c>
      <c r="G200" s="88" t="b">
        <v>0</v>
      </c>
      <c r="H200" s="88" t="b">
        <v>0</v>
      </c>
      <c r="I200" s="88" t="b">
        <v>0</v>
      </c>
      <c r="J200" s="88" t="b">
        <v>0</v>
      </c>
      <c r="K200" s="88" t="b">
        <v>0</v>
      </c>
      <c r="L200" s="88" t="b">
        <v>0</v>
      </c>
    </row>
    <row r="201" spans="1:12" ht="15">
      <c r="A201" s="88" t="s">
        <v>2448</v>
      </c>
      <c r="B201" s="88" t="s">
        <v>2449</v>
      </c>
      <c r="C201" s="88">
        <v>4</v>
      </c>
      <c r="D201" s="120">
        <v>0.0017579553432866192</v>
      </c>
      <c r="E201" s="120">
        <v>2.966610986681934</v>
      </c>
      <c r="F201" s="88" t="s">
        <v>2665</v>
      </c>
      <c r="G201" s="88" t="b">
        <v>0</v>
      </c>
      <c r="H201" s="88" t="b">
        <v>0</v>
      </c>
      <c r="I201" s="88" t="b">
        <v>0</v>
      </c>
      <c r="J201" s="88" t="b">
        <v>0</v>
      </c>
      <c r="K201" s="88" t="b">
        <v>0</v>
      </c>
      <c r="L201" s="88" t="b">
        <v>0</v>
      </c>
    </row>
    <row r="202" spans="1:12" ht="15">
      <c r="A202" s="88" t="s">
        <v>2449</v>
      </c>
      <c r="B202" s="88" t="s">
        <v>2450</v>
      </c>
      <c r="C202" s="88">
        <v>4</v>
      </c>
      <c r="D202" s="120">
        <v>0.0017579553432866192</v>
      </c>
      <c r="E202" s="120">
        <v>2.966610986681934</v>
      </c>
      <c r="F202" s="88" t="s">
        <v>2665</v>
      </c>
      <c r="G202" s="88" t="b">
        <v>0</v>
      </c>
      <c r="H202" s="88" t="b">
        <v>0</v>
      </c>
      <c r="I202" s="88" t="b">
        <v>0</v>
      </c>
      <c r="J202" s="88" t="b">
        <v>0</v>
      </c>
      <c r="K202" s="88" t="b">
        <v>0</v>
      </c>
      <c r="L202" s="88" t="b">
        <v>0</v>
      </c>
    </row>
    <row r="203" spans="1:12" ht="15">
      <c r="A203" s="88" t="s">
        <v>2450</v>
      </c>
      <c r="B203" s="88" t="s">
        <v>2451</v>
      </c>
      <c r="C203" s="88">
        <v>4</v>
      </c>
      <c r="D203" s="120">
        <v>0.0017579553432866192</v>
      </c>
      <c r="E203" s="120">
        <v>2.966610986681934</v>
      </c>
      <c r="F203" s="88" t="s">
        <v>2665</v>
      </c>
      <c r="G203" s="88" t="b">
        <v>0</v>
      </c>
      <c r="H203" s="88" t="b">
        <v>0</v>
      </c>
      <c r="I203" s="88" t="b">
        <v>0</v>
      </c>
      <c r="J203" s="88" t="b">
        <v>0</v>
      </c>
      <c r="K203" s="88" t="b">
        <v>0</v>
      </c>
      <c r="L203" s="88" t="b">
        <v>0</v>
      </c>
    </row>
    <row r="204" spans="1:12" ht="15">
      <c r="A204" s="88" t="s">
        <v>2451</v>
      </c>
      <c r="B204" s="88" t="s">
        <v>2452</v>
      </c>
      <c r="C204" s="88">
        <v>4</v>
      </c>
      <c r="D204" s="120">
        <v>0.0017579553432866192</v>
      </c>
      <c r="E204" s="120">
        <v>2.966610986681934</v>
      </c>
      <c r="F204" s="88" t="s">
        <v>2665</v>
      </c>
      <c r="G204" s="88" t="b">
        <v>0</v>
      </c>
      <c r="H204" s="88" t="b">
        <v>0</v>
      </c>
      <c r="I204" s="88" t="b">
        <v>0</v>
      </c>
      <c r="J204" s="88" t="b">
        <v>0</v>
      </c>
      <c r="K204" s="88" t="b">
        <v>0</v>
      </c>
      <c r="L204" s="88" t="b">
        <v>0</v>
      </c>
    </row>
    <row r="205" spans="1:12" ht="15">
      <c r="A205" s="88" t="s">
        <v>2452</v>
      </c>
      <c r="B205" s="88" t="s">
        <v>2453</v>
      </c>
      <c r="C205" s="88">
        <v>4</v>
      </c>
      <c r="D205" s="120">
        <v>0.0017579553432866192</v>
      </c>
      <c r="E205" s="120">
        <v>2.966610986681934</v>
      </c>
      <c r="F205" s="88" t="s">
        <v>2665</v>
      </c>
      <c r="G205" s="88" t="b">
        <v>0</v>
      </c>
      <c r="H205" s="88" t="b">
        <v>0</v>
      </c>
      <c r="I205" s="88" t="b">
        <v>0</v>
      </c>
      <c r="J205" s="88" t="b">
        <v>0</v>
      </c>
      <c r="K205" s="88" t="b">
        <v>0</v>
      </c>
      <c r="L205" s="88" t="b">
        <v>0</v>
      </c>
    </row>
    <row r="206" spans="1:12" ht="15">
      <c r="A206" s="88" t="s">
        <v>2453</v>
      </c>
      <c r="B206" s="88" t="s">
        <v>2454</v>
      </c>
      <c r="C206" s="88">
        <v>4</v>
      </c>
      <c r="D206" s="120">
        <v>0.0017579553432866192</v>
      </c>
      <c r="E206" s="120">
        <v>2.966610986681934</v>
      </c>
      <c r="F206" s="88" t="s">
        <v>2665</v>
      </c>
      <c r="G206" s="88" t="b">
        <v>0</v>
      </c>
      <c r="H206" s="88" t="b">
        <v>0</v>
      </c>
      <c r="I206" s="88" t="b">
        <v>0</v>
      </c>
      <c r="J206" s="88" t="b">
        <v>0</v>
      </c>
      <c r="K206" s="88" t="b">
        <v>0</v>
      </c>
      <c r="L206" s="88" t="b">
        <v>0</v>
      </c>
    </row>
    <row r="207" spans="1:12" ht="15">
      <c r="A207" s="88" t="s">
        <v>2454</v>
      </c>
      <c r="B207" s="88" t="s">
        <v>2455</v>
      </c>
      <c r="C207" s="88">
        <v>4</v>
      </c>
      <c r="D207" s="120">
        <v>0.0017579553432866192</v>
      </c>
      <c r="E207" s="120">
        <v>2.966610986681934</v>
      </c>
      <c r="F207" s="88" t="s">
        <v>2665</v>
      </c>
      <c r="G207" s="88" t="b">
        <v>0</v>
      </c>
      <c r="H207" s="88" t="b">
        <v>0</v>
      </c>
      <c r="I207" s="88" t="b">
        <v>0</v>
      </c>
      <c r="J207" s="88" t="b">
        <v>0</v>
      </c>
      <c r="K207" s="88" t="b">
        <v>0</v>
      </c>
      <c r="L207" s="88" t="b">
        <v>0</v>
      </c>
    </row>
    <row r="208" spans="1:12" ht="15">
      <c r="A208" s="88" t="s">
        <v>2455</v>
      </c>
      <c r="B208" s="88" t="s">
        <v>2456</v>
      </c>
      <c r="C208" s="88">
        <v>4</v>
      </c>
      <c r="D208" s="120">
        <v>0.0017579553432866192</v>
      </c>
      <c r="E208" s="120">
        <v>2.966610986681934</v>
      </c>
      <c r="F208" s="88" t="s">
        <v>2665</v>
      </c>
      <c r="G208" s="88" t="b">
        <v>0</v>
      </c>
      <c r="H208" s="88" t="b">
        <v>0</v>
      </c>
      <c r="I208" s="88" t="b">
        <v>0</v>
      </c>
      <c r="J208" s="88" t="b">
        <v>0</v>
      </c>
      <c r="K208" s="88" t="b">
        <v>0</v>
      </c>
      <c r="L208" s="88" t="b">
        <v>0</v>
      </c>
    </row>
    <row r="209" spans="1:12" ht="15">
      <c r="A209" s="88" t="s">
        <v>2456</v>
      </c>
      <c r="B209" s="88" t="s">
        <v>2457</v>
      </c>
      <c r="C209" s="88">
        <v>4</v>
      </c>
      <c r="D209" s="120">
        <v>0.0017579553432866192</v>
      </c>
      <c r="E209" s="120">
        <v>2.966610986681934</v>
      </c>
      <c r="F209" s="88" t="s">
        <v>2665</v>
      </c>
      <c r="G209" s="88" t="b">
        <v>0</v>
      </c>
      <c r="H209" s="88" t="b">
        <v>0</v>
      </c>
      <c r="I209" s="88" t="b">
        <v>0</v>
      </c>
      <c r="J209" s="88" t="b">
        <v>0</v>
      </c>
      <c r="K209" s="88" t="b">
        <v>0</v>
      </c>
      <c r="L209" s="88" t="b">
        <v>0</v>
      </c>
    </row>
    <row r="210" spans="1:12" ht="15">
      <c r="A210" s="88" t="s">
        <v>2457</v>
      </c>
      <c r="B210" s="88" t="s">
        <v>2458</v>
      </c>
      <c r="C210" s="88">
        <v>4</v>
      </c>
      <c r="D210" s="120">
        <v>0.0017579553432866192</v>
      </c>
      <c r="E210" s="120">
        <v>2.966610986681934</v>
      </c>
      <c r="F210" s="88" t="s">
        <v>2665</v>
      </c>
      <c r="G210" s="88" t="b">
        <v>0</v>
      </c>
      <c r="H210" s="88" t="b">
        <v>0</v>
      </c>
      <c r="I210" s="88" t="b">
        <v>0</v>
      </c>
      <c r="J210" s="88" t="b">
        <v>0</v>
      </c>
      <c r="K210" s="88" t="b">
        <v>0</v>
      </c>
      <c r="L210" s="88" t="b">
        <v>0</v>
      </c>
    </row>
    <row r="211" spans="1:12" ht="15">
      <c r="A211" s="88" t="s">
        <v>2458</v>
      </c>
      <c r="B211" s="88" t="s">
        <v>2326</v>
      </c>
      <c r="C211" s="88">
        <v>4</v>
      </c>
      <c r="D211" s="120">
        <v>0.0017579553432866192</v>
      </c>
      <c r="E211" s="120">
        <v>2.966610986681934</v>
      </c>
      <c r="F211" s="88" t="s">
        <v>2665</v>
      </c>
      <c r="G211" s="88" t="b">
        <v>0</v>
      </c>
      <c r="H211" s="88" t="b">
        <v>0</v>
      </c>
      <c r="I211" s="88" t="b">
        <v>0</v>
      </c>
      <c r="J211" s="88" t="b">
        <v>0</v>
      </c>
      <c r="K211" s="88" t="b">
        <v>0</v>
      </c>
      <c r="L211" s="88" t="b">
        <v>0</v>
      </c>
    </row>
    <row r="212" spans="1:12" ht="15">
      <c r="A212" s="88" t="s">
        <v>2326</v>
      </c>
      <c r="B212" s="88" t="s">
        <v>2459</v>
      </c>
      <c r="C212" s="88">
        <v>4</v>
      </c>
      <c r="D212" s="120">
        <v>0.0017579553432866192</v>
      </c>
      <c r="E212" s="120">
        <v>2.364550995353972</v>
      </c>
      <c r="F212" s="88" t="s">
        <v>2665</v>
      </c>
      <c r="G212" s="88" t="b">
        <v>0</v>
      </c>
      <c r="H212" s="88" t="b">
        <v>0</v>
      </c>
      <c r="I212" s="88" t="b">
        <v>0</v>
      </c>
      <c r="J212" s="88" t="b">
        <v>0</v>
      </c>
      <c r="K212" s="88" t="b">
        <v>0</v>
      </c>
      <c r="L212" s="88" t="b">
        <v>0</v>
      </c>
    </row>
    <row r="213" spans="1:12" ht="15">
      <c r="A213" s="88" t="s">
        <v>2459</v>
      </c>
      <c r="B213" s="88" t="s">
        <v>2460</v>
      </c>
      <c r="C213" s="88">
        <v>4</v>
      </c>
      <c r="D213" s="120">
        <v>0.0017579553432866192</v>
      </c>
      <c r="E213" s="120">
        <v>2.966610986681934</v>
      </c>
      <c r="F213" s="88" t="s">
        <v>2665</v>
      </c>
      <c r="G213" s="88" t="b">
        <v>0</v>
      </c>
      <c r="H213" s="88" t="b">
        <v>0</v>
      </c>
      <c r="I213" s="88" t="b">
        <v>0</v>
      </c>
      <c r="J213" s="88" t="b">
        <v>0</v>
      </c>
      <c r="K213" s="88" t="b">
        <v>0</v>
      </c>
      <c r="L213" s="88" t="b">
        <v>0</v>
      </c>
    </row>
    <row r="214" spans="1:12" ht="15">
      <c r="A214" s="88" t="s">
        <v>2460</v>
      </c>
      <c r="B214" s="88" t="s">
        <v>2461</v>
      </c>
      <c r="C214" s="88">
        <v>4</v>
      </c>
      <c r="D214" s="120">
        <v>0.0017579553432866192</v>
      </c>
      <c r="E214" s="120">
        <v>2.966610986681934</v>
      </c>
      <c r="F214" s="88" t="s">
        <v>2665</v>
      </c>
      <c r="G214" s="88" t="b">
        <v>0</v>
      </c>
      <c r="H214" s="88" t="b">
        <v>0</v>
      </c>
      <c r="I214" s="88" t="b">
        <v>0</v>
      </c>
      <c r="J214" s="88" t="b">
        <v>0</v>
      </c>
      <c r="K214" s="88" t="b">
        <v>0</v>
      </c>
      <c r="L214" s="88" t="b">
        <v>0</v>
      </c>
    </row>
    <row r="215" spans="1:12" ht="15">
      <c r="A215" s="88" t="s">
        <v>2461</v>
      </c>
      <c r="B215" s="88" t="s">
        <v>2462</v>
      </c>
      <c r="C215" s="88">
        <v>4</v>
      </c>
      <c r="D215" s="120">
        <v>0.0017579553432866192</v>
      </c>
      <c r="E215" s="120">
        <v>2.966610986681934</v>
      </c>
      <c r="F215" s="88" t="s">
        <v>2665</v>
      </c>
      <c r="G215" s="88" t="b">
        <v>0</v>
      </c>
      <c r="H215" s="88" t="b">
        <v>0</v>
      </c>
      <c r="I215" s="88" t="b">
        <v>0</v>
      </c>
      <c r="J215" s="88" t="b">
        <v>0</v>
      </c>
      <c r="K215" s="88" t="b">
        <v>0</v>
      </c>
      <c r="L215" s="88" t="b">
        <v>0</v>
      </c>
    </row>
    <row r="216" spans="1:12" ht="15">
      <c r="A216" s="88" t="s">
        <v>2462</v>
      </c>
      <c r="B216" s="88" t="s">
        <v>2463</v>
      </c>
      <c r="C216" s="88">
        <v>4</v>
      </c>
      <c r="D216" s="120">
        <v>0.0017579553432866192</v>
      </c>
      <c r="E216" s="120">
        <v>2.966610986681934</v>
      </c>
      <c r="F216" s="88" t="s">
        <v>2665</v>
      </c>
      <c r="G216" s="88" t="b">
        <v>0</v>
      </c>
      <c r="H216" s="88" t="b">
        <v>0</v>
      </c>
      <c r="I216" s="88" t="b">
        <v>0</v>
      </c>
      <c r="J216" s="88" t="b">
        <v>0</v>
      </c>
      <c r="K216" s="88" t="b">
        <v>0</v>
      </c>
      <c r="L216" s="88" t="b">
        <v>0</v>
      </c>
    </row>
    <row r="217" spans="1:12" ht="15">
      <c r="A217" s="88" t="s">
        <v>2463</v>
      </c>
      <c r="B217" s="88" t="s">
        <v>2464</v>
      </c>
      <c r="C217" s="88">
        <v>4</v>
      </c>
      <c r="D217" s="120">
        <v>0.0017579553432866192</v>
      </c>
      <c r="E217" s="120">
        <v>2.966610986681934</v>
      </c>
      <c r="F217" s="88" t="s">
        <v>2665</v>
      </c>
      <c r="G217" s="88" t="b">
        <v>0</v>
      </c>
      <c r="H217" s="88" t="b">
        <v>0</v>
      </c>
      <c r="I217" s="88" t="b">
        <v>0</v>
      </c>
      <c r="J217" s="88" t="b">
        <v>0</v>
      </c>
      <c r="K217" s="88" t="b">
        <v>0</v>
      </c>
      <c r="L217" s="88" t="b">
        <v>0</v>
      </c>
    </row>
    <row r="218" spans="1:12" ht="15">
      <c r="A218" s="88" t="s">
        <v>2464</v>
      </c>
      <c r="B218" s="88" t="s">
        <v>529</v>
      </c>
      <c r="C218" s="88">
        <v>4</v>
      </c>
      <c r="D218" s="120">
        <v>0.0017579553432866192</v>
      </c>
      <c r="E218" s="120">
        <v>2.966610986681934</v>
      </c>
      <c r="F218" s="88" t="s">
        <v>2665</v>
      </c>
      <c r="G218" s="88" t="b">
        <v>0</v>
      </c>
      <c r="H218" s="88" t="b">
        <v>0</v>
      </c>
      <c r="I218" s="88" t="b">
        <v>0</v>
      </c>
      <c r="J218" s="88" t="b">
        <v>0</v>
      </c>
      <c r="K218" s="88" t="b">
        <v>0</v>
      </c>
      <c r="L218" s="88" t="b">
        <v>0</v>
      </c>
    </row>
    <row r="219" spans="1:12" ht="15">
      <c r="A219" s="88" t="s">
        <v>529</v>
      </c>
      <c r="B219" s="88" t="s">
        <v>2271</v>
      </c>
      <c r="C219" s="88">
        <v>4</v>
      </c>
      <c r="D219" s="120">
        <v>0.0017579553432866192</v>
      </c>
      <c r="E219" s="120">
        <v>1.2164884598985342</v>
      </c>
      <c r="F219" s="88" t="s">
        <v>2665</v>
      </c>
      <c r="G219" s="88" t="b">
        <v>0</v>
      </c>
      <c r="H219" s="88" t="b">
        <v>0</v>
      </c>
      <c r="I219" s="88" t="b">
        <v>0</v>
      </c>
      <c r="J219" s="88" t="b">
        <v>0</v>
      </c>
      <c r="K219" s="88" t="b">
        <v>0</v>
      </c>
      <c r="L219" s="88" t="b">
        <v>0</v>
      </c>
    </row>
    <row r="220" spans="1:12" ht="15">
      <c r="A220" s="88" t="s">
        <v>2271</v>
      </c>
      <c r="B220" s="88" t="s">
        <v>2338</v>
      </c>
      <c r="C220" s="88">
        <v>4</v>
      </c>
      <c r="D220" s="120">
        <v>0.0017579553432866192</v>
      </c>
      <c r="E220" s="120">
        <v>0.9352025224303102</v>
      </c>
      <c r="F220" s="88" t="s">
        <v>2665</v>
      </c>
      <c r="G220" s="88" t="b">
        <v>0</v>
      </c>
      <c r="H220" s="88" t="b">
        <v>0</v>
      </c>
      <c r="I220" s="88" t="b">
        <v>0</v>
      </c>
      <c r="J220" s="88" t="b">
        <v>0</v>
      </c>
      <c r="K220" s="88" t="b">
        <v>0</v>
      </c>
      <c r="L220" s="88" t="b">
        <v>0</v>
      </c>
    </row>
    <row r="221" spans="1:12" ht="15">
      <c r="A221" s="88" t="s">
        <v>2465</v>
      </c>
      <c r="B221" s="88" t="s">
        <v>2466</v>
      </c>
      <c r="C221" s="88">
        <v>4</v>
      </c>
      <c r="D221" s="120">
        <v>0.0017579553432866192</v>
      </c>
      <c r="E221" s="120">
        <v>2.966610986681934</v>
      </c>
      <c r="F221" s="88" t="s">
        <v>2665</v>
      </c>
      <c r="G221" s="88" t="b">
        <v>0</v>
      </c>
      <c r="H221" s="88" t="b">
        <v>0</v>
      </c>
      <c r="I221" s="88" t="b">
        <v>0</v>
      </c>
      <c r="J221" s="88" t="b">
        <v>0</v>
      </c>
      <c r="K221" s="88" t="b">
        <v>0</v>
      </c>
      <c r="L221" s="88" t="b">
        <v>0</v>
      </c>
    </row>
    <row r="222" spans="1:12" ht="15">
      <c r="A222" s="88" t="s">
        <v>2271</v>
      </c>
      <c r="B222" s="88" t="s">
        <v>539</v>
      </c>
      <c r="C222" s="88">
        <v>4</v>
      </c>
      <c r="D222" s="120">
        <v>0.0017579553432866192</v>
      </c>
      <c r="E222" s="120">
        <v>1.3331425311023477</v>
      </c>
      <c r="F222" s="88" t="s">
        <v>2665</v>
      </c>
      <c r="G222" s="88" t="b">
        <v>0</v>
      </c>
      <c r="H222" s="88" t="b">
        <v>0</v>
      </c>
      <c r="I222" s="88" t="b">
        <v>0</v>
      </c>
      <c r="J222" s="88" t="b">
        <v>0</v>
      </c>
      <c r="K222" s="88" t="b">
        <v>0</v>
      </c>
      <c r="L222" s="88" t="b">
        <v>0</v>
      </c>
    </row>
    <row r="223" spans="1:12" ht="15">
      <c r="A223" s="88" t="s">
        <v>539</v>
      </c>
      <c r="B223" s="88" t="s">
        <v>2298</v>
      </c>
      <c r="C223" s="88">
        <v>4</v>
      </c>
      <c r="D223" s="120">
        <v>0.0017579553432866192</v>
      </c>
      <c r="E223" s="120">
        <v>2.1884597362982907</v>
      </c>
      <c r="F223" s="88" t="s">
        <v>2665</v>
      </c>
      <c r="G223" s="88" t="b">
        <v>0</v>
      </c>
      <c r="H223" s="88" t="b">
        <v>0</v>
      </c>
      <c r="I223" s="88" t="b">
        <v>0</v>
      </c>
      <c r="J223" s="88" t="b">
        <v>0</v>
      </c>
      <c r="K223" s="88" t="b">
        <v>0</v>
      </c>
      <c r="L223" s="88" t="b">
        <v>0</v>
      </c>
    </row>
    <row r="224" spans="1:12" ht="15">
      <c r="A224" s="88" t="s">
        <v>2377</v>
      </c>
      <c r="B224" s="88" t="s">
        <v>2468</v>
      </c>
      <c r="C224" s="88">
        <v>4</v>
      </c>
      <c r="D224" s="120">
        <v>0.0017579553432866192</v>
      </c>
      <c r="E224" s="120">
        <v>2.665580991017953</v>
      </c>
      <c r="F224" s="88" t="s">
        <v>2665</v>
      </c>
      <c r="G224" s="88" t="b">
        <v>0</v>
      </c>
      <c r="H224" s="88" t="b">
        <v>0</v>
      </c>
      <c r="I224" s="88" t="b">
        <v>0</v>
      </c>
      <c r="J224" s="88" t="b">
        <v>0</v>
      </c>
      <c r="K224" s="88" t="b">
        <v>0</v>
      </c>
      <c r="L224" s="88" t="b">
        <v>0</v>
      </c>
    </row>
    <row r="225" spans="1:12" ht="15">
      <c r="A225" s="88" t="s">
        <v>2468</v>
      </c>
      <c r="B225" s="88" t="s">
        <v>2377</v>
      </c>
      <c r="C225" s="88">
        <v>4</v>
      </c>
      <c r="D225" s="120">
        <v>0.0017579553432866192</v>
      </c>
      <c r="E225" s="120">
        <v>2.966610986681934</v>
      </c>
      <c r="F225" s="88" t="s">
        <v>2665</v>
      </c>
      <c r="G225" s="88" t="b">
        <v>0</v>
      </c>
      <c r="H225" s="88" t="b">
        <v>0</v>
      </c>
      <c r="I225" s="88" t="b">
        <v>0</v>
      </c>
      <c r="J225" s="88" t="b">
        <v>0</v>
      </c>
      <c r="K225" s="88" t="b">
        <v>0</v>
      </c>
      <c r="L225" s="88" t="b">
        <v>0</v>
      </c>
    </row>
    <row r="226" spans="1:12" ht="15">
      <c r="A226" s="88" t="s">
        <v>2377</v>
      </c>
      <c r="B226" s="88" t="s">
        <v>2469</v>
      </c>
      <c r="C226" s="88">
        <v>4</v>
      </c>
      <c r="D226" s="120">
        <v>0.0017579553432866192</v>
      </c>
      <c r="E226" s="120">
        <v>2.665580991017953</v>
      </c>
      <c r="F226" s="88" t="s">
        <v>2665</v>
      </c>
      <c r="G226" s="88" t="b">
        <v>0</v>
      </c>
      <c r="H226" s="88" t="b">
        <v>0</v>
      </c>
      <c r="I226" s="88" t="b">
        <v>0</v>
      </c>
      <c r="J226" s="88" t="b">
        <v>0</v>
      </c>
      <c r="K226" s="88" t="b">
        <v>1</v>
      </c>
      <c r="L226" s="88" t="b">
        <v>0</v>
      </c>
    </row>
    <row r="227" spans="1:12" ht="15">
      <c r="A227" s="88" t="s">
        <v>2469</v>
      </c>
      <c r="B227" s="88" t="s">
        <v>2296</v>
      </c>
      <c r="C227" s="88">
        <v>4</v>
      </c>
      <c r="D227" s="120">
        <v>0.0017579553432866192</v>
      </c>
      <c r="E227" s="120">
        <v>2.170730969337859</v>
      </c>
      <c r="F227" s="88" t="s">
        <v>2665</v>
      </c>
      <c r="G227" s="88" t="b">
        <v>0</v>
      </c>
      <c r="H227" s="88" t="b">
        <v>1</v>
      </c>
      <c r="I227" s="88" t="b">
        <v>0</v>
      </c>
      <c r="J227" s="88" t="b">
        <v>0</v>
      </c>
      <c r="K227" s="88" t="b">
        <v>0</v>
      </c>
      <c r="L227" s="88" t="b">
        <v>0</v>
      </c>
    </row>
    <row r="228" spans="1:12" ht="15">
      <c r="A228" s="88" t="s">
        <v>2296</v>
      </c>
      <c r="B228" s="88" t="s">
        <v>2470</v>
      </c>
      <c r="C228" s="88">
        <v>4</v>
      </c>
      <c r="D228" s="120">
        <v>0.0017579553432866192</v>
      </c>
      <c r="E228" s="120">
        <v>2.170730969337859</v>
      </c>
      <c r="F228" s="88" t="s">
        <v>2665</v>
      </c>
      <c r="G228" s="88" t="b">
        <v>0</v>
      </c>
      <c r="H228" s="88" t="b">
        <v>0</v>
      </c>
      <c r="I228" s="88" t="b">
        <v>0</v>
      </c>
      <c r="J228" s="88" t="b">
        <v>0</v>
      </c>
      <c r="K228" s="88" t="b">
        <v>0</v>
      </c>
      <c r="L228" s="88" t="b">
        <v>0</v>
      </c>
    </row>
    <row r="229" spans="1:12" ht="15">
      <c r="A229" s="88" t="s">
        <v>2470</v>
      </c>
      <c r="B229" s="88" t="s">
        <v>2471</v>
      </c>
      <c r="C229" s="88">
        <v>4</v>
      </c>
      <c r="D229" s="120">
        <v>0.0017579553432866192</v>
      </c>
      <c r="E229" s="120">
        <v>2.966610986681934</v>
      </c>
      <c r="F229" s="88" t="s">
        <v>2665</v>
      </c>
      <c r="G229" s="88" t="b">
        <v>0</v>
      </c>
      <c r="H229" s="88" t="b">
        <v>0</v>
      </c>
      <c r="I229" s="88" t="b">
        <v>0</v>
      </c>
      <c r="J229" s="88" t="b">
        <v>1</v>
      </c>
      <c r="K229" s="88" t="b">
        <v>0</v>
      </c>
      <c r="L229" s="88" t="b">
        <v>0</v>
      </c>
    </row>
    <row r="230" spans="1:12" ht="15">
      <c r="A230" s="88" t="s">
        <v>2471</v>
      </c>
      <c r="B230" s="88" t="s">
        <v>2472</v>
      </c>
      <c r="C230" s="88">
        <v>4</v>
      </c>
      <c r="D230" s="120">
        <v>0.0017579553432866192</v>
      </c>
      <c r="E230" s="120">
        <v>2.966610986681934</v>
      </c>
      <c r="F230" s="88" t="s">
        <v>2665</v>
      </c>
      <c r="G230" s="88" t="b">
        <v>1</v>
      </c>
      <c r="H230" s="88" t="b">
        <v>0</v>
      </c>
      <c r="I230" s="88" t="b">
        <v>0</v>
      </c>
      <c r="J230" s="88" t="b">
        <v>0</v>
      </c>
      <c r="K230" s="88" t="b">
        <v>0</v>
      </c>
      <c r="L230" s="88" t="b">
        <v>0</v>
      </c>
    </row>
    <row r="231" spans="1:12" ht="15">
      <c r="A231" s="88" t="s">
        <v>2472</v>
      </c>
      <c r="B231" s="88" t="s">
        <v>2473</v>
      </c>
      <c r="C231" s="88">
        <v>4</v>
      </c>
      <c r="D231" s="120">
        <v>0.0017579553432866192</v>
      </c>
      <c r="E231" s="120">
        <v>2.966610986681934</v>
      </c>
      <c r="F231" s="88" t="s">
        <v>2665</v>
      </c>
      <c r="G231" s="88" t="b">
        <v>0</v>
      </c>
      <c r="H231" s="88" t="b">
        <v>0</v>
      </c>
      <c r="I231" s="88" t="b">
        <v>0</v>
      </c>
      <c r="J231" s="88" t="b">
        <v>0</v>
      </c>
      <c r="K231" s="88" t="b">
        <v>0</v>
      </c>
      <c r="L231" s="88" t="b">
        <v>0</v>
      </c>
    </row>
    <row r="232" spans="1:12" ht="15">
      <c r="A232" s="88" t="s">
        <v>2473</v>
      </c>
      <c r="B232" s="88" t="s">
        <v>2474</v>
      </c>
      <c r="C232" s="88">
        <v>4</v>
      </c>
      <c r="D232" s="120">
        <v>0.0017579553432866192</v>
      </c>
      <c r="E232" s="120">
        <v>2.966610986681934</v>
      </c>
      <c r="F232" s="88" t="s">
        <v>2665</v>
      </c>
      <c r="G232" s="88" t="b">
        <v>0</v>
      </c>
      <c r="H232" s="88" t="b">
        <v>0</v>
      </c>
      <c r="I232" s="88" t="b">
        <v>0</v>
      </c>
      <c r="J232" s="88" t="b">
        <v>0</v>
      </c>
      <c r="K232" s="88" t="b">
        <v>0</v>
      </c>
      <c r="L232" s="88" t="b">
        <v>0</v>
      </c>
    </row>
    <row r="233" spans="1:12" ht="15">
      <c r="A233" s="88" t="s">
        <v>2474</v>
      </c>
      <c r="B233" s="88" t="s">
        <v>2475</v>
      </c>
      <c r="C233" s="88">
        <v>4</v>
      </c>
      <c r="D233" s="120">
        <v>0.0017579553432866192</v>
      </c>
      <c r="E233" s="120">
        <v>2.966610986681934</v>
      </c>
      <c r="F233" s="88" t="s">
        <v>2665</v>
      </c>
      <c r="G233" s="88" t="b">
        <v>0</v>
      </c>
      <c r="H233" s="88" t="b">
        <v>0</v>
      </c>
      <c r="I233" s="88" t="b">
        <v>0</v>
      </c>
      <c r="J233" s="88" t="b">
        <v>0</v>
      </c>
      <c r="K233" s="88" t="b">
        <v>0</v>
      </c>
      <c r="L233" s="88" t="b">
        <v>0</v>
      </c>
    </row>
    <row r="234" spans="1:12" ht="15">
      <c r="A234" s="88" t="s">
        <v>2475</v>
      </c>
      <c r="B234" s="88" t="s">
        <v>2476</v>
      </c>
      <c r="C234" s="88">
        <v>4</v>
      </c>
      <c r="D234" s="120">
        <v>0.0017579553432866192</v>
      </c>
      <c r="E234" s="120">
        <v>2.966610986681934</v>
      </c>
      <c r="F234" s="88" t="s">
        <v>2665</v>
      </c>
      <c r="G234" s="88" t="b">
        <v>0</v>
      </c>
      <c r="H234" s="88" t="b">
        <v>0</v>
      </c>
      <c r="I234" s="88" t="b">
        <v>0</v>
      </c>
      <c r="J234" s="88" t="b">
        <v>0</v>
      </c>
      <c r="K234" s="88" t="b">
        <v>0</v>
      </c>
      <c r="L234" s="88" t="b">
        <v>0</v>
      </c>
    </row>
    <row r="235" spans="1:12" ht="15">
      <c r="A235" s="88" t="s">
        <v>2476</v>
      </c>
      <c r="B235" s="88" t="s">
        <v>2271</v>
      </c>
      <c r="C235" s="88">
        <v>4</v>
      </c>
      <c r="D235" s="120">
        <v>0.0017579553432866192</v>
      </c>
      <c r="E235" s="120">
        <v>1.2164884598985342</v>
      </c>
      <c r="F235" s="88" t="s">
        <v>2665</v>
      </c>
      <c r="G235" s="88" t="b">
        <v>0</v>
      </c>
      <c r="H235" s="88" t="b">
        <v>0</v>
      </c>
      <c r="I235" s="88" t="b">
        <v>0</v>
      </c>
      <c r="J235" s="88" t="b">
        <v>0</v>
      </c>
      <c r="K235" s="88" t="b">
        <v>0</v>
      </c>
      <c r="L235" s="88" t="b">
        <v>0</v>
      </c>
    </row>
    <row r="236" spans="1:12" ht="15">
      <c r="A236" s="88" t="s">
        <v>2277</v>
      </c>
      <c r="B236" s="88" t="s">
        <v>2275</v>
      </c>
      <c r="C236" s="88">
        <v>4</v>
      </c>
      <c r="D236" s="120">
        <v>0.0017579553432866192</v>
      </c>
      <c r="E236" s="120">
        <v>0.9140132233603722</v>
      </c>
      <c r="F236" s="88" t="s">
        <v>2665</v>
      </c>
      <c r="G236" s="88" t="b">
        <v>0</v>
      </c>
      <c r="H236" s="88" t="b">
        <v>0</v>
      </c>
      <c r="I236" s="88" t="b">
        <v>0</v>
      </c>
      <c r="J236" s="88" t="b">
        <v>0</v>
      </c>
      <c r="K236" s="88" t="b">
        <v>0</v>
      </c>
      <c r="L236" s="88" t="b">
        <v>0</v>
      </c>
    </row>
    <row r="237" spans="1:12" ht="15">
      <c r="A237" s="88" t="s">
        <v>2275</v>
      </c>
      <c r="B237" s="88" t="s">
        <v>2297</v>
      </c>
      <c r="C237" s="88">
        <v>4</v>
      </c>
      <c r="D237" s="120">
        <v>0.0017579553432866192</v>
      </c>
      <c r="E237" s="120">
        <v>1.1777358709065178</v>
      </c>
      <c r="F237" s="88" t="s">
        <v>2665</v>
      </c>
      <c r="G237" s="88" t="b">
        <v>0</v>
      </c>
      <c r="H237" s="88" t="b">
        <v>0</v>
      </c>
      <c r="I237" s="88" t="b">
        <v>0</v>
      </c>
      <c r="J237" s="88" t="b">
        <v>0</v>
      </c>
      <c r="K237" s="88" t="b">
        <v>0</v>
      </c>
      <c r="L237" s="88" t="b">
        <v>0</v>
      </c>
    </row>
    <row r="238" spans="1:12" ht="15">
      <c r="A238" s="88" t="s">
        <v>2297</v>
      </c>
      <c r="B238" s="88" t="s">
        <v>2477</v>
      </c>
      <c r="C238" s="88">
        <v>4</v>
      </c>
      <c r="D238" s="120">
        <v>0.0017579553432866192</v>
      </c>
      <c r="E238" s="120">
        <v>2.1884597362982907</v>
      </c>
      <c r="F238" s="88" t="s">
        <v>2665</v>
      </c>
      <c r="G238" s="88" t="b">
        <v>0</v>
      </c>
      <c r="H238" s="88" t="b">
        <v>0</v>
      </c>
      <c r="I238" s="88" t="b">
        <v>0</v>
      </c>
      <c r="J238" s="88" t="b">
        <v>0</v>
      </c>
      <c r="K238" s="88" t="b">
        <v>0</v>
      </c>
      <c r="L238" s="88" t="b">
        <v>0</v>
      </c>
    </row>
    <row r="239" spans="1:12" ht="15">
      <c r="A239" s="88" t="s">
        <v>2477</v>
      </c>
      <c r="B239" s="88" t="s">
        <v>2478</v>
      </c>
      <c r="C239" s="88">
        <v>4</v>
      </c>
      <c r="D239" s="120">
        <v>0.0017579553432866192</v>
      </c>
      <c r="E239" s="120">
        <v>2.966610986681934</v>
      </c>
      <c r="F239" s="88" t="s">
        <v>2665</v>
      </c>
      <c r="G239" s="88" t="b">
        <v>0</v>
      </c>
      <c r="H239" s="88" t="b">
        <v>0</v>
      </c>
      <c r="I239" s="88" t="b">
        <v>0</v>
      </c>
      <c r="J239" s="88" t="b">
        <v>0</v>
      </c>
      <c r="K239" s="88" t="b">
        <v>0</v>
      </c>
      <c r="L239" s="88" t="b">
        <v>0</v>
      </c>
    </row>
    <row r="240" spans="1:12" ht="15">
      <c r="A240" s="88" t="s">
        <v>2478</v>
      </c>
      <c r="B240" s="88" t="s">
        <v>2479</v>
      </c>
      <c r="C240" s="88">
        <v>4</v>
      </c>
      <c r="D240" s="120">
        <v>0.0017579553432866192</v>
      </c>
      <c r="E240" s="120">
        <v>2.966610986681934</v>
      </c>
      <c r="F240" s="88" t="s">
        <v>2665</v>
      </c>
      <c r="G240" s="88" t="b">
        <v>0</v>
      </c>
      <c r="H240" s="88" t="b">
        <v>0</v>
      </c>
      <c r="I240" s="88" t="b">
        <v>0</v>
      </c>
      <c r="J240" s="88" t="b">
        <v>0</v>
      </c>
      <c r="K240" s="88" t="b">
        <v>0</v>
      </c>
      <c r="L240" s="88" t="b">
        <v>0</v>
      </c>
    </row>
    <row r="241" spans="1:12" ht="15">
      <c r="A241" s="88" t="s">
        <v>2479</v>
      </c>
      <c r="B241" s="88" t="s">
        <v>2480</v>
      </c>
      <c r="C241" s="88">
        <v>4</v>
      </c>
      <c r="D241" s="120">
        <v>0.0017579553432866192</v>
      </c>
      <c r="E241" s="120">
        <v>2.966610986681934</v>
      </c>
      <c r="F241" s="88" t="s">
        <v>2665</v>
      </c>
      <c r="G241" s="88" t="b">
        <v>0</v>
      </c>
      <c r="H241" s="88" t="b">
        <v>0</v>
      </c>
      <c r="I241" s="88" t="b">
        <v>0</v>
      </c>
      <c r="J241" s="88" t="b">
        <v>0</v>
      </c>
      <c r="K241" s="88" t="b">
        <v>0</v>
      </c>
      <c r="L241" s="88" t="b">
        <v>0</v>
      </c>
    </row>
    <row r="242" spans="1:12" ht="15">
      <c r="A242" s="88" t="s">
        <v>2480</v>
      </c>
      <c r="B242" s="88" t="s">
        <v>699</v>
      </c>
      <c r="C242" s="88">
        <v>4</v>
      </c>
      <c r="D242" s="120">
        <v>0.0017579553432866192</v>
      </c>
      <c r="E242" s="120">
        <v>1.493124016617366</v>
      </c>
      <c r="F242" s="88" t="s">
        <v>2665</v>
      </c>
      <c r="G242" s="88" t="b">
        <v>0</v>
      </c>
      <c r="H242" s="88" t="b">
        <v>0</v>
      </c>
      <c r="I242" s="88" t="b">
        <v>0</v>
      </c>
      <c r="J242" s="88" t="b">
        <v>0</v>
      </c>
      <c r="K242" s="88" t="b">
        <v>0</v>
      </c>
      <c r="L242" s="88" t="b">
        <v>0</v>
      </c>
    </row>
    <row r="243" spans="1:12" ht="15">
      <c r="A243" s="88" t="s">
        <v>699</v>
      </c>
      <c r="B243" s="88" t="s">
        <v>2481</v>
      </c>
      <c r="C243" s="88">
        <v>4</v>
      </c>
      <c r="D243" s="120">
        <v>0.0017579553432866192</v>
      </c>
      <c r="E243" s="120">
        <v>1.4787658665704988</v>
      </c>
      <c r="F243" s="88" t="s">
        <v>2665</v>
      </c>
      <c r="G243" s="88" t="b">
        <v>0</v>
      </c>
      <c r="H243" s="88" t="b">
        <v>0</v>
      </c>
      <c r="I243" s="88" t="b">
        <v>0</v>
      </c>
      <c r="J243" s="88" t="b">
        <v>0</v>
      </c>
      <c r="K243" s="88" t="b">
        <v>0</v>
      </c>
      <c r="L243" s="88" t="b">
        <v>0</v>
      </c>
    </row>
    <row r="244" spans="1:12" ht="15">
      <c r="A244" s="88" t="s">
        <v>2481</v>
      </c>
      <c r="B244" s="88" t="s">
        <v>530</v>
      </c>
      <c r="C244" s="88">
        <v>4</v>
      </c>
      <c r="D244" s="120">
        <v>0.0017579553432866192</v>
      </c>
      <c r="E244" s="120">
        <v>2.966610986681934</v>
      </c>
      <c r="F244" s="88" t="s">
        <v>2665</v>
      </c>
      <c r="G244" s="88" t="b">
        <v>0</v>
      </c>
      <c r="H244" s="88" t="b">
        <v>0</v>
      </c>
      <c r="I244" s="88" t="b">
        <v>0</v>
      </c>
      <c r="J244" s="88" t="b">
        <v>0</v>
      </c>
      <c r="K244" s="88" t="b">
        <v>0</v>
      </c>
      <c r="L244" s="88" t="b">
        <v>0</v>
      </c>
    </row>
    <row r="245" spans="1:12" ht="15">
      <c r="A245" s="88" t="s">
        <v>530</v>
      </c>
      <c r="B245" s="88" t="s">
        <v>2482</v>
      </c>
      <c r="C245" s="88">
        <v>4</v>
      </c>
      <c r="D245" s="120">
        <v>0.0017579553432866192</v>
      </c>
      <c r="E245" s="120">
        <v>2.966610986681934</v>
      </c>
      <c r="F245" s="88" t="s">
        <v>2665</v>
      </c>
      <c r="G245" s="88" t="b">
        <v>0</v>
      </c>
      <c r="H245" s="88" t="b">
        <v>0</v>
      </c>
      <c r="I245" s="88" t="b">
        <v>0</v>
      </c>
      <c r="J245" s="88" t="b">
        <v>0</v>
      </c>
      <c r="K245" s="88" t="b">
        <v>0</v>
      </c>
      <c r="L245" s="88" t="b">
        <v>0</v>
      </c>
    </row>
    <row r="246" spans="1:12" ht="15">
      <c r="A246" s="88" t="s">
        <v>2482</v>
      </c>
      <c r="B246" s="88" t="s">
        <v>2483</v>
      </c>
      <c r="C246" s="88">
        <v>4</v>
      </c>
      <c r="D246" s="120">
        <v>0.0017579553432866192</v>
      </c>
      <c r="E246" s="120">
        <v>2.966610986681934</v>
      </c>
      <c r="F246" s="88" t="s">
        <v>2665</v>
      </c>
      <c r="G246" s="88" t="b">
        <v>0</v>
      </c>
      <c r="H246" s="88" t="b">
        <v>0</v>
      </c>
      <c r="I246" s="88" t="b">
        <v>0</v>
      </c>
      <c r="J246" s="88" t="b">
        <v>0</v>
      </c>
      <c r="K246" s="88" t="b">
        <v>0</v>
      </c>
      <c r="L246" s="88" t="b">
        <v>0</v>
      </c>
    </row>
    <row r="247" spans="1:12" ht="15">
      <c r="A247" s="88" t="s">
        <v>2483</v>
      </c>
      <c r="B247" s="88" t="s">
        <v>2484</v>
      </c>
      <c r="C247" s="88">
        <v>4</v>
      </c>
      <c r="D247" s="120">
        <v>0.0017579553432866192</v>
      </c>
      <c r="E247" s="120">
        <v>2.966610986681934</v>
      </c>
      <c r="F247" s="88" t="s">
        <v>2665</v>
      </c>
      <c r="G247" s="88" t="b">
        <v>0</v>
      </c>
      <c r="H247" s="88" t="b">
        <v>0</v>
      </c>
      <c r="I247" s="88" t="b">
        <v>0</v>
      </c>
      <c r="J247" s="88" t="b">
        <v>0</v>
      </c>
      <c r="K247" s="88" t="b">
        <v>0</v>
      </c>
      <c r="L247" s="88" t="b">
        <v>0</v>
      </c>
    </row>
    <row r="248" spans="1:12" ht="15">
      <c r="A248" s="88" t="s">
        <v>2484</v>
      </c>
      <c r="B248" s="88" t="s">
        <v>2485</v>
      </c>
      <c r="C248" s="88">
        <v>4</v>
      </c>
      <c r="D248" s="120">
        <v>0.0017579553432866192</v>
      </c>
      <c r="E248" s="120">
        <v>2.966610986681934</v>
      </c>
      <c r="F248" s="88" t="s">
        <v>2665</v>
      </c>
      <c r="G248" s="88" t="b">
        <v>0</v>
      </c>
      <c r="H248" s="88" t="b">
        <v>0</v>
      </c>
      <c r="I248" s="88" t="b">
        <v>0</v>
      </c>
      <c r="J248" s="88" t="b">
        <v>0</v>
      </c>
      <c r="K248" s="88" t="b">
        <v>0</v>
      </c>
      <c r="L248" s="88" t="b">
        <v>0</v>
      </c>
    </row>
    <row r="249" spans="1:12" ht="15">
      <c r="A249" s="88" t="s">
        <v>2485</v>
      </c>
      <c r="B249" s="88" t="s">
        <v>2421</v>
      </c>
      <c r="C249" s="88">
        <v>4</v>
      </c>
      <c r="D249" s="120">
        <v>0.0017579553432866192</v>
      </c>
      <c r="E249" s="120">
        <v>2.869700973673878</v>
      </c>
      <c r="F249" s="88" t="s">
        <v>2665</v>
      </c>
      <c r="G249" s="88" t="b">
        <v>0</v>
      </c>
      <c r="H249" s="88" t="b">
        <v>0</v>
      </c>
      <c r="I249" s="88" t="b">
        <v>0</v>
      </c>
      <c r="J249" s="88" t="b">
        <v>0</v>
      </c>
      <c r="K249" s="88" t="b">
        <v>0</v>
      </c>
      <c r="L249" s="88" t="b">
        <v>0</v>
      </c>
    </row>
    <row r="250" spans="1:12" ht="15">
      <c r="A250" s="88" t="s">
        <v>2421</v>
      </c>
      <c r="B250" s="88" t="s">
        <v>2378</v>
      </c>
      <c r="C250" s="88">
        <v>4</v>
      </c>
      <c r="D250" s="120">
        <v>0.0017579553432866192</v>
      </c>
      <c r="E250" s="120">
        <v>2.5686709780098966</v>
      </c>
      <c r="F250" s="88" t="s">
        <v>2665</v>
      </c>
      <c r="G250" s="88" t="b">
        <v>0</v>
      </c>
      <c r="H250" s="88" t="b">
        <v>0</v>
      </c>
      <c r="I250" s="88" t="b">
        <v>0</v>
      </c>
      <c r="J250" s="88" t="b">
        <v>0</v>
      </c>
      <c r="K250" s="88" t="b">
        <v>0</v>
      </c>
      <c r="L250" s="88" t="b">
        <v>0</v>
      </c>
    </row>
    <row r="251" spans="1:12" ht="15">
      <c r="A251" s="88" t="s">
        <v>2378</v>
      </c>
      <c r="B251" s="88" t="s">
        <v>2486</v>
      </c>
      <c r="C251" s="88">
        <v>4</v>
      </c>
      <c r="D251" s="120">
        <v>0.0017579553432866192</v>
      </c>
      <c r="E251" s="120">
        <v>2.665580991017953</v>
      </c>
      <c r="F251" s="88" t="s">
        <v>2665</v>
      </c>
      <c r="G251" s="88" t="b">
        <v>0</v>
      </c>
      <c r="H251" s="88" t="b">
        <v>0</v>
      </c>
      <c r="I251" s="88" t="b">
        <v>0</v>
      </c>
      <c r="J251" s="88" t="b">
        <v>0</v>
      </c>
      <c r="K251" s="88" t="b">
        <v>0</v>
      </c>
      <c r="L251" s="88" t="b">
        <v>0</v>
      </c>
    </row>
    <row r="252" spans="1:12" ht="15">
      <c r="A252" s="88" t="s">
        <v>2486</v>
      </c>
      <c r="B252" s="88" t="s">
        <v>2378</v>
      </c>
      <c r="C252" s="88">
        <v>4</v>
      </c>
      <c r="D252" s="120">
        <v>0.0017579553432866192</v>
      </c>
      <c r="E252" s="120">
        <v>2.665580991017953</v>
      </c>
      <c r="F252" s="88" t="s">
        <v>2665</v>
      </c>
      <c r="G252" s="88" t="b">
        <v>0</v>
      </c>
      <c r="H252" s="88" t="b">
        <v>0</v>
      </c>
      <c r="I252" s="88" t="b">
        <v>0</v>
      </c>
      <c r="J252" s="88" t="b">
        <v>0</v>
      </c>
      <c r="K252" s="88" t="b">
        <v>0</v>
      </c>
      <c r="L252" s="88" t="b">
        <v>0</v>
      </c>
    </row>
    <row r="253" spans="1:12" ht="15">
      <c r="A253" s="88" t="s">
        <v>2378</v>
      </c>
      <c r="B253" s="88" t="s">
        <v>2487</v>
      </c>
      <c r="C253" s="88">
        <v>4</v>
      </c>
      <c r="D253" s="120">
        <v>0.0017579553432866192</v>
      </c>
      <c r="E253" s="120">
        <v>2.665580991017953</v>
      </c>
      <c r="F253" s="88" t="s">
        <v>2665</v>
      </c>
      <c r="G253" s="88" t="b">
        <v>0</v>
      </c>
      <c r="H253" s="88" t="b">
        <v>0</v>
      </c>
      <c r="I253" s="88" t="b">
        <v>0</v>
      </c>
      <c r="J253" s="88" t="b">
        <v>0</v>
      </c>
      <c r="K253" s="88" t="b">
        <v>0</v>
      </c>
      <c r="L253" s="88" t="b">
        <v>0</v>
      </c>
    </row>
    <row r="254" spans="1:12" ht="15">
      <c r="A254" s="88" t="s">
        <v>2487</v>
      </c>
      <c r="B254" s="88" t="s">
        <v>2488</v>
      </c>
      <c r="C254" s="88">
        <v>4</v>
      </c>
      <c r="D254" s="120">
        <v>0.0017579553432866192</v>
      </c>
      <c r="E254" s="120">
        <v>2.966610986681934</v>
      </c>
      <c r="F254" s="88" t="s">
        <v>2665</v>
      </c>
      <c r="G254" s="88" t="b">
        <v>0</v>
      </c>
      <c r="H254" s="88" t="b">
        <v>0</v>
      </c>
      <c r="I254" s="88" t="b">
        <v>0</v>
      </c>
      <c r="J254" s="88" t="b">
        <v>0</v>
      </c>
      <c r="K254" s="88" t="b">
        <v>0</v>
      </c>
      <c r="L254" s="88" t="b">
        <v>0</v>
      </c>
    </row>
    <row r="255" spans="1:12" ht="15">
      <c r="A255" s="88" t="s">
        <v>2488</v>
      </c>
      <c r="B255" s="88" t="s">
        <v>2489</v>
      </c>
      <c r="C255" s="88">
        <v>4</v>
      </c>
      <c r="D255" s="120">
        <v>0.0017579553432866192</v>
      </c>
      <c r="E255" s="120">
        <v>2.966610986681934</v>
      </c>
      <c r="F255" s="88" t="s">
        <v>2665</v>
      </c>
      <c r="G255" s="88" t="b">
        <v>0</v>
      </c>
      <c r="H255" s="88" t="b">
        <v>0</v>
      </c>
      <c r="I255" s="88" t="b">
        <v>0</v>
      </c>
      <c r="J255" s="88" t="b">
        <v>0</v>
      </c>
      <c r="K255" s="88" t="b">
        <v>0</v>
      </c>
      <c r="L255" s="88" t="b">
        <v>0</v>
      </c>
    </row>
    <row r="256" spans="1:12" ht="15">
      <c r="A256" s="88" t="s">
        <v>2489</v>
      </c>
      <c r="B256" s="88" t="s">
        <v>2490</v>
      </c>
      <c r="C256" s="88">
        <v>4</v>
      </c>
      <c r="D256" s="120">
        <v>0.0017579553432866192</v>
      </c>
      <c r="E256" s="120">
        <v>2.966610986681934</v>
      </c>
      <c r="F256" s="88" t="s">
        <v>2665</v>
      </c>
      <c r="G256" s="88" t="b">
        <v>0</v>
      </c>
      <c r="H256" s="88" t="b">
        <v>0</v>
      </c>
      <c r="I256" s="88" t="b">
        <v>0</v>
      </c>
      <c r="J256" s="88" t="b">
        <v>0</v>
      </c>
      <c r="K256" s="88" t="b">
        <v>0</v>
      </c>
      <c r="L256" s="88" t="b">
        <v>0</v>
      </c>
    </row>
    <row r="257" spans="1:12" ht="15">
      <c r="A257" s="88" t="s">
        <v>2490</v>
      </c>
      <c r="B257" s="88" t="s">
        <v>2271</v>
      </c>
      <c r="C257" s="88">
        <v>4</v>
      </c>
      <c r="D257" s="120">
        <v>0.0017579553432866192</v>
      </c>
      <c r="E257" s="120">
        <v>1.2164884598985342</v>
      </c>
      <c r="F257" s="88" t="s">
        <v>2665</v>
      </c>
      <c r="G257" s="88" t="b">
        <v>0</v>
      </c>
      <c r="H257" s="88" t="b">
        <v>0</v>
      </c>
      <c r="I257" s="88" t="b">
        <v>0</v>
      </c>
      <c r="J257" s="88" t="b">
        <v>0</v>
      </c>
      <c r="K257" s="88" t="b">
        <v>0</v>
      </c>
      <c r="L257" s="88" t="b">
        <v>0</v>
      </c>
    </row>
    <row r="258" spans="1:12" ht="15">
      <c r="A258" s="88" t="s">
        <v>2494</v>
      </c>
      <c r="B258" s="88" t="s">
        <v>2495</v>
      </c>
      <c r="C258" s="88">
        <v>3</v>
      </c>
      <c r="D258" s="120">
        <v>0.0014142294634754142</v>
      </c>
      <c r="E258" s="120">
        <v>3.0915497232902345</v>
      </c>
      <c r="F258" s="88" t="s">
        <v>2665</v>
      </c>
      <c r="G258" s="88" t="b">
        <v>0</v>
      </c>
      <c r="H258" s="88" t="b">
        <v>0</v>
      </c>
      <c r="I258" s="88" t="b">
        <v>0</v>
      </c>
      <c r="J258" s="88" t="b">
        <v>0</v>
      </c>
      <c r="K258" s="88" t="b">
        <v>0</v>
      </c>
      <c r="L258" s="88" t="b">
        <v>0</v>
      </c>
    </row>
    <row r="259" spans="1:12" ht="15">
      <c r="A259" s="88" t="s">
        <v>2495</v>
      </c>
      <c r="B259" s="88" t="s">
        <v>2334</v>
      </c>
      <c r="C259" s="88">
        <v>3</v>
      </c>
      <c r="D259" s="120">
        <v>0.0014142294634754142</v>
      </c>
      <c r="E259" s="120">
        <v>2.614428468570572</v>
      </c>
      <c r="F259" s="88" t="s">
        <v>2665</v>
      </c>
      <c r="G259" s="88" t="b">
        <v>0</v>
      </c>
      <c r="H259" s="88" t="b">
        <v>0</v>
      </c>
      <c r="I259" s="88" t="b">
        <v>0</v>
      </c>
      <c r="J259" s="88" t="b">
        <v>0</v>
      </c>
      <c r="K259" s="88" t="b">
        <v>0</v>
      </c>
      <c r="L259" s="88" t="b">
        <v>0</v>
      </c>
    </row>
    <row r="260" spans="1:12" ht="15">
      <c r="A260" s="88" t="s">
        <v>2334</v>
      </c>
      <c r="B260" s="88" t="s">
        <v>2271</v>
      </c>
      <c r="C260" s="88">
        <v>3</v>
      </c>
      <c r="D260" s="120">
        <v>0.0014142294634754142</v>
      </c>
      <c r="E260" s="120">
        <v>0.6144284685705719</v>
      </c>
      <c r="F260" s="88" t="s">
        <v>2665</v>
      </c>
      <c r="G260" s="88" t="b">
        <v>0</v>
      </c>
      <c r="H260" s="88" t="b">
        <v>0</v>
      </c>
      <c r="I260" s="88" t="b">
        <v>0</v>
      </c>
      <c r="J260" s="88" t="b">
        <v>0</v>
      </c>
      <c r="K260" s="88" t="b">
        <v>0</v>
      </c>
      <c r="L260" s="88" t="b">
        <v>0</v>
      </c>
    </row>
    <row r="261" spans="1:12" ht="15">
      <c r="A261" s="88" t="s">
        <v>2271</v>
      </c>
      <c r="B261" s="88" t="s">
        <v>2393</v>
      </c>
      <c r="C261" s="88">
        <v>3</v>
      </c>
      <c r="D261" s="120">
        <v>0.0014142294634754142</v>
      </c>
      <c r="E261" s="120">
        <v>1.0321125354383667</v>
      </c>
      <c r="F261" s="88" t="s">
        <v>2665</v>
      </c>
      <c r="G261" s="88" t="b">
        <v>0</v>
      </c>
      <c r="H261" s="88" t="b">
        <v>0</v>
      </c>
      <c r="I261" s="88" t="b">
        <v>0</v>
      </c>
      <c r="J261" s="88" t="b">
        <v>0</v>
      </c>
      <c r="K261" s="88" t="b">
        <v>0</v>
      </c>
      <c r="L261" s="88" t="b">
        <v>0</v>
      </c>
    </row>
    <row r="262" spans="1:12" ht="15">
      <c r="A262" s="88" t="s">
        <v>2393</v>
      </c>
      <c r="B262" s="88" t="s">
        <v>2496</v>
      </c>
      <c r="C262" s="88">
        <v>3</v>
      </c>
      <c r="D262" s="120">
        <v>0.0014142294634754142</v>
      </c>
      <c r="E262" s="120">
        <v>2.790519727626253</v>
      </c>
      <c r="F262" s="88" t="s">
        <v>2665</v>
      </c>
      <c r="G262" s="88" t="b">
        <v>0</v>
      </c>
      <c r="H262" s="88" t="b">
        <v>0</v>
      </c>
      <c r="I262" s="88" t="b">
        <v>0</v>
      </c>
      <c r="J262" s="88" t="b">
        <v>0</v>
      </c>
      <c r="K262" s="88" t="b">
        <v>0</v>
      </c>
      <c r="L262" s="88" t="b">
        <v>0</v>
      </c>
    </row>
    <row r="263" spans="1:12" ht="15">
      <c r="A263" s="88" t="s">
        <v>2496</v>
      </c>
      <c r="B263" s="88" t="s">
        <v>2497</v>
      </c>
      <c r="C263" s="88">
        <v>3</v>
      </c>
      <c r="D263" s="120">
        <v>0.0014142294634754142</v>
      </c>
      <c r="E263" s="120">
        <v>3.0915497232902345</v>
      </c>
      <c r="F263" s="88" t="s">
        <v>2665</v>
      </c>
      <c r="G263" s="88" t="b">
        <v>0</v>
      </c>
      <c r="H263" s="88" t="b">
        <v>0</v>
      </c>
      <c r="I263" s="88" t="b">
        <v>0</v>
      </c>
      <c r="J263" s="88" t="b">
        <v>0</v>
      </c>
      <c r="K263" s="88" t="b">
        <v>0</v>
      </c>
      <c r="L263" s="88" t="b">
        <v>0</v>
      </c>
    </row>
    <row r="264" spans="1:12" ht="15">
      <c r="A264" s="88" t="s">
        <v>2497</v>
      </c>
      <c r="B264" s="88" t="s">
        <v>2498</v>
      </c>
      <c r="C264" s="88">
        <v>3</v>
      </c>
      <c r="D264" s="120">
        <v>0.0014142294634754142</v>
      </c>
      <c r="E264" s="120">
        <v>3.0915497232902345</v>
      </c>
      <c r="F264" s="88" t="s">
        <v>2665</v>
      </c>
      <c r="G264" s="88" t="b">
        <v>0</v>
      </c>
      <c r="H264" s="88" t="b">
        <v>0</v>
      </c>
      <c r="I264" s="88" t="b">
        <v>0</v>
      </c>
      <c r="J264" s="88" t="b">
        <v>0</v>
      </c>
      <c r="K264" s="88" t="b">
        <v>0</v>
      </c>
      <c r="L264" s="88" t="b">
        <v>0</v>
      </c>
    </row>
    <row r="265" spans="1:12" ht="15">
      <c r="A265" s="88" t="s">
        <v>2498</v>
      </c>
      <c r="B265" s="88" t="s">
        <v>2499</v>
      </c>
      <c r="C265" s="88">
        <v>3</v>
      </c>
      <c r="D265" s="120">
        <v>0.0014142294634754142</v>
      </c>
      <c r="E265" s="120">
        <v>3.0915497232902345</v>
      </c>
      <c r="F265" s="88" t="s">
        <v>2665</v>
      </c>
      <c r="G265" s="88" t="b">
        <v>0</v>
      </c>
      <c r="H265" s="88" t="b">
        <v>0</v>
      </c>
      <c r="I265" s="88" t="b">
        <v>0</v>
      </c>
      <c r="J265" s="88" t="b">
        <v>0</v>
      </c>
      <c r="K265" s="88" t="b">
        <v>0</v>
      </c>
      <c r="L265" s="88" t="b">
        <v>0</v>
      </c>
    </row>
    <row r="266" spans="1:12" ht="15">
      <c r="A266" s="88" t="s">
        <v>2499</v>
      </c>
      <c r="B266" s="88" t="s">
        <v>2500</v>
      </c>
      <c r="C266" s="88">
        <v>3</v>
      </c>
      <c r="D266" s="120">
        <v>0.0014142294634754142</v>
      </c>
      <c r="E266" s="120">
        <v>3.0915497232902345</v>
      </c>
      <c r="F266" s="88" t="s">
        <v>2665</v>
      </c>
      <c r="G266" s="88" t="b">
        <v>0</v>
      </c>
      <c r="H266" s="88" t="b">
        <v>0</v>
      </c>
      <c r="I266" s="88" t="b">
        <v>0</v>
      </c>
      <c r="J266" s="88" t="b">
        <v>0</v>
      </c>
      <c r="K266" s="88" t="b">
        <v>0</v>
      </c>
      <c r="L266" s="88" t="b">
        <v>0</v>
      </c>
    </row>
    <row r="267" spans="1:12" ht="15">
      <c r="A267" s="88" t="s">
        <v>2500</v>
      </c>
      <c r="B267" s="88" t="s">
        <v>2501</v>
      </c>
      <c r="C267" s="88">
        <v>3</v>
      </c>
      <c r="D267" s="120">
        <v>0.0014142294634754142</v>
      </c>
      <c r="E267" s="120">
        <v>3.0915497232902345</v>
      </c>
      <c r="F267" s="88" t="s">
        <v>2665</v>
      </c>
      <c r="G267" s="88" t="b">
        <v>0</v>
      </c>
      <c r="H267" s="88" t="b">
        <v>0</v>
      </c>
      <c r="I267" s="88" t="b">
        <v>0</v>
      </c>
      <c r="J267" s="88" t="b">
        <v>0</v>
      </c>
      <c r="K267" s="88" t="b">
        <v>0</v>
      </c>
      <c r="L267" s="88" t="b">
        <v>0</v>
      </c>
    </row>
    <row r="268" spans="1:12" ht="15">
      <c r="A268" s="88" t="s">
        <v>2501</v>
      </c>
      <c r="B268" s="88" t="s">
        <v>2502</v>
      </c>
      <c r="C268" s="88">
        <v>3</v>
      </c>
      <c r="D268" s="120">
        <v>0.0014142294634754142</v>
      </c>
      <c r="E268" s="120">
        <v>3.0915497232902345</v>
      </c>
      <c r="F268" s="88" t="s">
        <v>2665</v>
      </c>
      <c r="G268" s="88" t="b">
        <v>0</v>
      </c>
      <c r="H268" s="88" t="b">
        <v>0</v>
      </c>
      <c r="I268" s="88" t="b">
        <v>0</v>
      </c>
      <c r="J268" s="88" t="b">
        <v>0</v>
      </c>
      <c r="K268" s="88" t="b">
        <v>0</v>
      </c>
      <c r="L268" s="88" t="b">
        <v>0</v>
      </c>
    </row>
    <row r="269" spans="1:12" ht="15">
      <c r="A269" s="88" t="s">
        <v>2502</v>
      </c>
      <c r="B269" s="88" t="s">
        <v>2503</v>
      </c>
      <c r="C269" s="88">
        <v>3</v>
      </c>
      <c r="D269" s="120">
        <v>0.0014142294634754142</v>
      </c>
      <c r="E269" s="120">
        <v>3.0915497232902345</v>
      </c>
      <c r="F269" s="88" t="s">
        <v>2665</v>
      </c>
      <c r="G269" s="88" t="b">
        <v>0</v>
      </c>
      <c r="H269" s="88" t="b">
        <v>0</v>
      </c>
      <c r="I269" s="88" t="b">
        <v>0</v>
      </c>
      <c r="J269" s="88" t="b">
        <v>0</v>
      </c>
      <c r="K269" s="88" t="b">
        <v>0</v>
      </c>
      <c r="L269" s="88" t="b">
        <v>0</v>
      </c>
    </row>
    <row r="270" spans="1:12" ht="15">
      <c r="A270" s="88" t="s">
        <v>2503</v>
      </c>
      <c r="B270" s="88" t="s">
        <v>2504</v>
      </c>
      <c r="C270" s="88">
        <v>3</v>
      </c>
      <c r="D270" s="120">
        <v>0.0014142294634754142</v>
      </c>
      <c r="E270" s="120">
        <v>3.0915497232902345</v>
      </c>
      <c r="F270" s="88" t="s">
        <v>2665</v>
      </c>
      <c r="G270" s="88" t="b">
        <v>0</v>
      </c>
      <c r="H270" s="88" t="b">
        <v>0</v>
      </c>
      <c r="I270" s="88" t="b">
        <v>0</v>
      </c>
      <c r="J270" s="88" t="b">
        <v>0</v>
      </c>
      <c r="K270" s="88" t="b">
        <v>0</v>
      </c>
      <c r="L270" s="88" t="b">
        <v>0</v>
      </c>
    </row>
    <row r="271" spans="1:12" ht="15">
      <c r="A271" s="88" t="s">
        <v>2504</v>
      </c>
      <c r="B271" s="88" t="s">
        <v>2505</v>
      </c>
      <c r="C271" s="88">
        <v>3</v>
      </c>
      <c r="D271" s="120">
        <v>0.0014142294634754142</v>
      </c>
      <c r="E271" s="120">
        <v>3.0915497232902345</v>
      </c>
      <c r="F271" s="88" t="s">
        <v>2665</v>
      </c>
      <c r="G271" s="88" t="b">
        <v>0</v>
      </c>
      <c r="H271" s="88" t="b">
        <v>0</v>
      </c>
      <c r="I271" s="88" t="b">
        <v>0</v>
      </c>
      <c r="J271" s="88" t="b">
        <v>0</v>
      </c>
      <c r="K271" s="88" t="b">
        <v>0</v>
      </c>
      <c r="L271" s="88" t="b">
        <v>0</v>
      </c>
    </row>
    <row r="272" spans="1:12" ht="15">
      <c r="A272" s="88" t="s">
        <v>2505</v>
      </c>
      <c r="B272" s="88" t="s">
        <v>2293</v>
      </c>
      <c r="C272" s="88">
        <v>3</v>
      </c>
      <c r="D272" s="120">
        <v>0.0014142294634754142</v>
      </c>
      <c r="E272" s="120">
        <v>2.1215129466676776</v>
      </c>
      <c r="F272" s="88" t="s">
        <v>2665</v>
      </c>
      <c r="G272" s="88" t="b">
        <v>0</v>
      </c>
      <c r="H272" s="88" t="b">
        <v>0</v>
      </c>
      <c r="I272" s="88" t="b">
        <v>0</v>
      </c>
      <c r="J272" s="88" t="b">
        <v>0</v>
      </c>
      <c r="K272" s="88" t="b">
        <v>0</v>
      </c>
      <c r="L272" s="88" t="b">
        <v>0</v>
      </c>
    </row>
    <row r="273" spans="1:12" ht="15">
      <c r="A273" s="88" t="s">
        <v>2293</v>
      </c>
      <c r="B273" s="88" t="s">
        <v>2393</v>
      </c>
      <c r="C273" s="88">
        <v>3</v>
      </c>
      <c r="D273" s="120">
        <v>0.0014142294634754142</v>
      </c>
      <c r="E273" s="120">
        <v>1.9454216876119963</v>
      </c>
      <c r="F273" s="88" t="s">
        <v>2665</v>
      </c>
      <c r="G273" s="88" t="b">
        <v>0</v>
      </c>
      <c r="H273" s="88" t="b">
        <v>0</v>
      </c>
      <c r="I273" s="88" t="b">
        <v>0</v>
      </c>
      <c r="J273" s="88" t="b">
        <v>0</v>
      </c>
      <c r="K273" s="88" t="b">
        <v>0</v>
      </c>
      <c r="L273" s="88" t="b">
        <v>0</v>
      </c>
    </row>
    <row r="274" spans="1:12" ht="15">
      <c r="A274" s="88" t="s">
        <v>2393</v>
      </c>
      <c r="B274" s="88" t="s">
        <v>581</v>
      </c>
      <c r="C274" s="88">
        <v>3</v>
      </c>
      <c r="D274" s="120">
        <v>0.0014142294634754142</v>
      </c>
      <c r="E274" s="120">
        <v>2.790519727626253</v>
      </c>
      <c r="F274" s="88" t="s">
        <v>2665</v>
      </c>
      <c r="G274" s="88" t="b">
        <v>0</v>
      </c>
      <c r="H274" s="88" t="b">
        <v>0</v>
      </c>
      <c r="I274" s="88" t="b">
        <v>0</v>
      </c>
      <c r="J274" s="88" t="b">
        <v>0</v>
      </c>
      <c r="K274" s="88" t="b">
        <v>0</v>
      </c>
      <c r="L274" s="88" t="b">
        <v>0</v>
      </c>
    </row>
    <row r="275" spans="1:12" ht="15">
      <c r="A275" s="88" t="s">
        <v>581</v>
      </c>
      <c r="B275" s="88" t="s">
        <v>580</v>
      </c>
      <c r="C275" s="88">
        <v>3</v>
      </c>
      <c r="D275" s="120">
        <v>0.0014142294634754142</v>
      </c>
      <c r="E275" s="120">
        <v>3.0915497232902345</v>
      </c>
      <c r="F275" s="88" t="s">
        <v>2665</v>
      </c>
      <c r="G275" s="88" t="b">
        <v>0</v>
      </c>
      <c r="H275" s="88" t="b">
        <v>0</v>
      </c>
      <c r="I275" s="88" t="b">
        <v>0</v>
      </c>
      <c r="J275" s="88" t="b">
        <v>0</v>
      </c>
      <c r="K275" s="88" t="b">
        <v>0</v>
      </c>
      <c r="L275" s="88" t="b">
        <v>0</v>
      </c>
    </row>
    <row r="276" spans="1:12" ht="15">
      <c r="A276" s="88" t="s">
        <v>580</v>
      </c>
      <c r="B276" s="88" t="s">
        <v>484</v>
      </c>
      <c r="C276" s="88">
        <v>3</v>
      </c>
      <c r="D276" s="120">
        <v>0.0014142294634754142</v>
      </c>
      <c r="E276" s="120">
        <v>3.0915497232902345</v>
      </c>
      <c r="F276" s="88" t="s">
        <v>2665</v>
      </c>
      <c r="G276" s="88" t="b">
        <v>0</v>
      </c>
      <c r="H276" s="88" t="b">
        <v>0</v>
      </c>
      <c r="I276" s="88" t="b">
        <v>0</v>
      </c>
      <c r="J276" s="88" t="b">
        <v>0</v>
      </c>
      <c r="K276" s="88" t="b">
        <v>0</v>
      </c>
      <c r="L276" s="88" t="b">
        <v>0</v>
      </c>
    </row>
    <row r="277" spans="1:12" ht="15">
      <c r="A277" s="88" t="s">
        <v>484</v>
      </c>
      <c r="B277" s="88" t="s">
        <v>483</v>
      </c>
      <c r="C277" s="88">
        <v>3</v>
      </c>
      <c r="D277" s="120">
        <v>0.0014142294634754142</v>
      </c>
      <c r="E277" s="120">
        <v>3.0915497232902345</v>
      </c>
      <c r="F277" s="88" t="s">
        <v>2665</v>
      </c>
      <c r="G277" s="88" t="b">
        <v>0</v>
      </c>
      <c r="H277" s="88" t="b">
        <v>0</v>
      </c>
      <c r="I277" s="88" t="b">
        <v>0</v>
      </c>
      <c r="J277" s="88" t="b">
        <v>0</v>
      </c>
      <c r="K277" s="88" t="b">
        <v>0</v>
      </c>
      <c r="L277" s="88" t="b">
        <v>0</v>
      </c>
    </row>
    <row r="278" spans="1:12" ht="15">
      <c r="A278" s="88" t="s">
        <v>483</v>
      </c>
      <c r="B278" s="88" t="s">
        <v>2371</v>
      </c>
      <c r="C278" s="88">
        <v>3</v>
      </c>
      <c r="D278" s="120">
        <v>0.0014142294634754142</v>
      </c>
      <c r="E278" s="120">
        <v>2.665580991017953</v>
      </c>
      <c r="F278" s="88" t="s">
        <v>2665</v>
      </c>
      <c r="G278" s="88" t="b">
        <v>0</v>
      </c>
      <c r="H278" s="88" t="b">
        <v>0</v>
      </c>
      <c r="I278" s="88" t="b">
        <v>0</v>
      </c>
      <c r="J278" s="88" t="b">
        <v>0</v>
      </c>
      <c r="K278" s="88" t="b">
        <v>0</v>
      </c>
      <c r="L278" s="88" t="b">
        <v>0</v>
      </c>
    </row>
    <row r="279" spans="1:12" ht="15">
      <c r="A279" s="88" t="s">
        <v>2371</v>
      </c>
      <c r="B279" s="88" t="s">
        <v>2506</v>
      </c>
      <c r="C279" s="88">
        <v>3</v>
      </c>
      <c r="D279" s="120">
        <v>0.0014142294634754142</v>
      </c>
      <c r="E279" s="120">
        <v>2.7235729379956397</v>
      </c>
      <c r="F279" s="88" t="s">
        <v>2665</v>
      </c>
      <c r="G279" s="88" t="b">
        <v>0</v>
      </c>
      <c r="H279" s="88" t="b">
        <v>0</v>
      </c>
      <c r="I279" s="88" t="b">
        <v>0</v>
      </c>
      <c r="J279" s="88" t="b">
        <v>0</v>
      </c>
      <c r="K279" s="88" t="b">
        <v>0</v>
      </c>
      <c r="L279" s="88" t="b">
        <v>0</v>
      </c>
    </row>
    <row r="280" spans="1:12" ht="15">
      <c r="A280" s="88" t="s">
        <v>567</v>
      </c>
      <c r="B280" s="88" t="s">
        <v>2508</v>
      </c>
      <c r="C280" s="88">
        <v>3</v>
      </c>
      <c r="D280" s="120">
        <v>0.0014142294634754142</v>
      </c>
      <c r="E280" s="120">
        <v>2.5272782928516717</v>
      </c>
      <c r="F280" s="88" t="s">
        <v>2665</v>
      </c>
      <c r="G280" s="88" t="b">
        <v>0</v>
      </c>
      <c r="H280" s="88" t="b">
        <v>0</v>
      </c>
      <c r="I280" s="88" t="b">
        <v>0</v>
      </c>
      <c r="J280" s="88" t="b">
        <v>0</v>
      </c>
      <c r="K280" s="88" t="b">
        <v>0</v>
      </c>
      <c r="L280" s="88" t="b">
        <v>0</v>
      </c>
    </row>
    <row r="281" spans="1:12" ht="15">
      <c r="A281" s="88" t="s">
        <v>2508</v>
      </c>
      <c r="B281" s="88" t="s">
        <v>2509</v>
      </c>
      <c r="C281" s="88">
        <v>3</v>
      </c>
      <c r="D281" s="120">
        <v>0.0014142294634754142</v>
      </c>
      <c r="E281" s="120">
        <v>3.0915497232902345</v>
      </c>
      <c r="F281" s="88" t="s">
        <v>2665</v>
      </c>
      <c r="G281" s="88" t="b">
        <v>0</v>
      </c>
      <c r="H281" s="88" t="b">
        <v>0</v>
      </c>
      <c r="I281" s="88" t="b">
        <v>0</v>
      </c>
      <c r="J281" s="88" t="b">
        <v>0</v>
      </c>
      <c r="K281" s="88" t="b">
        <v>0</v>
      </c>
      <c r="L281" s="88" t="b">
        <v>0</v>
      </c>
    </row>
    <row r="282" spans="1:12" ht="15">
      <c r="A282" s="88" t="s">
        <v>2509</v>
      </c>
      <c r="B282" s="88" t="s">
        <v>2510</v>
      </c>
      <c r="C282" s="88">
        <v>3</v>
      </c>
      <c r="D282" s="120">
        <v>0.0014142294634754142</v>
      </c>
      <c r="E282" s="120">
        <v>3.0915497232902345</v>
      </c>
      <c r="F282" s="88" t="s">
        <v>2665</v>
      </c>
      <c r="G282" s="88" t="b">
        <v>0</v>
      </c>
      <c r="H282" s="88" t="b">
        <v>0</v>
      </c>
      <c r="I282" s="88" t="b">
        <v>0</v>
      </c>
      <c r="J282" s="88" t="b">
        <v>0</v>
      </c>
      <c r="K282" s="88" t="b">
        <v>0</v>
      </c>
      <c r="L282" s="88" t="b">
        <v>0</v>
      </c>
    </row>
    <row r="283" spans="1:12" ht="15">
      <c r="A283" s="88" t="s">
        <v>2510</v>
      </c>
      <c r="B283" s="88" t="s">
        <v>2511</v>
      </c>
      <c r="C283" s="88">
        <v>3</v>
      </c>
      <c r="D283" s="120">
        <v>0.0014142294634754142</v>
      </c>
      <c r="E283" s="120">
        <v>3.0915497232902345</v>
      </c>
      <c r="F283" s="88" t="s">
        <v>2665</v>
      </c>
      <c r="G283" s="88" t="b">
        <v>0</v>
      </c>
      <c r="H283" s="88" t="b">
        <v>0</v>
      </c>
      <c r="I283" s="88" t="b">
        <v>0</v>
      </c>
      <c r="J283" s="88" t="b">
        <v>0</v>
      </c>
      <c r="K283" s="88" t="b">
        <v>0</v>
      </c>
      <c r="L283" s="88" t="b">
        <v>0</v>
      </c>
    </row>
    <row r="284" spans="1:12" ht="15">
      <c r="A284" s="88" t="s">
        <v>2511</v>
      </c>
      <c r="B284" s="88" t="s">
        <v>2512</v>
      </c>
      <c r="C284" s="88">
        <v>3</v>
      </c>
      <c r="D284" s="120">
        <v>0.0014142294634754142</v>
      </c>
      <c r="E284" s="120">
        <v>3.0915497232902345</v>
      </c>
      <c r="F284" s="88" t="s">
        <v>2665</v>
      </c>
      <c r="G284" s="88" t="b">
        <v>0</v>
      </c>
      <c r="H284" s="88" t="b">
        <v>0</v>
      </c>
      <c r="I284" s="88" t="b">
        <v>0</v>
      </c>
      <c r="J284" s="88" t="b">
        <v>0</v>
      </c>
      <c r="K284" s="88" t="b">
        <v>0</v>
      </c>
      <c r="L284" s="88" t="b">
        <v>0</v>
      </c>
    </row>
    <row r="285" spans="1:12" ht="15">
      <c r="A285" s="88" t="s">
        <v>2512</v>
      </c>
      <c r="B285" s="88" t="s">
        <v>2513</v>
      </c>
      <c r="C285" s="88">
        <v>3</v>
      </c>
      <c r="D285" s="120">
        <v>0.0014142294634754142</v>
      </c>
      <c r="E285" s="120">
        <v>3.0915497232902345</v>
      </c>
      <c r="F285" s="88" t="s">
        <v>2665</v>
      </c>
      <c r="G285" s="88" t="b">
        <v>0</v>
      </c>
      <c r="H285" s="88" t="b">
        <v>0</v>
      </c>
      <c r="I285" s="88" t="b">
        <v>0</v>
      </c>
      <c r="J285" s="88" t="b">
        <v>0</v>
      </c>
      <c r="K285" s="88" t="b">
        <v>0</v>
      </c>
      <c r="L285" s="88" t="b">
        <v>0</v>
      </c>
    </row>
    <row r="286" spans="1:12" ht="15">
      <c r="A286" s="88" t="s">
        <v>2513</v>
      </c>
      <c r="B286" s="88" t="s">
        <v>2514</v>
      </c>
      <c r="C286" s="88">
        <v>3</v>
      </c>
      <c r="D286" s="120">
        <v>0.0014142294634754142</v>
      </c>
      <c r="E286" s="120">
        <v>3.0915497232902345</v>
      </c>
      <c r="F286" s="88" t="s">
        <v>2665</v>
      </c>
      <c r="G286" s="88" t="b">
        <v>0</v>
      </c>
      <c r="H286" s="88" t="b">
        <v>0</v>
      </c>
      <c r="I286" s="88" t="b">
        <v>0</v>
      </c>
      <c r="J286" s="88" t="b">
        <v>0</v>
      </c>
      <c r="K286" s="88" t="b">
        <v>0</v>
      </c>
      <c r="L286" s="88" t="b">
        <v>0</v>
      </c>
    </row>
    <row r="287" spans="1:12" ht="15">
      <c r="A287" s="88" t="s">
        <v>2514</v>
      </c>
      <c r="B287" s="88" t="s">
        <v>2515</v>
      </c>
      <c r="C287" s="88">
        <v>3</v>
      </c>
      <c r="D287" s="120">
        <v>0.0014142294634754142</v>
      </c>
      <c r="E287" s="120">
        <v>3.0915497232902345</v>
      </c>
      <c r="F287" s="88" t="s">
        <v>2665</v>
      </c>
      <c r="G287" s="88" t="b">
        <v>0</v>
      </c>
      <c r="H287" s="88" t="b">
        <v>0</v>
      </c>
      <c r="I287" s="88" t="b">
        <v>0</v>
      </c>
      <c r="J287" s="88" t="b">
        <v>0</v>
      </c>
      <c r="K287" s="88" t="b">
        <v>0</v>
      </c>
      <c r="L287" s="88" t="b">
        <v>0</v>
      </c>
    </row>
    <row r="288" spans="1:12" ht="15">
      <c r="A288" s="88" t="s">
        <v>2515</v>
      </c>
      <c r="B288" s="88" t="s">
        <v>2516</v>
      </c>
      <c r="C288" s="88">
        <v>3</v>
      </c>
      <c r="D288" s="120">
        <v>0.0014142294634754142</v>
      </c>
      <c r="E288" s="120">
        <v>3.0915497232902345</v>
      </c>
      <c r="F288" s="88" t="s">
        <v>2665</v>
      </c>
      <c r="G288" s="88" t="b">
        <v>0</v>
      </c>
      <c r="H288" s="88" t="b">
        <v>0</v>
      </c>
      <c r="I288" s="88" t="b">
        <v>0</v>
      </c>
      <c r="J288" s="88" t="b">
        <v>0</v>
      </c>
      <c r="K288" s="88" t="b">
        <v>0</v>
      </c>
      <c r="L288" s="88" t="b">
        <v>0</v>
      </c>
    </row>
    <row r="289" spans="1:12" ht="15">
      <c r="A289" s="88" t="s">
        <v>2516</v>
      </c>
      <c r="B289" s="88" t="s">
        <v>2292</v>
      </c>
      <c r="C289" s="88">
        <v>3</v>
      </c>
      <c r="D289" s="120">
        <v>0.0014142294634754142</v>
      </c>
      <c r="E289" s="120">
        <v>2.1062729801109406</v>
      </c>
      <c r="F289" s="88" t="s">
        <v>2665</v>
      </c>
      <c r="G289" s="88" t="b">
        <v>0</v>
      </c>
      <c r="H289" s="88" t="b">
        <v>0</v>
      </c>
      <c r="I289" s="88" t="b">
        <v>0</v>
      </c>
      <c r="J289" s="88" t="b">
        <v>0</v>
      </c>
      <c r="K289" s="88" t="b">
        <v>0</v>
      </c>
      <c r="L289" s="88" t="b">
        <v>0</v>
      </c>
    </row>
    <row r="290" spans="1:12" ht="15">
      <c r="A290" s="88" t="s">
        <v>2292</v>
      </c>
      <c r="B290" s="88" t="s">
        <v>2465</v>
      </c>
      <c r="C290" s="88">
        <v>3</v>
      </c>
      <c r="D290" s="120">
        <v>0.0014142294634754142</v>
      </c>
      <c r="E290" s="120">
        <v>1.9965742100593775</v>
      </c>
      <c r="F290" s="88" t="s">
        <v>2665</v>
      </c>
      <c r="G290" s="88" t="b">
        <v>0</v>
      </c>
      <c r="H290" s="88" t="b">
        <v>0</v>
      </c>
      <c r="I290" s="88" t="b">
        <v>0</v>
      </c>
      <c r="J290" s="88" t="b">
        <v>0</v>
      </c>
      <c r="K290" s="88" t="b">
        <v>0</v>
      </c>
      <c r="L290" s="88" t="b">
        <v>0</v>
      </c>
    </row>
    <row r="291" spans="1:12" ht="15">
      <c r="A291" s="88" t="s">
        <v>2337</v>
      </c>
      <c r="B291" s="88" t="s">
        <v>2517</v>
      </c>
      <c r="C291" s="88">
        <v>3</v>
      </c>
      <c r="D291" s="120">
        <v>0.0014142294634754142</v>
      </c>
      <c r="E291" s="120">
        <v>2.5272782928516717</v>
      </c>
      <c r="F291" s="88" t="s">
        <v>2665</v>
      </c>
      <c r="G291" s="88" t="b">
        <v>0</v>
      </c>
      <c r="H291" s="88" t="b">
        <v>0</v>
      </c>
      <c r="I291" s="88" t="b">
        <v>0</v>
      </c>
      <c r="J291" s="88" t="b">
        <v>0</v>
      </c>
      <c r="K291" s="88" t="b">
        <v>0</v>
      </c>
      <c r="L291" s="88" t="b">
        <v>0</v>
      </c>
    </row>
    <row r="292" spans="1:12" ht="15">
      <c r="A292" s="88" t="s">
        <v>2517</v>
      </c>
      <c r="B292" s="88" t="s">
        <v>2271</v>
      </c>
      <c r="C292" s="88">
        <v>3</v>
      </c>
      <c r="D292" s="120">
        <v>0.0014142294634754142</v>
      </c>
      <c r="E292" s="120">
        <v>1.2164884598985342</v>
      </c>
      <c r="F292" s="88" t="s">
        <v>2665</v>
      </c>
      <c r="G292" s="88" t="b">
        <v>0</v>
      </c>
      <c r="H292" s="88" t="b">
        <v>0</v>
      </c>
      <c r="I292" s="88" t="b">
        <v>0</v>
      </c>
      <c r="J292" s="88" t="b">
        <v>0</v>
      </c>
      <c r="K292" s="88" t="b">
        <v>0</v>
      </c>
      <c r="L292" s="88" t="b">
        <v>0</v>
      </c>
    </row>
    <row r="293" spans="1:12" ht="15">
      <c r="A293" s="88" t="s">
        <v>2298</v>
      </c>
      <c r="B293" s="88" t="s">
        <v>2292</v>
      </c>
      <c r="C293" s="88">
        <v>3</v>
      </c>
      <c r="D293" s="120">
        <v>0.0014142294634754142</v>
      </c>
      <c r="E293" s="120">
        <v>1.2409715540083968</v>
      </c>
      <c r="F293" s="88" t="s">
        <v>2665</v>
      </c>
      <c r="G293" s="88" t="b">
        <v>0</v>
      </c>
      <c r="H293" s="88" t="b">
        <v>0</v>
      </c>
      <c r="I293" s="88" t="b">
        <v>0</v>
      </c>
      <c r="J293" s="88" t="b">
        <v>0</v>
      </c>
      <c r="K293" s="88" t="b">
        <v>0</v>
      </c>
      <c r="L293" s="88" t="b">
        <v>0</v>
      </c>
    </row>
    <row r="294" spans="1:12" ht="15">
      <c r="A294" s="88" t="s">
        <v>2292</v>
      </c>
      <c r="B294" s="88" t="s">
        <v>2519</v>
      </c>
      <c r="C294" s="88">
        <v>3</v>
      </c>
      <c r="D294" s="120">
        <v>0.0014142294634754142</v>
      </c>
      <c r="E294" s="120">
        <v>2.1215129466676776</v>
      </c>
      <c r="F294" s="88" t="s">
        <v>2665</v>
      </c>
      <c r="G294" s="88" t="b">
        <v>0</v>
      </c>
      <c r="H294" s="88" t="b">
        <v>0</v>
      </c>
      <c r="I294" s="88" t="b">
        <v>0</v>
      </c>
      <c r="J294" s="88" t="b">
        <v>0</v>
      </c>
      <c r="K294" s="88" t="b">
        <v>0</v>
      </c>
      <c r="L294" s="88" t="b">
        <v>0</v>
      </c>
    </row>
    <row r="295" spans="1:12" ht="15">
      <c r="A295" s="88" t="s">
        <v>2519</v>
      </c>
      <c r="B295" s="88" t="s">
        <v>2295</v>
      </c>
      <c r="C295" s="88">
        <v>3</v>
      </c>
      <c r="D295" s="120">
        <v>0.0014142294634754142</v>
      </c>
      <c r="E295" s="120">
        <v>2.1373072138509093</v>
      </c>
      <c r="F295" s="88" t="s">
        <v>2665</v>
      </c>
      <c r="G295" s="88" t="b">
        <v>0</v>
      </c>
      <c r="H295" s="88" t="b">
        <v>0</v>
      </c>
      <c r="I295" s="88" t="b">
        <v>0</v>
      </c>
      <c r="J295" s="88" t="b">
        <v>0</v>
      </c>
      <c r="K295" s="88" t="b">
        <v>0</v>
      </c>
      <c r="L295" s="88" t="b">
        <v>0</v>
      </c>
    </row>
    <row r="296" spans="1:12" ht="15">
      <c r="A296" s="88" t="s">
        <v>2295</v>
      </c>
      <c r="B296" s="88" t="s">
        <v>2467</v>
      </c>
      <c r="C296" s="88">
        <v>3</v>
      </c>
      <c r="D296" s="120">
        <v>0.0014142294634754142</v>
      </c>
      <c r="E296" s="120">
        <v>2.0123684772426094</v>
      </c>
      <c r="F296" s="88" t="s">
        <v>2665</v>
      </c>
      <c r="G296" s="88" t="b">
        <v>0</v>
      </c>
      <c r="H296" s="88" t="b">
        <v>0</v>
      </c>
      <c r="I296" s="88" t="b">
        <v>0</v>
      </c>
      <c r="J296" s="88" t="b">
        <v>0</v>
      </c>
      <c r="K296" s="88" t="b">
        <v>0</v>
      </c>
      <c r="L296" s="88" t="b">
        <v>0</v>
      </c>
    </row>
    <row r="297" spans="1:12" ht="15">
      <c r="A297" s="88" t="s">
        <v>2520</v>
      </c>
      <c r="B297" s="88" t="s">
        <v>2521</v>
      </c>
      <c r="C297" s="88">
        <v>3</v>
      </c>
      <c r="D297" s="120">
        <v>0.0014142294634754142</v>
      </c>
      <c r="E297" s="120">
        <v>3.0915497232902345</v>
      </c>
      <c r="F297" s="88" t="s">
        <v>2665</v>
      </c>
      <c r="G297" s="88" t="b">
        <v>0</v>
      </c>
      <c r="H297" s="88" t="b">
        <v>0</v>
      </c>
      <c r="I297" s="88" t="b">
        <v>0</v>
      </c>
      <c r="J297" s="88" t="b">
        <v>0</v>
      </c>
      <c r="K297" s="88" t="b">
        <v>0</v>
      </c>
      <c r="L297" s="88" t="b">
        <v>0</v>
      </c>
    </row>
    <row r="298" spans="1:12" ht="15">
      <c r="A298" s="88" t="s">
        <v>2521</v>
      </c>
      <c r="B298" s="88" t="s">
        <v>2522</v>
      </c>
      <c r="C298" s="88">
        <v>3</v>
      </c>
      <c r="D298" s="120">
        <v>0.0014142294634754142</v>
      </c>
      <c r="E298" s="120">
        <v>3.0915497232902345</v>
      </c>
      <c r="F298" s="88" t="s">
        <v>2665</v>
      </c>
      <c r="G298" s="88" t="b">
        <v>0</v>
      </c>
      <c r="H298" s="88" t="b">
        <v>0</v>
      </c>
      <c r="I298" s="88" t="b">
        <v>0</v>
      </c>
      <c r="J298" s="88" t="b">
        <v>0</v>
      </c>
      <c r="K298" s="88" t="b">
        <v>0</v>
      </c>
      <c r="L298" s="88" t="b">
        <v>0</v>
      </c>
    </row>
    <row r="299" spans="1:12" ht="15">
      <c r="A299" s="88" t="s">
        <v>2522</v>
      </c>
      <c r="B299" s="88" t="s">
        <v>2523</v>
      </c>
      <c r="C299" s="88">
        <v>3</v>
      </c>
      <c r="D299" s="120">
        <v>0.0014142294634754142</v>
      </c>
      <c r="E299" s="120">
        <v>3.0915497232902345</v>
      </c>
      <c r="F299" s="88" t="s">
        <v>2665</v>
      </c>
      <c r="G299" s="88" t="b">
        <v>0</v>
      </c>
      <c r="H299" s="88" t="b">
        <v>0</v>
      </c>
      <c r="I299" s="88" t="b">
        <v>0</v>
      </c>
      <c r="J299" s="88" t="b">
        <v>0</v>
      </c>
      <c r="K299" s="88" t="b">
        <v>0</v>
      </c>
      <c r="L299" s="88" t="b">
        <v>0</v>
      </c>
    </row>
    <row r="300" spans="1:12" ht="15">
      <c r="A300" s="88" t="s">
        <v>2523</v>
      </c>
      <c r="B300" s="88" t="s">
        <v>2524</v>
      </c>
      <c r="C300" s="88">
        <v>3</v>
      </c>
      <c r="D300" s="120">
        <v>0.0014142294634754142</v>
      </c>
      <c r="E300" s="120">
        <v>3.0915497232902345</v>
      </c>
      <c r="F300" s="88" t="s">
        <v>2665</v>
      </c>
      <c r="G300" s="88" t="b">
        <v>0</v>
      </c>
      <c r="H300" s="88" t="b">
        <v>0</v>
      </c>
      <c r="I300" s="88" t="b">
        <v>0</v>
      </c>
      <c r="J300" s="88" t="b">
        <v>0</v>
      </c>
      <c r="K300" s="88" t="b">
        <v>0</v>
      </c>
      <c r="L300" s="88" t="b">
        <v>0</v>
      </c>
    </row>
    <row r="301" spans="1:12" ht="15">
      <c r="A301" s="88" t="s">
        <v>2524</v>
      </c>
      <c r="B301" s="88" t="s">
        <v>2525</v>
      </c>
      <c r="C301" s="88">
        <v>3</v>
      </c>
      <c r="D301" s="120">
        <v>0.0014142294634754142</v>
      </c>
      <c r="E301" s="120">
        <v>3.0915497232902345</v>
      </c>
      <c r="F301" s="88" t="s">
        <v>2665</v>
      </c>
      <c r="G301" s="88" t="b">
        <v>0</v>
      </c>
      <c r="H301" s="88" t="b">
        <v>0</v>
      </c>
      <c r="I301" s="88" t="b">
        <v>0</v>
      </c>
      <c r="J301" s="88" t="b">
        <v>0</v>
      </c>
      <c r="K301" s="88" t="b">
        <v>0</v>
      </c>
      <c r="L301" s="88" t="b">
        <v>0</v>
      </c>
    </row>
    <row r="302" spans="1:12" ht="15">
      <c r="A302" s="88" t="s">
        <v>2525</v>
      </c>
      <c r="B302" s="88" t="s">
        <v>2526</v>
      </c>
      <c r="C302" s="88">
        <v>3</v>
      </c>
      <c r="D302" s="120">
        <v>0.0014142294634754142</v>
      </c>
      <c r="E302" s="120">
        <v>3.0915497232902345</v>
      </c>
      <c r="F302" s="88" t="s">
        <v>2665</v>
      </c>
      <c r="G302" s="88" t="b">
        <v>0</v>
      </c>
      <c r="H302" s="88" t="b">
        <v>0</v>
      </c>
      <c r="I302" s="88" t="b">
        <v>0</v>
      </c>
      <c r="J302" s="88" t="b">
        <v>0</v>
      </c>
      <c r="K302" s="88" t="b">
        <v>0</v>
      </c>
      <c r="L302" s="88" t="b">
        <v>0</v>
      </c>
    </row>
    <row r="303" spans="1:12" ht="15">
      <c r="A303" s="88" t="s">
        <v>2526</v>
      </c>
      <c r="B303" s="88" t="s">
        <v>2527</v>
      </c>
      <c r="C303" s="88">
        <v>3</v>
      </c>
      <c r="D303" s="120">
        <v>0.0014142294634754142</v>
      </c>
      <c r="E303" s="120">
        <v>3.0915497232902345</v>
      </c>
      <c r="F303" s="88" t="s">
        <v>2665</v>
      </c>
      <c r="G303" s="88" t="b">
        <v>0</v>
      </c>
      <c r="H303" s="88" t="b">
        <v>0</v>
      </c>
      <c r="I303" s="88" t="b">
        <v>0</v>
      </c>
      <c r="J303" s="88" t="b">
        <v>0</v>
      </c>
      <c r="K303" s="88" t="b">
        <v>0</v>
      </c>
      <c r="L303" s="88" t="b">
        <v>0</v>
      </c>
    </row>
    <row r="304" spans="1:12" ht="15">
      <c r="A304" s="88" t="s">
        <v>2527</v>
      </c>
      <c r="B304" s="88" t="s">
        <v>535</v>
      </c>
      <c r="C304" s="88">
        <v>3</v>
      </c>
      <c r="D304" s="120">
        <v>0.0014142294634754142</v>
      </c>
      <c r="E304" s="120">
        <v>3.0915497232902345</v>
      </c>
      <c r="F304" s="88" t="s">
        <v>2665</v>
      </c>
      <c r="G304" s="88" t="b">
        <v>0</v>
      </c>
      <c r="H304" s="88" t="b">
        <v>0</v>
      </c>
      <c r="I304" s="88" t="b">
        <v>0</v>
      </c>
      <c r="J304" s="88" t="b">
        <v>0</v>
      </c>
      <c r="K304" s="88" t="b">
        <v>0</v>
      </c>
      <c r="L304" s="88" t="b">
        <v>0</v>
      </c>
    </row>
    <row r="305" spans="1:12" ht="15">
      <c r="A305" s="88" t="s">
        <v>535</v>
      </c>
      <c r="B305" s="88" t="s">
        <v>469</v>
      </c>
      <c r="C305" s="88">
        <v>3</v>
      </c>
      <c r="D305" s="120">
        <v>0.0014142294634754142</v>
      </c>
      <c r="E305" s="120">
        <v>3.0915497232902345</v>
      </c>
      <c r="F305" s="88" t="s">
        <v>2665</v>
      </c>
      <c r="G305" s="88" t="b">
        <v>0</v>
      </c>
      <c r="H305" s="88" t="b">
        <v>0</v>
      </c>
      <c r="I305" s="88" t="b">
        <v>0</v>
      </c>
      <c r="J305" s="88" t="b">
        <v>0</v>
      </c>
      <c r="K305" s="88" t="b">
        <v>0</v>
      </c>
      <c r="L305" s="88" t="b">
        <v>0</v>
      </c>
    </row>
    <row r="306" spans="1:12" ht="15">
      <c r="A306" s="88" t="s">
        <v>469</v>
      </c>
      <c r="B306" s="88" t="s">
        <v>2271</v>
      </c>
      <c r="C306" s="88">
        <v>3</v>
      </c>
      <c r="D306" s="120">
        <v>0.0014142294634754142</v>
      </c>
      <c r="E306" s="120">
        <v>1.2164884598985342</v>
      </c>
      <c r="F306" s="88" t="s">
        <v>2665</v>
      </c>
      <c r="G306" s="88" t="b">
        <v>0</v>
      </c>
      <c r="H306" s="88" t="b">
        <v>0</v>
      </c>
      <c r="I306" s="88" t="b">
        <v>0</v>
      </c>
      <c r="J306" s="88" t="b">
        <v>0</v>
      </c>
      <c r="K306" s="88" t="b">
        <v>0</v>
      </c>
      <c r="L306" s="88" t="b">
        <v>0</v>
      </c>
    </row>
    <row r="307" spans="1:12" ht="15">
      <c r="A307" s="88" t="s">
        <v>2334</v>
      </c>
      <c r="B307" s="88" t="s">
        <v>2339</v>
      </c>
      <c r="C307" s="88">
        <v>3</v>
      </c>
      <c r="D307" s="120">
        <v>0.0014142294634754142</v>
      </c>
      <c r="E307" s="120">
        <v>1.9666109866819343</v>
      </c>
      <c r="F307" s="88" t="s">
        <v>2665</v>
      </c>
      <c r="G307" s="88" t="b">
        <v>0</v>
      </c>
      <c r="H307" s="88" t="b">
        <v>0</v>
      </c>
      <c r="I307" s="88" t="b">
        <v>0</v>
      </c>
      <c r="J307" s="88" t="b">
        <v>0</v>
      </c>
      <c r="K307" s="88" t="b">
        <v>0</v>
      </c>
      <c r="L307" s="88" t="b">
        <v>0</v>
      </c>
    </row>
    <row r="308" spans="1:12" ht="15">
      <c r="A308" s="88" t="s">
        <v>2339</v>
      </c>
      <c r="B308" s="88" t="s">
        <v>2528</v>
      </c>
      <c r="C308" s="88">
        <v>3</v>
      </c>
      <c r="D308" s="120">
        <v>0.0014142294634754142</v>
      </c>
      <c r="E308" s="120">
        <v>2.5686709780098966</v>
      </c>
      <c r="F308" s="88" t="s">
        <v>2665</v>
      </c>
      <c r="G308" s="88" t="b">
        <v>0</v>
      </c>
      <c r="H308" s="88" t="b">
        <v>0</v>
      </c>
      <c r="I308" s="88" t="b">
        <v>0</v>
      </c>
      <c r="J308" s="88" t="b">
        <v>0</v>
      </c>
      <c r="K308" s="88" t="b">
        <v>0</v>
      </c>
      <c r="L308" s="88" t="b">
        <v>0</v>
      </c>
    </row>
    <row r="309" spans="1:12" ht="15">
      <c r="A309" s="88" t="s">
        <v>2528</v>
      </c>
      <c r="B309" s="88" t="s">
        <v>2529</v>
      </c>
      <c r="C309" s="88">
        <v>3</v>
      </c>
      <c r="D309" s="120">
        <v>0.0014142294634754142</v>
      </c>
      <c r="E309" s="120">
        <v>3.0915497232902345</v>
      </c>
      <c r="F309" s="88" t="s">
        <v>2665</v>
      </c>
      <c r="G309" s="88" t="b">
        <v>0</v>
      </c>
      <c r="H309" s="88" t="b">
        <v>0</v>
      </c>
      <c r="I309" s="88" t="b">
        <v>0</v>
      </c>
      <c r="J309" s="88" t="b">
        <v>0</v>
      </c>
      <c r="K309" s="88" t="b">
        <v>1</v>
      </c>
      <c r="L309" s="88" t="b">
        <v>0</v>
      </c>
    </row>
    <row r="310" spans="1:12" ht="15">
      <c r="A310" s="88" t="s">
        <v>2529</v>
      </c>
      <c r="B310" s="88" t="s">
        <v>2530</v>
      </c>
      <c r="C310" s="88">
        <v>3</v>
      </c>
      <c r="D310" s="120">
        <v>0.0014142294634754142</v>
      </c>
      <c r="E310" s="120">
        <v>3.0915497232902345</v>
      </c>
      <c r="F310" s="88" t="s">
        <v>2665</v>
      </c>
      <c r="G310" s="88" t="b">
        <v>0</v>
      </c>
      <c r="H310" s="88" t="b">
        <v>1</v>
      </c>
      <c r="I310" s="88" t="b">
        <v>0</v>
      </c>
      <c r="J310" s="88" t="b">
        <v>0</v>
      </c>
      <c r="K310" s="88" t="b">
        <v>0</v>
      </c>
      <c r="L310" s="88" t="b">
        <v>0</v>
      </c>
    </row>
    <row r="311" spans="1:12" ht="15">
      <c r="A311" s="88" t="s">
        <v>2530</v>
      </c>
      <c r="B311" s="88" t="s">
        <v>2531</v>
      </c>
      <c r="C311" s="88">
        <v>3</v>
      </c>
      <c r="D311" s="120">
        <v>0.0014142294634754142</v>
      </c>
      <c r="E311" s="120">
        <v>3.0915497232902345</v>
      </c>
      <c r="F311" s="88" t="s">
        <v>2665</v>
      </c>
      <c r="G311" s="88" t="b">
        <v>0</v>
      </c>
      <c r="H311" s="88" t="b">
        <v>0</v>
      </c>
      <c r="I311" s="88" t="b">
        <v>0</v>
      </c>
      <c r="J311" s="88" t="b">
        <v>0</v>
      </c>
      <c r="K311" s="88" t="b">
        <v>0</v>
      </c>
      <c r="L311" s="88" t="b">
        <v>0</v>
      </c>
    </row>
    <row r="312" spans="1:12" ht="15">
      <c r="A312" s="88" t="s">
        <v>2531</v>
      </c>
      <c r="B312" s="88" t="s">
        <v>2532</v>
      </c>
      <c r="C312" s="88">
        <v>3</v>
      </c>
      <c r="D312" s="120">
        <v>0.0014142294634754142</v>
      </c>
      <c r="E312" s="120">
        <v>3.0915497232902345</v>
      </c>
      <c r="F312" s="88" t="s">
        <v>2665</v>
      </c>
      <c r="G312" s="88" t="b">
        <v>0</v>
      </c>
      <c r="H312" s="88" t="b">
        <v>0</v>
      </c>
      <c r="I312" s="88" t="b">
        <v>0</v>
      </c>
      <c r="J312" s="88" t="b">
        <v>0</v>
      </c>
      <c r="K312" s="88" t="b">
        <v>0</v>
      </c>
      <c r="L312" s="88" t="b">
        <v>0</v>
      </c>
    </row>
    <row r="313" spans="1:12" ht="15">
      <c r="A313" s="88" t="s">
        <v>2532</v>
      </c>
      <c r="B313" s="88" t="s">
        <v>2276</v>
      </c>
      <c r="C313" s="88">
        <v>3</v>
      </c>
      <c r="D313" s="120">
        <v>0.0014142294634754142</v>
      </c>
      <c r="E313" s="120">
        <v>1.9059131463283225</v>
      </c>
      <c r="F313" s="88" t="s">
        <v>2665</v>
      </c>
      <c r="G313" s="88" t="b">
        <v>0</v>
      </c>
      <c r="H313" s="88" t="b">
        <v>0</v>
      </c>
      <c r="I313" s="88" t="b">
        <v>0</v>
      </c>
      <c r="J313" s="88" t="b">
        <v>0</v>
      </c>
      <c r="K313" s="88" t="b">
        <v>0</v>
      </c>
      <c r="L313" s="88" t="b">
        <v>0</v>
      </c>
    </row>
    <row r="314" spans="1:12" ht="15">
      <c r="A314" s="88" t="s">
        <v>2276</v>
      </c>
      <c r="B314" s="88" t="s">
        <v>2533</v>
      </c>
      <c r="C314" s="88">
        <v>3</v>
      </c>
      <c r="D314" s="120">
        <v>0.0014142294634754142</v>
      </c>
      <c r="E314" s="120">
        <v>1.9059131463283225</v>
      </c>
      <c r="F314" s="88" t="s">
        <v>2665</v>
      </c>
      <c r="G314" s="88" t="b">
        <v>0</v>
      </c>
      <c r="H314" s="88" t="b">
        <v>0</v>
      </c>
      <c r="I314" s="88" t="b">
        <v>0</v>
      </c>
      <c r="J314" s="88" t="b">
        <v>0</v>
      </c>
      <c r="K314" s="88" t="b">
        <v>0</v>
      </c>
      <c r="L314" s="88" t="b">
        <v>0</v>
      </c>
    </row>
    <row r="315" spans="1:12" ht="15">
      <c r="A315" s="88" t="s">
        <v>2533</v>
      </c>
      <c r="B315" s="88" t="s">
        <v>2534</v>
      </c>
      <c r="C315" s="88">
        <v>3</v>
      </c>
      <c r="D315" s="120">
        <v>0.0014142294634754142</v>
      </c>
      <c r="E315" s="120">
        <v>3.0915497232902345</v>
      </c>
      <c r="F315" s="88" t="s">
        <v>2665</v>
      </c>
      <c r="G315" s="88" t="b">
        <v>0</v>
      </c>
      <c r="H315" s="88" t="b">
        <v>0</v>
      </c>
      <c r="I315" s="88" t="b">
        <v>0</v>
      </c>
      <c r="J315" s="88" t="b">
        <v>0</v>
      </c>
      <c r="K315" s="88" t="b">
        <v>0</v>
      </c>
      <c r="L315" s="88" t="b">
        <v>0</v>
      </c>
    </row>
    <row r="316" spans="1:12" ht="15">
      <c r="A316" s="88" t="s">
        <v>2534</v>
      </c>
      <c r="B316" s="88" t="s">
        <v>523</v>
      </c>
      <c r="C316" s="88">
        <v>3</v>
      </c>
      <c r="D316" s="120">
        <v>0.0014142294634754142</v>
      </c>
      <c r="E316" s="120">
        <v>3.0915497232902345</v>
      </c>
      <c r="F316" s="88" t="s">
        <v>2665</v>
      </c>
      <c r="G316" s="88" t="b">
        <v>0</v>
      </c>
      <c r="H316" s="88" t="b">
        <v>0</v>
      </c>
      <c r="I316" s="88" t="b">
        <v>0</v>
      </c>
      <c r="J316" s="88" t="b">
        <v>0</v>
      </c>
      <c r="K316" s="88" t="b">
        <v>0</v>
      </c>
      <c r="L316" s="88" t="b">
        <v>0</v>
      </c>
    </row>
    <row r="317" spans="1:12" ht="15">
      <c r="A317" s="88" t="s">
        <v>523</v>
      </c>
      <c r="B317" s="88" t="s">
        <v>2535</v>
      </c>
      <c r="C317" s="88">
        <v>3</v>
      </c>
      <c r="D317" s="120">
        <v>0.0014142294634754142</v>
      </c>
      <c r="E317" s="120">
        <v>3.0915497232902345</v>
      </c>
      <c r="F317" s="88" t="s">
        <v>2665</v>
      </c>
      <c r="G317" s="88" t="b">
        <v>0</v>
      </c>
      <c r="H317" s="88" t="b">
        <v>0</v>
      </c>
      <c r="I317" s="88" t="b">
        <v>0</v>
      </c>
      <c r="J317" s="88" t="b">
        <v>0</v>
      </c>
      <c r="K317" s="88" t="b">
        <v>0</v>
      </c>
      <c r="L317" s="88" t="b">
        <v>0</v>
      </c>
    </row>
    <row r="318" spans="1:12" ht="15">
      <c r="A318" s="88" t="s">
        <v>2535</v>
      </c>
      <c r="B318" s="88" t="s">
        <v>2536</v>
      </c>
      <c r="C318" s="88">
        <v>3</v>
      </c>
      <c r="D318" s="120">
        <v>0.0014142294634754142</v>
      </c>
      <c r="E318" s="120">
        <v>3.0915497232902345</v>
      </c>
      <c r="F318" s="88" t="s">
        <v>2665</v>
      </c>
      <c r="G318" s="88" t="b">
        <v>0</v>
      </c>
      <c r="H318" s="88" t="b">
        <v>0</v>
      </c>
      <c r="I318" s="88" t="b">
        <v>0</v>
      </c>
      <c r="J318" s="88" t="b">
        <v>0</v>
      </c>
      <c r="K318" s="88" t="b">
        <v>0</v>
      </c>
      <c r="L318" s="88" t="b">
        <v>0</v>
      </c>
    </row>
    <row r="319" spans="1:12" ht="15">
      <c r="A319" s="88" t="s">
        <v>2536</v>
      </c>
      <c r="B319" s="88" t="s">
        <v>2271</v>
      </c>
      <c r="C319" s="88">
        <v>3</v>
      </c>
      <c r="D319" s="120">
        <v>0.0014142294634754142</v>
      </c>
      <c r="E319" s="120">
        <v>1.2164884598985342</v>
      </c>
      <c r="F319" s="88" t="s">
        <v>2665</v>
      </c>
      <c r="G319" s="88" t="b">
        <v>0</v>
      </c>
      <c r="H319" s="88" t="b">
        <v>0</v>
      </c>
      <c r="I319" s="88" t="b">
        <v>0</v>
      </c>
      <c r="J319" s="88" t="b">
        <v>0</v>
      </c>
      <c r="K319" s="88" t="b">
        <v>0</v>
      </c>
      <c r="L319" s="88" t="b">
        <v>0</v>
      </c>
    </row>
    <row r="320" spans="1:12" ht="15">
      <c r="A320" s="88" t="s">
        <v>2271</v>
      </c>
      <c r="B320" s="88" t="s">
        <v>2296</v>
      </c>
      <c r="C320" s="88">
        <v>3</v>
      </c>
      <c r="D320" s="120">
        <v>0.0014142294634754142</v>
      </c>
      <c r="E320" s="120">
        <v>0.4123237771499726</v>
      </c>
      <c r="F320" s="88" t="s">
        <v>2665</v>
      </c>
      <c r="G320" s="88" t="b">
        <v>0</v>
      </c>
      <c r="H320" s="88" t="b">
        <v>0</v>
      </c>
      <c r="I320" s="88" t="b">
        <v>0</v>
      </c>
      <c r="J320" s="88" t="b">
        <v>0</v>
      </c>
      <c r="K320" s="88" t="b">
        <v>0</v>
      </c>
      <c r="L320" s="88" t="b">
        <v>0</v>
      </c>
    </row>
    <row r="321" spans="1:12" ht="15">
      <c r="A321" s="88" t="s">
        <v>2296</v>
      </c>
      <c r="B321" s="88" t="s">
        <v>2537</v>
      </c>
      <c r="C321" s="88">
        <v>3</v>
      </c>
      <c r="D321" s="120">
        <v>0.0014142294634754142</v>
      </c>
      <c r="E321" s="120">
        <v>2.170730969337859</v>
      </c>
      <c r="F321" s="88" t="s">
        <v>2665</v>
      </c>
      <c r="G321" s="88" t="b">
        <v>0</v>
      </c>
      <c r="H321" s="88" t="b">
        <v>0</v>
      </c>
      <c r="I321" s="88" t="b">
        <v>0</v>
      </c>
      <c r="J321" s="88" t="b">
        <v>0</v>
      </c>
      <c r="K321" s="88" t="b">
        <v>0</v>
      </c>
      <c r="L321" s="88" t="b">
        <v>0</v>
      </c>
    </row>
    <row r="322" spans="1:12" ht="15">
      <c r="A322" s="88" t="s">
        <v>2538</v>
      </c>
      <c r="B322" s="88" t="s">
        <v>2539</v>
      </c>
      <c r="C322" s="88">
        <v>2</v>
      </c>
      <c r="D322" s="120">
        <v>0.0010327998462288904</v>
      </c>
      <c r="E322" s="120">
        <v>3.2676409823459154</v>
      </c>
      <c r="F322" s="88" t="s">
        <v>2665</v>
      </c>
      <c r="G322" s="88" t="b">
        <v>0</v>
      </c>
      <c r="H322" s="88" t="b">
        <v>0</v>
      </c>
      <c r="I322" s="88" t="b">
        <v>0</v>
      </c>
      <c r="J322" s="88" t="b">
        <v>0</v>
      </c>
      <c r="K322" s="88" t="b">
        <v>0</v>
      </c>
      <c r="L322" s="88" t="b">
        <v>0</v>
      </c>
    </row>
    <row r="323" spans="1:12" ht="15">
      <c r="A323" s="88" t="s">
        <v>2539</v>
      </c>
      <c r="B323" s="88" t="s">
        <v>2540</v>
      </c>
      <c r="C323" s="88">
        <v>2</v>
      </c>
      <c r="D323" s="120">
        <v>0.0010327998462288904</v>
      </c>
      <c r="E323" s="120">
        <v>3.2676409823459154</v>
      </c>
      <c r="F323" s="88" t="s">
        <v>2665</v>
      </c>
      <c r="G323" s="88" t="b">
        <v>0</v>
      </c>
      <c r="H323" s="88" t="b">
        <v>0</v>
      </c>
      <c r="I323" s="88" t="b">
        <v>0</v>
      </c>
      <c r="J323" s="88" t="b">
        <v>0</v>
      </c>
      <c r="K323" s="88" t="b">
        <v>0</v>
      </c>
      <c r="L323" s="88" t="b">
        <v>0</v>
      </c>
    </row>
    <row r="324" spans="1:12" ht="15">
      <c r="A324" s="88" t="s">
        <v>2540</v>
      </c>
      <c r="B324" s="88" t="s">
        <v>2541</v>
      </c>
      <c r="C324" s="88">
        <v>2</v>
      </c>
      <c r="D324" s="120">
        <v>0.0010327998462288904</v>
      </c>
      <c r="E324" s="120">
        <v>3.2676409823459154</v>
      </c>
      <c r="F324" s="88" t="s">
        <v>2665</v>
      </c>
      <c r="G324" s="88" t="b">
        <v>0</v>
      </c>
      <c r="H324" s="88" t="b">
        <v>0</v>
      </c>
      <c r="I324" s="88" t="b">
        <v>0</v>
      </c>
      <c r="J324" s="88" t="b">
        <v>0</v>
      </c>
      <c r="K324" s="88" t="b">
        <v>0</v>
      </c>
      <c r="L324" s="88" t="b">
        <v>0</v>
      </c>
    </row>
    <row r="325" spans="1:12" ht="15">
      <c r="A325" s="88" t="s">
        <v>2541</v>
      </c>
      <c r="B325" s="88" t="s">
        <v>2542</v>
      </c>
      <c r="C325" s="88">
        <v>2</v>
      </c>
      <c r="D325" s="120">
        <v>0.0010327998462288904</v>
      </c>
      <c r="E325" s="120">
        <v>3.2676409823459154</v>
      </c>
      <c r="F325" s="88" t="s">
        <v>2665</v>
      </c>
      <c r="G325" s="88" t="b">
        <v>0</v>
      </c>
      <c r="H325" s="88" t="b">
        <v>0</v>
      </c>
      <c r="I325" s="88" t="b">
        <v>0</v>
      </c>
      <c r="J325" s="88" t="b">
        <v>0</v>
      </c>
      <c r="K325" s="88" t="b">
        <v>0</v>
      </c>
      <c r="L325" s="88" t="b">
        <v>0</v>
      </c>
    </row>
    <row r="326" spans="1:12" ht="15">
      <c r="A326" s="88" t="s">
        <v>2542</v>
      </c>
      <c r="B326" s="88" t="s">
        <v>2543</v>
      </c>
      <c r="C326" s="88">
        <v>2</v>
      </c>
      <c r="D326" s="120">
        <v>0.0010327998462288904</v>
      </c>
      <c r="E326" s="120">
        <v>3.2676409823459154</v>
      </c>
      <c r="F326" s="88" t="s">
        <v>2665</v>
      </c>
      <c r="G326" s="88" t="b">
        <v>0</v>
      </c>
      <c r="H326" s="88" t="b">
        <v>0</v>
      </c>
      <c r="I326" s="88" t="b">
        <v>0</v>
      </c>
      <c r="J326" s="88" t="b">
        <v>0</v>
      </c>
      <c r="K326" s="88" t="b">
        <v>0</v>
      </c>
      <c r="L326" s="88" t="b">
        <v>0</v>
      </c>
    </row>
    <row r="327" spans="1:12" ht="15">
      <c r="A327" s="88" t="s">
        <v>2543</v>
      </c>
      <c r="B327" s="88" t="s">
        <v>2272</v>
      </c>
      <c r="C327" s="88">
        <v>2</v>
      </c>
      <c r="D327" s="120">
        <v>0.0010327998462288904</v>
      </c>
      <c r="E327" s="120">
        <v>1.6548571256261801</v>
      </c>
      <c r="F327" s="88" t="s">
        <v>2665</v>
      </c>
      <c r="G327" s="88" t="b">
        <v>0</v>
      </c>
      <c r="H327" s="88" t="b">
        <v>0</v>
      </c>
      <c r="I327" s="88" t="b">
        <v>0</v>
      </c>
      <c r="J327" s="88" t="b">
        <v>1</v>
      </c>
      <c r="K327" s="88" t="b">
        <v>0</v>
      </c>
      <c r="L327" s="88" t="b">
        <v>0</v>
      </c>
    </row>
    <row r="328" spans="1:12" ht="15">
      <c r="A328" s="88" t="s">
        <v>2272</v>
      </c>
      <c r="B328" s="88" t="s">
        <v>2491</v>
      </c>
      <c r="C328" s="88">
        <v>2</v>
      </c>
      <c r="D328" s="120">
        <v>0.0010327998462288904</v>
      </c>
      <c r="E328" s="120">
        <v>1.4787658665704988</v>
      </c>
      <c r="F328" s="88" t="s">
        <v>2665</v>
      </c>
      <c r="G328" s="88" t="b">
        <v>1</v>
      </c>
      <c r="H328" s="88" t="b">
        <v>0</v>
      </c>
      <c r="I328" s="88" t="b">
        <v>0</v>
      </c>
      <c r="J328" s="88" t="b">
        <v>0</v>
      </c>
      <c r="K328" s="88" t="b">
        <v>0</v>
      </c>
      <c r="L328" s="88" t="b">
        <v>0</v>
      </c>
    </row>
    <row r="329" spans="1:12" ht="15">
      <c r="A329" s="88" t="s">
        <v>2491</v>
      </c>
      <c r="B329" s="88" t="s">
        <v>2544</v>
      </c>
      <c r="C329" s="88">
        <v>2</v>
      </c>
      <c r="D329" s="120">
        <v>0.0010327998462288904</v>
      </c>
      <c r="E329" s="120">
        <v>3.0915497232902345</v>
      </c>
      <c r="F329" s="88" t="s">
        <v>2665</v>
      </c>
      <c r="G329" s="88" t="b">
        <v>0</v>
      </c>
      <c r="H329" s="88" t="b">
        <v>0</v>
      </c>
      <c r="I329" s="88" t="b">
        <v>0</v>
      </c>
      <c r="J329" s="88" t="b">
        <v>0</v>
      </c>
      <c r="K329" s="88" t="b">
        <v>0</v>
      </c>
      <c r="L329" s="88" t="b">
        <v>0</v>
      </c>
    </row>
    <row r="330" spans="1:12" ht="15">
      <c r="A330" s="88" t="s">
        <v>2544</v>
      </c>
      <c r="B330" s="88" t="s">
        <v>2440</v>
      </c>
      <c r="C330" s="88">
        <v>2</v>
      </c>
      <c r="D330" s="120">
        <v>0.0010327998462288904</v>
      </c>
      <c r="E330" s="120">
        <v>2.966610986681934</v>
      </c>
      <c r="F330" s="88" t="s">
        <v>2665</v>
      </c>
      <c r="G330" s="88" t="b">
        <v>0</v>
      </c>
      <c r="H330" s="88" t="b">
        <v>0</v>
      </c>
      <c r="I330" s="88" t="b">
        <v>0</v>
      </c>
      <c r="J330" s="88" t="b">
        <v>0</v>
      </c>
      <c r="K330" s="88" t="b">
        <v>0</v>
      </c>
      <c r="L330" s="88" t="b">
        <v>0</v>
      </c>
    </row>
    <row r="331" spans="1:12" ht="15">
      <c r="A331" s="88" t="s">
        <v>2440</v>
      </c>
      <c r="B331" s="88" t="s">
        <v>2545</v>
      </c>
      <c r="C331" s="88">
        <v>2</v>
      </c>
      <c r="D331" s="120">
        <v>0.0010327998462288904</v>
      </c>
      <c r="E331" s="120">
        <v>2.966610986681934</v>
      </c>
      <c r="F331" s="88" t="s">
        <v>2665</v>
      </c>
      <c r="G331" s="88" t="b">
        <v>0</v>
      </c>
      <c r="H331" s="88" t="b">
        <v>0</v>
      </c>
      <c r="I331" s="88" t="b">
        <v>0</v>
      </c>
      <c r="J331" s="88" t="b">
        <v>0</v>
      </c>
      <c r="K331" s="88" t="b">
        <v>0</v>
      </c>
      <c r="L331" s="88" t="b">
        <v>0</v>
      </c>
    </row>
    <row r="332" spans="1:12" ht="15">
      <c r="A332" s="88" t="s">
        <v>2545</v>
      </c>
      <c r="B332" s="88" t="s">
        <v>2546</v>
      </c>
      <c r="C332" s="88">
        <v>2</v>
      </c>
      <c r="D332" s="120">
        <v>0.0010327998462288904</v>
      </c>
      <c r="E332" s="120">
        <v>3.2676409823459154</v>
      </c>
      <c r="F332" s="88" t="s">
        <v>2665</v>
      </c>
      <c r="G332" s="88" t="b">
        <v>0</v>
      </c>
      <c r="H332" s="88" t="b">
        <v>0</v>
      </c>
      <c r="I332" s="88" t="b">
        <v>0</v>
      </c>
      <c r="J332" s="88" t="b">
        <v>0</v>
      </c>
      <c r="K332" s="88" t="b">
        <v>1</v>
      </c>
      <c r="L332" s="88" t="b">
        <v>0</v>
      </c>
    </row>
    <row r="333" spans="1:12" ht="15">
      <c r="A333" s="88" t="s">
        <v>2546</v>
      </c>
      <c r="B333" s="88" t="s">
        <v>2547</v>
      </c>
      <c r="C333" s="88">
        <v>2</v>
      </c>
      <c r="D333" s="120">
        <v>0.0010327998462288904</v>
      </c>
      <c r="E333" s="120">
        <v>3.2676409823459154</v>
      </c>
      <c r="F333" s="88" t="s">
        <v>2665</v>
      </c>
      <c r="G333" s="88" t="b">
        <v>0</v>
      </c>
      <c r="H333" s="88" t="b">
        <v>1</v>
      </c>
      <c r="I333" s="88" t="b">
        <v>0</v>
      </c>
      <c r="J333" s="88" t="b">
        <v>0</v>
      </c>
      <c r="K333" s="88" t="b">
        <v>0</v>
      </c>
      <c r="L333" s="88" t="b">
        <v>0</v>
      </c>
    </row>
    <row r="334" spans="1:12" ht="15">
      <c r="A334" s="88" t="s">
        <v>2547</v>
      </c>
      <c r="B334" s="88" t="s">
        <v>2548</v>
      </c>
      <c r="C334" s="88">
        <v>2</v>
      </c>
      <c r="D334" s="120">
        <v>0.0010327998462288904</v>
      </c>
      <c r="E334" s="120">
        <v>3.2676409823459154</v>
      </c>
      <c r="F334" s="88" t="s">
        <v>2665</v>
      </c>
      <c r="G334" s="88" t="b">
        <v>0</v>
      </c>
      <c r="H334" s="88" t="b">
        <v>0</v>
      </c>
      <c r="I334" s="88" t="b">
        <v>0</v>
      </c>
      <c r="J334" s="88" t="b">
        <v>0</v>
      </c>
      <c r="K334" s="88" t="b">
        <v>1</v>
      </c>
      <c r="L334" s="88" t="b">
        <v>0</v>
      </c>
    </row>
    <row r="335" spans="1:12" ht="15">
      <c r="A335" s="88" t="s">
        <v>2548</v>
      </c>
      <c r="B335" s="88" t="s">
        <v>2276</v>
      </c>
      <c r="C335" s="88">
        <v>2</v>
      </c>
      <c r="D335" s="120">
        <v>0.0010327998462288904</v>
      </c>
      <c r="E335" s="120">
        <v>1.9059131463283225</v>
      </c>
      <c r="F335" s="88" t="s">
        <v>2665</v>
      </c>
      <c r="G335" s="88" t="b">
        <v>0</v>
      </c>
      <c r="H335" s="88" t="b">
        <v>1</v>
      </c>
      <c r="I335" s="88" t="b">
        <v>0</v>
      </c>
      <c r="J335" s="88" t="b">
        <v>0</v>
      </c>
      <c r="K335" s="88" t="b">
        <v>0</v>
      </c>
      <c r="L335" s="88" t="b">
        <v>0</v>
      </c>
    </row>
    <row r="336" spans="1:12" ht="15">
      <c r="A336" s="88" t="s">
        <v>2276</v>
      </c>
      <c r="B336" s="88" t="s">
        <v>2549</v>
      </c>
      <c r="C336" s="88">
        <v>2</v>
      </c>
      <c r="D336" s="120">
        <v>0.0010327998462288904</v>
      </c>
      <c r="E336" s="120">
        <v>1.9059131463283225</v>
      </c>
      <c r="F336" s="88" t="s">
        <v>2665</v>
      </c>
      <c r="G336" s="88" t="b">
        <v>0</v>
      </c>
      <c r="H336" s="88" t="b">
        <v>0</v>
      </c>
      <c r="I336" s="88" t="b">
        <v>0</v>
      </c>
      <c r="J336" s="88" t="b">
        <v>0</v>
      </c>
      <c r="K336" s="88" t="b">
        <v>0</v>
      </c>
      <c r="L336" s="88" t="b">
        <v>0</v>
      </c>
    </row>
    <row r="337" spans="1:12" ht="15">
      <c r="A337" s="88" t="s">
        <v>2549</v>
      </c>
      <c r="B337" s="88" t="s">
        <v>2550</v>
      </c>
      <c r="C337" s="88">
        <v>2</v>
      </c>
      <c r="D337" s="120">
        <v>0.0010327998462288904</v>
      </c>
      <c r="E337" s="120">
        <v>3.2676409823459154</v>
      </c>
      <c r="F337" s="88" t="s">
        <v>2665</v>
      </c>
      <c r="G337" s="88" t="b">
        <v>0</v>
      </c>
      <c r="H337" s="88" t="b">
        <v>0</v>
      </c>
      <c r="I337" s="88" t="b">
        <v>0</v>
      </c>
      <c r="J337" s="88" t="b">
        <v>0</v>
      </c>
      <c r="K337" s="88" t="b">
        <v>0</v>
      </c>
      <c r="L337" s="88" t="b">
        <v>0</v>
      </c>
    </row>
    <row r="338" spans="1:12" ht="15">
      <c r="A338" s="88" t="s">
        <v>2550</v>
      </c>
      <c r="B338" s="88" t="s">
        <v>2272</v>
      </c>
      <c r="C338" s="88">
        <v>2</v>
      </c>
      <c r="D338" s="120">
        <v>0.0010327998462288904</v>
      </c>
      <c r="E338" s="120">
        <v>1.6548571256261801</v>
      </c>
      <c r="F338" s="88" t="s">
        <v>2665</v>
      </c>
      <c r="G338" s="88" t="b">
        <v>0</v>
      </c>
      <c r="H338" s="88" t="b">
        <v>0</v>
      </c>
      <c r="I338" s="88" t="b">
        <v>0</v>
      </c>
      <c r="J338" s="88" t="b">
        <v>1</v>
      </c>
      <c r="K338" s="88" t="b">
        <v>0</v>
      </c>
      <c r="L338" s="88" t="b">
        <v>0</v>
      </c>
    </row>
    <row r="339" spans="1:12" ht="15">
      <c r="A339" s="88" t="s">
        <v>2272</v>
      </c>
      <c r="B339" s="88" t="s">
        <v>2271</v>
      </c>
      <c r="C339" s="88">
        <v>2</v>
      </c>
      <c r="D339" s="120">
        <v>0.0010327998462288904</v>
      </c>
      <c r="E339" s="120">
        <v>-0.39629539682120113</v>
      </c>
      <c r="F339" s="88" t="s">
        <v>2665</v>
      </c>
      <c r="G339" s="88" t="b">
        <v>1</v>
      </c>
      <c r="H339" s="88" t="b">
        <v>0</v>
      </c>
      <c r="I339" s="88" t="b">
        <v>0</v>
      </c>
      <c r="J339" s="88" t="b">
        <v>0</v>
      </c>
      <c r="K339" s="88" t="b">
        <v>0</v>
      </c>
      <c r="L339" s="88" t="b">
        <v>0</v>
      </c>
    </row>
    <row r="340" spans="1:12" ht="15">
      <c r="A340" s="88" t="s">
        <v>2271</v>
      </c>
      <c r="B340" s="88" t="s">
        <v>2551</v>
      </c>
      <c r="C340" s="88">
        <v>2</v>
      </c>
      <c r="D340" s="120">
        <v>0.0010327998462288904</v>
      </c>
      <c r="E340" s="120">
        <v>1.3331425311023477</v>
      </c>
      <c r="F340" s="88" t="s">
        <v>2665</v>
      </c>
      <c r="G340" s="88" t="b">
        <v>0</v>
      </c>
      <c r="H340" s="88" t="b">
        <v>0</v>
      </c>
      <c r="I340" s="88" t="b">
        <v>0</v>
      </c>
      <c r="J340" s="88" t="b">
        <v>0</v>
      </c>
      <c r="K340" s="88" t="b">
        <v>0</v>
      </c>
      <c r="L340" s="88" t="b">
        <v>0</v>
      </c>
    </row>
    <row r="341" spans="1:12" ht="15">
      <c r="A341" s="88" t="s">
        <v>2551</v>
      </c>
      <c r="B341" s="88" t="s">
        <v>2272</v>
      </c>
      <c r="C341" s="88">
        <v>2</v>
      </c>
      <c r="D341" s="120">
        <v>0.0010327998462288904</v>
      </c>
      <c r="E341" s="120">
        <v>1.6548571256261801</v>
      </c>
      <c r="F341" s="88" t="s">
        <v>2665</v>
      </c>
      <c r="G341" s="88" t="b">
        <v>0</v>
      </c>
      <c r="H341" s="88" t="b">
        <v>0</v>
      </c>
      <c r="I341" s="88" t="b">
        <v>0</v>
      </c>
      <c r="J341" s="88" t="b">
        <v>1</v>
      </c>
      <c r="K341" s="88" t="b">
        <v>0</v>
      </c>
      <c r="L341" s="88" t="b">
        <v>0</v>
      </c>
    </row>
    <row r="342" spans="1:12" ht="15">
      <c r="A342" s="88" t="s">
        <v>2272</v>
      </c>
      <c r="B342" s="88" t="s">
        <v>2552</v>
      </c>
      <c r="C342" s="88">
        <v>2</v>
      </c>
      <c r="D342" s="120">
        <v>0.0010327998462288904</v>
      </c>
      <c r="E342" s="120">
        <v>1.6548571256261801</v>
      </c>
      <c r="F342" s="88" t="s">
        <v>2665</v>
      </c>
      <c r="G342" s="88" t="b">
        <v>1</v>
      </c>
      <c r="H342" s="88" t="b">
        <v>0</v>
      </c>
      <c r="I342" s="88" t="b">
        <v>0</v>
      </c>
      <c r="J342" s="88" t="b">
        <v>0</v>
      </c>
      <c r="K342" s="88" t="b">
        <v>0</v>
      </c>
      <c r="L342" s="88" t="b">
        <v>0</v>
      </c>
    </row>
    <row r="343" spans="1:12" ht="15">
      <c r="A343" s="88" t="s">
        <v>2552</v>
      </c>
      <c r="B343" s="88" t="s">
        <v>2553</v>
      </c>
      <c r="C343" s="88">
        <v>2</v>
      </c>
      <c r="D343" s="120">
        <v>0.0010327998462288904</v>
      </c>
      <c r="E343" s="120">
        <v>3.2676409823459154</v>
      </c>
      <c r="F343" s="88" t="s">
        <v>2665</v>
      </c>
      <c r="G343" s="88" t="b">
        <v>0</v>
      </c>
      <c r="H343" s="88" t="b">
        <v>0</v>
      </c>
      <c r="I343" s="88" t="b">
        <v>0</v>
      </c>
      <c r="J343" s="88" t="b">
        <v>0</v>
      </c>
      <c r="K343" s="88" t="b">
        <v>0</v>
      </c>
      <c r="L343" s="88" t="b">
        <v>0</v>
      </c>
    </row>
    <row r="344" spans="1:12" ht="15">
      <c r="A344" s="88" t="s">
        <v>2553</v>
      </c>
      <c r="B344" s="88" t="s">
        <v>2372</v>
      </c>
      <c r="C344" s="88">
        <v>2</v>
      </c>
      <c r="D344" s="120">
        <v>0.0010327998462288904</v>
      </c>
      <c r="E344" s="120">
        <v>2.665580991017953</v>
      </c>
      <c r="F344" s="88" t="s">
        <v>2665</v>
      </c>
      <c r="G344" s="88" t="b">
        <v>0</v>
      </c>
      <c r="H344" s="88" t="b">
        <v>0</v>
      </c>
      <c r="I344" s="88" t="b">
        <v>0</v>
      </c>
      <c r="J344" s="88" t="b">
        <v>1</v>
      </c>
      <c r="K344" s="88" t="b">
        <v>0</v>
      </c>
      <c r="L344" s="88" t="b">
        <v>0</v>
      </c>
    </row>
    <row r="345" spans="1:12" ht="15">
      <c r="A345" s="88" t="s">
        <v>2372</v>
      </c>
      <c r="B345" s="88" t="s">
        <v>2554</v>
      </c>
      <c r="C345" s="88">
        <v>2</v>
      </c>
      <c r="D345" s="120">
        <v>0.0010327998462288904</v>
      </c>
      <c r="E345" s="120">
        <v>2.665580991017953</v>
      </c>
      <c r="F345" s="88" t="s">
        <v>2665</v>
      </c>
      <c r="G345" s="88" t="b">
        <v>1</v>
      </c>
      <c r="H345" s="88" t="b">
        <v>0</v>
      </c>
      <c r="I345" s="88" t="b">
        <v>0</v>
      </c>
      <c r="J345" s="88" t="b">
        <v>0</v>
      </c>
      <c r="K345" s="88" t="b">
        <v>0</v>
      </c>
      <c r="L345" s="88" t="b">
        <v>0</v>
      </c>
    </row>
    <row r="346" spans="1:12" ht="15">
      <c r="A346" s="88" t="s">
        <v>2554</v>
      </c>
      <c r="B346" s="88" t="s">
        <v>508</v>
      </c>
      <c r="C346" s="88">
        <v>2</v>
      </c>
      <c r="D346" s="120">
        <v>0.0010327998462288904</v>
      </c>
      <c r="E346" s="120">
        <v>3.2676409823459154</v>
      </c>
      <c r="F346" s="88" t="s">
        <v>2665</v>
      </c>
      <c r="G346" s="88" t="b">
        <v>0</v>
      </c>
      <c r="H346" s="88" t="b">
        <v>0</v>
      </c>
      <c r="I346" s="88" t="b">
        <v>0</v>
      </c>
      <c r="J346" s="88" t="b">
        <v>0</v>
      </c>
      <c r="K346" s="88" t="b">
        <v>0</v>
      </c>
      <c r="L346" s="88" t="b">
        <v>0</v>
      </c>
    </row>
    <row r="347" spans="1:12" ht="15">
      <c r="A347" s="88" t="s">
        <v>508</v>
      </c>
      <c r="B347" s="88" t="s">
        <v>585</v>
      </c>
      <c r="C347" s="88">
        <v>2</v>
      </c>
      <c r="D347" s="120">
        <v>0.0010327998462288904</v>
      </c>
      <c r="E347" s="120">
        <v>3.2676409823459154</v>
      </c>
      <c r="F347" s="88" t="s">
        <v>2665</v>
      </c>
      <c r="G347" s="88" t="b">
        <v>0</v>
      </c>
      <c r="H347" s="88" t="b">
        <v>0</v>
      </c>
      <c r="I347" s="88" t="b">
        <v>0</v>
      </c>
      <c r="J347" s="88" t="b">
        <v>0</v>
      </c>
      <c r="K347" s="88" t="b">
        <v>0</v>
      </c>
      <c r="L347" s="88" t="b">
        <v>0</v>
      </c>
    </row>
    <row r="348" spans="1:12" ht="15">
      <c r="A348" s="88" t="s">
        <v>2555</v>
      </c>
      <c r="B348" s="88" t="s">
        <v>2556</v>
      </c>
      <c r="C348" s="88">
        <v>2</v>
      </c>
      <c r="D348" s="120">
        <v>0.0010327998462288904</v>
      </c>
      <c r="E348" s="120">
        <v>3.2676409823459154</v>
      </c>
      <c r="F348" s="88" t="s">
        <v>2665</v>
      </c>
      <c r="G348" s="88" t="b">
        <v>0</v>
      </c>
      <c r="H348" s="88" t="b">
        <v>0</v>
      </c>
      <c r="I348" s="88" t="b">
        <v>0</v>
      </c>
      <c r="J348" s="88" t="b">
        <v>1</v>
      </c>
      <c r="K348" s="88" t="b">
        <v>0</v>
      </c>
      <c r="L348" s="88" t="b">
        <v>0</v>
      </c>
    </row>
    <row r="349" spans="1:12" ht="15">
      <c r="A349" s="88" t="s">
        <v>2556</v>
      </c>
      <c r="B349" s="88" t="s">
        <v>2557</v>
      </c>
      <c r="C349" s="88">
        <v>2</v>
      </c>
      <c r="D349" s="120">
        <v>0.0010327998462288904</v>
      </c>
      <c r="E349" s="120">
        <v>3.2676409823459154</v>
      </c>
      <c r="F349" s="88" t="s">
        <v>2665</v>
      </c>
      <c r="G349" s="88" t="b">
        <v>1</v>
      </c>
      <c r="H349" s="88" t="b">
        <v>0</v>
      </c>
      <c r="I349" s="88" t="b">
        <v>0</v>
      </c>
      <c r="J349" s="88" t="b">
        <v>0</v>
      </c>
      <c r="K349" s="88" t="b">
        <v>0</v>
      </c>
      <c r="L349" s="88" t="b">
        <v>0</v>
      </c>
    </row>
    <row r="350" spans="1:12" ht="15">
      <c r="A350" s="88" t="s">
        <v>2557</v>
      </c>
      <c r="B350" s="88" t="s">
        <v>2558</v>
      </c>
      <c r="C350" s="88">
        <v>2</v>
      </c>
      <c r="D350" s="120">
        <v>0.0010327998462288904</v>
      </c>
      <c r="E350" s="120">
        <v>3.2676409823459154</v>
      </c>
      <c r="F350" s="88" t="s">
        <v>2665</v>
      </c>
      <c r="G350" s="88" t="b">
        <v>0</v>
      </c>
      <c r="H350" s="88" t="b">
        <v>0</v>
      </c>
      <c r="I350" s="88" t="b">
        <v>0</v>
      </c>
      <c r="J350" s="88" t="b">
        <v>0</v>
      </c>
      <c r="K350" s="88" t="b">
        <v>0</v>
      </c>
      <c r="L350" s="88" t="b">
        <v>0</v>
      </c>
    </row>
    <row r="351" spans="1:12" ht="15">
      <c r="A351" s="88" t="s">
        <v>2558</v>
      </c>
      <c r="B351" s="88" t="s">
        <v>699</v>
      </c>
      <c r="C351" s="88">
        <v>2</v>
      </c>
      <c r="D351" s="120">
        <v>0.0010327998462288904</v>
      </c>
      <c r="E351" s="120">
        <v>1.493124016617366</v>
      </c>
      <c r="F351" s="88" t="s">
        <v>2665</v>
      </c>
      <c r="G351" s="88" t="b">
        <v>0</v>
      </c>
      <c r="H351" s="88" t="b">
        <v>0</v>
      </c>
      <c r="I351" s="88" t="b">
        <v>0</v>
      </c>
      <c r="J351" s="88" t="b">
        <v>0</v>
      </c>
      <c r="K351" s="88" t="b">
        <v>0</v>
      </c>
      <c r="L351" s="88" t="b">
        <v>0</v>
      </c>
    </row>
    <row r="352" spans="1:12" ht="15">
      <c r="A352" s="88" t="s">
        <v>2390</v>
      </c>
      <c r="B352" s="88" t="s">
        <v>2559</v>
      </c>
      <c r="C352" s="88">
        <v>2</v>
      </c>
      <c r="D352" s="120">
        <v>0.0010327998462288904</v>
      </c>
      <c r="E352" s="120">
        <v>2.790519727626253</v>
      </c>
      <c r="F352" s="88" t="s">
        <v>2665</v>
      </c>
      <c r="G352" s="88" t="b">
        <v>0</v>
      </c>
      <c r="H352" s="88" t="b">
        <v>0</v>
      </c>
      <c r="I352" s="88" t="b">
        <v>0</v>
      </c>
      <c r="J352" s="88" t="b">
        <v>0</v>
      </c>
      <c r="K352" s="88" t="b">
        <v>0</v>
      </c>
      <c r="L352" s="88" t="b">
        <v>0</v>
      </c>
    </row>
    <row r="353" spans="1:12" ht="15">
      <c r="A353" s="88" t="s">
        <v>2559</v>
      </c>
      <c r="B353" s="88" t="s">
        <v>2560</v>
      </c>
      <c r="C353" s="88">
        <v>2</v>
      </c>
      <c r="D353" s="120">
        <v>0.0010327998462288904</v>
      </c>
      <c r="E353" s="120">
        <v>3.2676409823459154</v>
      </c>
      <c r="F353" s="88" t="s">
        <v>2665</v>
      </c>
      <c r="G353" s="88" t="b">
        <v>0</v>
      </c>
      <c r="H353" s="88" t="b">
        <v>0</v>
      </c>
      <c r="I353" s="88" t="b">
        <v>0</v>
      </c>
      <c r="J353" s="88" t="b">
        <v>0</v>
      </c>
      <c r="K353" s="88" t="b">
        <v>0</v>
      </c>
      <c r="L353" s="88" t="b">
        <v>0</v>
      </c>
    </row>
    <row r="354" spans="1:12" ht="15">
      <c r="A354" s="88" t="s">
        <v>2560</v>
      </c>
      <c r="B354" s="88" t="s">
        <v>2441</v>
      </c>
      <c r="C354" s="88">
        <v>2</v>
      </c>
      <c r="D354" s="120">
        <v>0.0010327998462288904</v>
      </c>
      <c r="E354" s="120">
        <v>2.966610986681934</v>
      </c>
      <c r="F354" s="88" t="s">
        <v>2665</v>
      </c>
      <c r="G354" s="88" t="b">
        <v>0</v>
      </c>
      <c r="H354" s="88" t="b">
        <v>0</v>
      </c>
      <c r="I354" s="88" t="b">
        <v>0</v>
      </c>
      <c r="J354" s="88" t="b">
        <v>0</v>
      </c>
      <c r="K354" s="88" t="b">
        <v>0</v>
      </c>
      <c r="L354" s="88" t="b">
        <v>0</v>
      </c>
    </row>
    <row r="355" spans="1:12" ht="15">
      <c r="A355" s="88" t="s">
        <v>2441</v>
      </c>
      <c r="B355" s="88" t="s">
        <v>2561</v>
      </c>
      <c r="C355" s="88">
        <v>2</v>
      </c>
      <c r="D355" s="120">
        <v>0.0010327998462288904</v>
      </c>
      <c r="E355" s="120">
        <v>2.966610986681934</v>
      </c>
      <c r="F355" s="88" t="s">
        <v>2665</v>
      </c>
      <c r="G355" s="88" t="b">
        <v>0</v>
      </c>
      <c r="H355" s="88" t="b">
        <v>0</v>
      </c>
      <c r="I355" s="88" t="b">
        <v>0</v>
      </c>
      <c r="J355" s="88" t="b">
        <v>0</v>
      </c>
      <c r="K355" s="88" t="b">
        <v>0</v>
      </c>
      <c r="L355" s="88" t="b">
        <v>0</v>
      </c>
    </row>
    <row r="356" spans="1:12" ht="15">
      <c r="A356" s="88" t="s">
        <v>2561</v>
      </c>
      <c r="B356" s="88" t="s">
        <v>2338</v>
      </c>
      <c r="C356" s="88">
        <v>2</v>
      </c>
      <c r="D356" s="120">
        <v>0.0010327998462288904</v>
      </c>
      <c r="E356" s="120">
        <v>2.5686709780098966</v>
      </c>
      <c r="F356" s="88" t="s">
        <v>2665</v>
      </c>
      <c r="G356" s="88" t="b">
        <v>0</v>
      </c>
      <c r="H356" s="88" t="b">
        <v>0</v>
      </c>
      <c r="I356" s="88" t="b">
        <v>0</v>
      </c>
      <c r="J356" s="88" t="b">
        <v>0</v>
      </c>
      <c r="K356" s="88" t="b">
        <v>0</v>
      </c>
      <c r="L356" s="88" t="b">
        <v>0</v>
      </c>
    </row>
    <row r="357" spans="1:12" ht="15">
      <c r="A357" s="88" t="s">
        <v>2562</v>
      </c>
      <c r="B357" s="88" t="s">
        <v>584</v>
      </c>
      <c r="C357" s="88">
        <v>2</v>
      </c>
      <c r="D357" s="120">
        <v>0.0010327998462288904</v>
      </c>
      <c r="E357" s="120">
        <v>3.2676409823459154</v>
      </c>
      <c r="F357" s="88" t="s">
        <v>2665</v>
      </c>
      <c r="G357" s="88" t="b">
        <v>0</v>
      </c>
      <c r="H357" s="88" t="b">
        <v>0</v>
      </c>
      <c r="I357" s="88" t="b">
        <v>0</v>
      </c>
      <c r="J357" s="88" t="b">
        <v>0</v>
      </c>
      <c r="K357" s="88" t="b">
        <v>0</v>
      </c>
      <c r="L357" s="88" t="b">
        <v>0</v>
      </c>
    </row>
    <row r="358" spans="1:12" ht="15">
      <c r="A358" s="88" t="s">
        <v>584</v>
      </c>
      <c r="B358" s="88" t="s">
        <v>2563</v>
      </c>
      <c r="C358" s="88">
        <v>2</v>
      </c>
      <c r="D358" s="120">
        <v>0.0010327998462288904</v>
      </c>
      <c r="E358" s="120">
        <v>3.2676409823459154</v>
      </c>
      <c r="F358" s="88" t="s">
        <v>2665</v>
      </c>
      <c r="G358" s="88" t="b">
        <v>0</v>
      </c>
      <c r="H358" s="88" t="b">
        <v>0</v>
      </c>
      <c r="I358" s="88" t="b">
        <v>0</v>
      </c>
      <c r="J358" s="88" t="b">
        <v>0</v>
      </c>
      <c r="K358" s="88" t="b">
        <v>0</v>
      </c>
      <c r="L358" s="88" t="b">
        <v>0</v>
      </c>
    </row>
    <row r="359" spans="1:12" ht="15">
      <c r="A359" s="88" t="s">
        <v>2563</v>
      </c>
      <c r="B359" s="88" t="s">
        <v>2442</v>
      </c>
      <c r="C359" s="88">
        <v>2</v>
      </c>
      <c r="D359" s="120">
        <v>0.0010327998462288904</v>
      </c>
      <c r="E359" s="120">
        <v>2.966610986681934</v>
      </c>
      <c r="F359" s="88" t="s">
        <v>2665</v>
      </c>
      <c r="G359" s="88" t="b">
        <v>0</v>
      </c>
      <c r="H359" s="88" t="b">
        <v>0</v>
      </c>
      <c r="I359" s="88" t="b">
        <v>0</v>
      </c>
      <c r="J359" s="88" t="b">
        <v>0</v>
      </c>
      <c r="K359" s="88" t="b">
        <v>0</v>
      </c>
      <c r="L359" s="88" t="b">
        <v>0</v>
      </c>
    </row>
    <row r="360" spans="1:12" ht="15">
      <c r="A360" s="88" t="s">
        <v>2442</v>
      </c>
      <c r="B360" s="88" t="s">
        <v>699</v>
      </c>
      <c r="C360" s="88">
        <v>2</v>
      </c>
      <c r="D360" s="120">
        <v>0.0010327998462288904</v>
      </c>
      <c r="E360" s="120">
        <v>1.1920940209533848</v>
      </c>
      <c r="F360" s="88" t="s">
        <v>2665</v>
      </c>
      <c r="G360" s="88" t="b">
        <v>0</v>
      </c>
      <c r="H360" s="88" t="b">
        <v>0</v>
      </c>
      <c r="I360" s="88" t="b">
        <v>0</v>
      </c>
      <c r="J360" s="88" t="b">
        <v>0</v>
      </c>
      <c r="K360" s="88" t="b">
        <v>0</v>
      </c>
      <c r="L360" s="88" t="b">
        <v>0</v>
      </c>
    </row>
    <row r="361" spans="1:12" ht="15">
      <c r="A361" s="88" t="s">
        <v>2390</v>
      </c>
      <c r="B361" s="88" t="s">
        <v>2564</v>
      </c>
      <c r="C361" s="88">
        <v>2</v>
      </c>
      <c r="D361" s="120">
        <v>0.0010327998462288904</v>
      </c>
      <c r="E361" s="120">
        <v>2.790519727626253</v>
      </c>
      <c r="F361" s="88" t="s">
        <v>2665</v>
      </c>
      <c r="G361" s="88" t="b">
        <v>0</v>
      </c>
      <c r="H361" s="88" t="b">
        <v>0</v>
      </c>
      <c r="I361" s="88" t="b">
        <v>0</v>
      </c>
      <c r="J361" s="88" t="b">
        <v>0</v>
      </c>
      <c r="K361" s="88" t="b">
        <v>0</v>
      </c>
      <c r="L361" s="88" t="b">
        <v>0</v>
      </c>
    </row>
    <row r="362" spans="1:12" ht="15">
      <c r="A362" s="88" t="s">
        <v>2564</v>
      </c>
      <c r="B362" s="88" t="s">
        <v>2565</v>
      </c>
      <c r="C362" s="88">
        <v>2</v>
      </c>
      <c r="D362" s="120">
        <v>0.0010327998462288904</v>
      </c>
      <c r="E362" s="120">
        <v>3.2676409823459154</v>
      </c>
      <c r="F362" s="88" t="s">
        <v>2665</v>
      </c>
      <c r="G362" s="88" t="b">
        <v>0</v>
      </c>
      <c r="H362" s="88" t="b">
        <v>0</v>
      </c>
      <c r="I362" s="88" t="b">
        <v>0</v>
      </c>
      <c r="J362" s="88" t="b">
        <v>0</v>
      </c>
      <c r="K362" s="88" t="b">
        <v>0</v>
      </c>
      <c r="L362" s="88" t="b">
        <v>0</v>
      </c>
    </row>
    <row r="363" spans="1:12" ht="15">
      <c r="A363" s="88" t="s">
        <v>2565</v>
      </c>
      <c r="B363" s="88" t="s">
        <v>2566</v>
      </c>
      <c r="C363" s="88">
        <v>2</v>
      </c>
      <c r="D363" s="120">
        <v>0.0010327998462288904</v>
      </c>
      <c r="E363" s="120">
        <v>3.2676409823459154</v>
      </c>
      <c r="F363" s="88" t="s">
        <v>2665</v>
      </c>
      <c r="G363" s="88" t="b">
        <v>0</v>
      </c>
      <c r="H363" s="88" t="b">
        <v>0</v>
      </c>
      <c r="I363" s="88" t="b">
        <v>0</v>
      </c>
      <c r="J363" s="88" t="b">
        <v>0</v>
      </c>
      <c r="K363" s="88" t="b">
        <v>0</v>
      </c>
      <c r="L363" s="88" t="b">
        <v>0</v>
      </c>
    </row>
    <row r="364" spans="1:12" ht="15">
      <c r="A364" s="88" t="s">
        <v>2566</v>
      </c>
      <c r="B364" s="88" t="s">
        <v>2567</v>
      </c>
      <c r="C364" s="88">
        <v>2</v>
      </c>
      <c r="D364" s="120">
        <v>0.0010327998462288904</v>
      </c>
      <c r="E364" s="120">
        <v>3.2676409823459154</v>
      </c>
      <c r="F364" s="88" t="s">
        <v>2665</v>
      </c>
      <c r="G364" s="88" t="b">
        <v>0</v>
      </c>
      <c r="H364" s="88" t="b">
        <v>0</v>
      </c>
      <c r="I364" s="88" t="b">
        <v>0</v>
      </c>
      <c r="J364" s="88" t="b">
        <v>0</v>
      </c>
      <c r="K364" s="88" t="b">
        <v>0</v>
      </c>
      <c r="L364" s="88" t="b">
        <v>0</v>
      </c>
    </row>
    <row r="365" spans="1:12" ht="15">
      <c r="A365" s="88" t="s">
        <v>2567</v>
      </c>
      <c r="B365" s="88" t="s">
        <v>2568</v>
      </c>
      <c r="C365" s="88">
        <v>2</v>
      </c>
      <c r="D365" s="120">
        <v>0.0010327998462288904</v>
      </c>
      <c r="E365" s="120">
        <v>3.2676409823459154</v>
      </c>
      <c r="F365" s="88" t="s">
        <v>2665</v>
      </c>
      <c r="G365" s="88" t="b">
        <v>0</v>
      </c>
      <c r="H365" s="88" t="b">
        <v>0</v>
      </c>
      <c r="I365" s="88" t="b">
        <v>0</v>
      </c>
      <c r="J365" s="88" t="b">
        <v>0</v>
      </c>
      <c r="K365" s="88" t="b">
        <v>0</v>
      </c>
      <c r="L365" s="88" t="b">
        <v>0</v>
      </c>
    </row>
    <row r="366" spans="1:12" ht="15">
      <c r="A366" s="88" t="s">
        <v>2568</v>
      </c>
      <c r="B366" s="88" t="s">
        <v>2569</v>
      </c>
      <c r="C366" s="88">
        <v>2</v>
      </c>
      <c r="D366" s="120">
        <v>0.0010327998462288904</v>
      </c>
      <c r="E366" s="120">
        <v>3.2676409823459154</v>
      </c>
      <c r="F366" s="88" t="s">
        <v>2665</v>
      </c>
      <c r="G366" s="88" t="b">
        <v>0</v>
      </c>
      <c r="H366" s="88" t="b">
        <v>0</v>
      </c>
      <c r="I366" s="88" t="b">
        <v>0</v>
      </c>
      <c r="J366" s="88" t="b">
        <v>0</v>
      </c>
      <c r="K366" s="88" t="b">
        <v>0</v>
      </c>
      <c r="L366" s="88" t="b">
        <v>0</v>
      </c>
    </row>
    <row r="367" spans="1:12" ht="15">
      <c r="A367" s="88" t="s">
        <v>2569</v>
      </c>
      <c r="B367" s="88" t="s">
        <v>2570</v>
      </c>
      <c r="C367" s="88">
        <v>2</v>
      </c>
      <c r="D367" s="120">
        <v>0.0010327998462288904</v>
      </c>
      <c r="E367" s="120">
        <v>3.2676409823459154</v>
      </c>
      <c r="F367" s="88" t="s">
        <v>2665</v>
      </c>
      <c r="G367" s="88" t="b">
        <v>0</v>
      </c>
      <c r="H367" s="88" t="b">
        <v>0</v>
      </c>
      <c r="I367" s="88" t="b">
        <v>0</v>
      </c>
      <c r="J367" s="88" t="b">
        <v>0</v>
      </c>
      <c r="K367" s="88" t="b">
        <v>0</v>
      </c>
      <c r="L367" s="88" t="b">
        <v>0</v>
      </c>
    </row>
    <row r="368" spans="1:12" ht="15">
      <c r="A368" s="88" t="s">
        <v>2570</v>
      </c>
      <c r="B368" s="88" t="s">
        <v>2443</v>
      </c>
      <c r="C368" s="88">
        <v>2</v>
      </c>
      <c r="D368" s="120">
        <v>0.0010327998462288904</v>
      </c>
      <c r="E368" s="120">
        <v>2.966610986681934</v>
      </c>
      <c r="F368" s="88" t="s">
        <v>2665</v>
      </c>
      <c r="G368" s="88" t="b">
        <v>0</v>
      </c>
      <c r="H368" s="88" t="b">
        <v>0</v>
      </c>
      <c r="I368" s="88" t="b">
        <v>0</v>
      </c>
      <c r="J368" s="88" t="b">
        <v>0</v>
      </c>
      <c r="K368" s="88" t="b">
        <v>0</v>
      </c>
      <c r="L368" s="88" t="b">
        <v>0</v>
      </c>
    </row>
    <row r="369" spans="1:12" ht="15">
      <c r="A369" s="88" t="s">
        <v>2443</v>
      </c>
      <c r="B369" s="88" t="s">
        <v>2571</v>
      </c>
      <c r="C369" s="88">
        <v>2</v>
      </c>
      <c r="D369" s="120">
        <v>0.0010327998462288904</v>
      </c>
      <c r="E369" s="120">
        <v>2.966610986681934</v>
      </c>
      <c r="F369" s="88" t="s">
        <v>2665</v>
      </c>
      <c r="G369" s="88" t="b">
        <v>0</v>
      </c>
      <c r="H369" s="88" t="b">
        <v>0</v>
      </c>
      <c r="I369" s="88" t="b">
        <v>0</v>
      </c>
      <c r="J369" s="88" t="b">
        <v>0</v>
      </c>
      <c r="K369" s="88" t="b">
        <v>0</v>
      </c>
      <c r="L369" s="88" t="b">
        <v>0</v>
      </c>
    </row>
    <row r="370" spans="1:12" ht="15">
      <c r="A370" s="88" t="s">
        <v>2571</v>
      </c>
      <c r="B370" s="88" t="s">
        <v>2441</v>
      </c>
      <c r="C370" s="88">
        <v>2</v>
      </c>
      <c r="D370" s="120">
        <v>0.0010327998462288904</v>
      </c>
      <c r="E370" s="120">
        <v>2.966610986681934</v>
      </c>
      <c r="F370" s="88" t="s">
        <v>2665</v>
      </c>
      <c r="G370" s="88" t="b">
        <v>0</v>
      </c>
      <c r="H370" s="88" t="b">
        <v>0</v>
      </c>
      <c r="I370" s="88" t="b">
        <v>0</v>
      </c>
      <c r="J370" s="88" t="b">
        <v>0</v>
      </c>
      <c r="K370" s="88" t="b">
        <v>0</v>
      </c>
      <c r="L370" s="88" t="b">
        <v>0</v>
      </c>
    </row>
    <row r="371" spans="1:12" ht="15">
      <c r="A371" s="88" t="s">
        <v>2441</v>
      </c>
      <c r="B371" s="88" t="s">
        <v>2572</v>
      </c>
      <c r="C371" s="88">
        <v>2</v>
      </c>
      <c r="D371" s="120">
        <v>0.0010327998462288904</v>
      </c>
      <c r="E371" s="120">
        <v>2.966610986681934</v>
      </c>
      <c r="F371" s="88" t="s">
        <v>2665</v>
      </c>
      <c r="G371" s="88" t="b">
        <v>0</v>
      </c>
      <c r="H371" s="88" t="b">
        <v>0</v>
      </c>
      <c r="I371" s="88" t="b">
        <v>0</v>
      </c>
      <c r="J371" s="88" t="b">
        <v>0</v>
      </c>
      <c r="K371" s="88" t="b">
        <v>0</v>
      </c>
      <c r="L371" s="88" t="b">
        <v>0</v>
      </c>
    </row>
    <row r="372" spans="1:12" ht="15">
      <c r="A372" s="88" t="s">
        <v>2572</v>
      </c>
      <c r="B372" s="88" t="s">
        <v>2573</v>
      </c>
      <c r="C372" s="88">
        <v>2</v>
      </c>
      <c r="D372" s="120">
        <v>0.0010327998462288904</v>
      </c>
      <c r="E372" s="120">
        <v>3.2676409823459154</v>
      </c>
      <c r="F372" s="88" t="s">
        <v>2665</v>
      </c>
      <c r="G372" s="88" t="b">
        <v>0</v>
      </c>
      <c r="H372" s="88" t="b">
        <v>0</v>
      </c>
      <c r="I372" s="88" t="b">
        <v>0</v>
      </c>
      <c r="J372" s="88" t="b">
        <v>0</v>
      </c>
      <c r="K372" s="88" t="b">
        <v>0</v>
      </c>
      <c r="L372" s="88" t="b">
        <v>0</v>
      </c>
    </row>
    <row r="373" spans="1:12" ht="15">
      <c r="A373" s="88" t="s">
        <v>2573</v>
      </c>
      <c r="B373" s="88" t="s">
        <v>2574</v>
      </c>
      <c r="C373" s="88">
        <v>2</v>
      </c>
      <c r="D373" s="120">
        <v>0.0010327998462288904</v>
      </c>
      <c r="E373" s="120">
        <v>3.2676409823459154</v>
      </c>
      <c r="F373" s="88" t="s">
        <v>2665</v>
      </c>
      <c r="G373" s="88" t="b">
        <v>0</v>
      </c>
      <c r="H373" s="88" t="b">
        <v>0</v>
      </c>
      <c r="I373" s="88" t="b">
        <v>0</v>
      </c>
      <c r="J373" s="88" t="b">
        <v>0</v>
      </c>
      <c r="K373" s="88" t="b">
        <v>0</v>
      </c>
      <c r="L373" s="88" t="b">
        <v>0</v>
      </c>
    </row>
    <row r="374" spans="1:12" ht="15">
      <c r="A374" s="88" t="s">
        <v>2574</v>
      </c>
      <c r="B374" s="88" t="s">
        <v>2338</v>
      </c>
      <c r="C374" s="88">
        <v>2</v>
      </c>
      <c r="D374" s="120">
        <v>0.0010327998462288904</v>
      </c>
      <c r="E374" s="120">
        <v>2.5686709780098966</v>
      </c>
      <c r="F374" s="88" t="s">
        <v>2665</v>
      </c>
      <c r="G374" s="88" t="b">
        <v>0</v>
      </c>
      <c r="H374" s="88" t="b">
        <v>0</v>
      </c>
      <c r="I374" s="88" t="b">
        <v>0</v>
      </c>
      <c r="J374" s="88" t="b">
        <v>0</v>
      </c>
      <c r="K374" s="88" t="b">
        <v>0</v>
      </c>
      <c r="L374" s="88" t="b">
        <v>0</v>
      </c>
    </row>
    <row r="375" spans="1:12" ht="15">
      <c r="A375" s="88" t="s">
        <v>2271</v>
      </c>
      <c r="B375" s="88" t="s">
        <v>2575</v>
      </c>
      <c r="C375" s="88">
        <v>2</v>
      </c>
      <c r="D375" s="120">
        <v>0.0010327998462288904</v>
      </c>
      <c r="E375" s="120">
        <v>1.3331425311023477</v>
      </c>
      <c r="F375" s="88" t="s">
        <v>2665</v>
      </c>
      <c r="G375" s="88" t="b">
        <v>0</v>
      </c>
      <c r="H375" s="88" t="b">
        <v>0</v>
      </c>
      <c r="I375" s="88" t="b">
        <v>0</v>
      </c>
      <c r="J375" s="88" t="b">
        <v>0</v>
      </c>
      <c r="K375" s="88" t="b">
        <v>0</v>
      </c>
      <c r="L375" s="88" t="b">
        <v>0</v>
      </c>
    </row>
    <row r="376" spans="1:12" ht="15">
      <c r="A376" s="88" t="s">
        <v>2390</v>
      </c>
      <c r="B376" s="88" t="s">
        <v>2576</v>
      </c>
      <c r="C376" s="88">
        <v>2</v>
      </c>
      <c r="D376" s="120">
        <v>0.0010327998462288904</v>
      </c>
      <c r="E376" s="120">
        <v>2.790519727626253</v>
      </c>
      <c r="F376" s="88" t="s">
        <v>2665</v>
      </c>
      <c r="G376" s="88" t="b">
        <v>0</v>
      </c>
      <c r="H376" s="88" t="b">
        <v>0</v>
      </c>
      <c r="I376" s="88" t="b">
        <v>0</v>
      </c>
      <c r="J376" s="88" t="b">
        <v>0</v>
      </c>
      <c r="K376" s="88" t="b">
        <v>0</v>
      </c>
      <c r="L376" s="88" t="b">
        <v>0</v>
      </c>
    </row>
    <row r="377" spans="1:12" ht="15">
      <c r="A377" s="88" t="s">
        <v>2576</v>
      </c>
      <c r="B377" s="88" t="s">
        <v>2577</v>
      </c>
      <c r="C377" s="88">
        <v>2</v>
      </c>
      <c r="D377" s="120">
        <v>0.0010327998462288904</v>
      </c>
      <c r="E377" s="120">
        <v>3.2676409823459154</v>
      </c>
      <c r="F377" s="88" t="s">
        <v>2665</v>
      </c>
      <c r="G377" s="88" t="b">
        <v>0</v>
      </c>
      <c r="H377" s="88" t="b">
        <v>0</v>
      </c>
      <c r="I377" s="88" t="b">
        <v>0</v>
      </c>
      <c r="J377" s="88" t="b">
        <v>0</v>
      </c>
      <c r="K377" s="88" t="b">
        <v>0</v>
      </c>
      <c r="L377" s="88" t="b">
        <v>0</v>
      </c>
    </row>
    <row r="378" spans="1:12" ht="15">
      <c r="A378" s="88" t="s">
        <v>2577</v>
      </c>
      <c r="B378" s="88" t="s">
        <v>2578</v>
      </c>
      <c r="C378" s="88">
        <v>2</v>
      </c>
      <c r="D378" s="120">
        <v>0.0010327998462288904</v>
      </c>
      <c r="E378" s="120">
        <v>3.2676409823459154</v>
      </c>
      <c r="F378" s="88" t="s">
        <v>2665</v>
      </c>
      <c r="G378" s="88" t="b">
        <v>0</v>
      </c>
      <c r="H378" s="88" t="b">
        <v>0</v>
      </c>
      <c r="I378" s="88" t="b">
        <v>0</v>
      </c>
      <c r="J378" s="88" t="b">
        <v>0</v>
      </c>
      <c r="K378" s="88" t="b">
        <v>0</v>
      </c>
      <c r="L378" s="88" t="b">
        <v>0</v>
      </c>
    </row>
    <row r="379" spans="1:12" ht="15">
      <c r="A379" s="88" t="s">
        <v>2578</v>
      </c>
      <c r="B379" s="88" t="s">
        <v>2579</v>
      </c>
      <c r="C379" s="88">
        <v>2</v>
      </c>
      <c r="D379" s="120">
        <v>0.0010327998462288904</v>
      </c>
      <c r="E379" s="120">
        <v>3.2676409823459154</v>
      </c>
      <c r="F379" s="88" t="s">
        <v>2665</v>
      </c>
      <c r="G379" s="88" t="b">
        <v>0</v>
      </c>
      <c r="H379" s="88" t="b">
        <v>0</v>
      </c>
      <c r="I379" s="88" t="b">
        <v>0</v>
      </c>
      <c r="J379" s="88" t="b">
        <v>0</v>
      </c>
      <c r="K379" s="88" t="b">
        <v>0</v>
      </c>
      <c r="L379" s="88" t="b">
        <v>0</v>
      </c>
    </row>
    <row r="380" spans="1:12" ht="15">
      <c r="A380" s="88" t="s">
        <v>2579</v>
      </c>
      <c r="B380" s="88" t="s">
        <v>2580</v>
      </c>
      <c r="C380" s="88">
        <v>2</v>
      </c>
      <c r="D380" s="120">
        <v>0.0010327998462288904</v>
      </c>
      <c r="E380" s="120">
        <v>3.2676409823459154</v>
      </c>
      <c r="F380" s="88" t="s">
        <v>2665</v>
      </c>
      <c r="G380" s="88" t="b">
        <v>0</v>
      </c>
      <c r="H380" s="88" t="b">
        <v>0</v>
      </c>
      <c r="I380" s="88" t="b">
        <v>0</v>
      </c>
      <c r="J380" s="88" t="b">
        <v>0</v>
      </c>
      <c r="K380" s="88" t="b">
        <v>0</v>
      </c>
      <c r="L380" s="88" t="b">
        <v>0</v>
      </c>
    </row>
    <row r="381" spans="1:12" ht="15">
      <c r="A381" s="88" t="s">
        <v>2580</v>
      </c>
      <c r="B381" s="88" t="s">
        <v>2442</v>
      </c>
      <c r="C381" s="88">
        <v>2</v>
      </c>
      <c r="D381" s="120">
        <v>0.0010327998462288904</v>
      </c>
      <c r="E381" s="120">
        <v>2.966610986681934</v>
      </c>
      <c r="F381" s="88" t="s">
        <v>2665</v>
      </c>
      <c r="G381" s="88" t="b">
        <v>0</v>
      </c>
      <c r="H381" s="88" t="b">
        <v>0</v>
      </c>
      <c r="I381" s="88" t="b">
        <v>0</v>
      </c>
      <c r="J381" s="88" t="b">
        <v>0</v>
      </c>
      <c r="K381" s="88" t="b">
        <v>0</v>
      </c>
      <c r="L381" s="88" t="b">
        <v>0</v>
      </c>
    </row>
    <row r="382" spans="1:12" ht="15">
      <c r="A382" s="88" t="s">
        <v>2442</v>
      </c>
      <c r="B382" s="88" t="s">
        <v>2443</v>
      </c>
      <c r="C382" s="88">
        <v>2</v>
      </c>
      <c r="D382" s="120">
        <v>0.0010327998462288904</v>
      </c>
      <c r="E382" s="120">
        <v>2.665580991017953</v>
      </c>
      <c r="F382" s="88" t="s">
        <v>2665</v>
      </c>
      <c r="G382" s="88" t="b">
        <v>0</v>
      </c>
      <c r="H382" s="88" t="b">
        <v>0</v>
      </c>
      <c r="I382" s="88" t="b">
        <v>0</v>
      </c>
      <c r="J382" s="88" t="b">
        <v>0</v>
      </c>
      <c r="K382" s="88" t="b">
        <v>0</v>
      </c>
      <c r="L382" s="88" t="b">
        <v>0</v>
      </c>
    </row>
    <row r="383" spans="1:12" ht="15">
      <c r="A383" s="88" t="s">
        <v>2443</v>
      </c>
      <c r="B383" s="88" t="s">
        <v>2581</v>
      </c>
      <c r="C383" s="88">
        <v>2</v>
      </c>
      <c r="D383" s="120">
        <v>0.0010327998462288904</v>
      </c>
      <c r="E383" s="120">
        <v>2.966610986681934</v>
      </c>
      <c r="F383" s="88" t="s">
        <v>2665</v>
      </c>
      <c r="G383" s="88" t="b">
        <v>0</v>
      </c>
      <c r="H383" s="88" t="b">
        <v>0</v>
      </c>
      <c r="I383" s="88" t="b">
        <v>0</v>
      </c>
      <c r="J383" s="88" t="b">
        <v>0</v>
      </c>
      <c r="K383" s="88" t="b">
        <v>0</v>
      </c>
      <c r="L383" s="88" t="b">
        <v>0</v>
      </c>
    </row>
    <row r="384" spans="1:12" ht="15">
      <c r="A384" s="88" t="s">
        <v>2581</v>
      </c>
      <c r="B384" s="88" t="s">
        <v>2582</v>
      </c>
      <c r="C384" s="88">
        <v>2</v>
      </c>
      <c r="D384" s="120">
        <v>0.0010327998462288904</v>
      </c>
      <c r="E384" s="120">
        <v>3.2676409823459154</v>
      </c>
      <c r="F384" s="88" t="s">
        <v>2665</v>
      </c>
      <c r="G384" s="88" t="b">
        <v>0</v>
      </c>
      <c r="H384" s="88" t="b">
        <v>0</v>
      </c>
      <c r="I384" s="88" t="b">
        <v>0</v>
      </c>
      <c r="J384" s="88" t="b">
        <v>0</v>
      </c>
      <c r="K384" s="88" t="b">
        <v>0</v>
      </c>
      <c r="L384" s="88" t="b">
        <v>0</v>
      </c>
    </row>
    <row r="385" spans="1:12" ht="15">
      <c r="A385" s="88" t="s">
        <v>2582</v>
      </c>
      <c r="B385" s="88" t="s">
        <v>2338</v>
      </c>
      <c r="C385" s="88">
        <v>2</v>
      </c>
      <c r="D385" s="120">
        <v>0.0010327998462288904</v>
      </c>
      <c r="E385" s="120">
        <v>2.5686709780098966</v>
      </c>
      <c r="F385" s="88" t="s">
        <v>2665</v>
      </c>
      <c r="G385" s="88" t="b">
        <v>0</v>
      </c>
      <c r="H385" s="88" t="b">
        <v>0</v>
      </c>
      <c r="I385" s="88" t="b">
        <v>0</v>
      </c>
      <c r="J385" s="88" t="b">
        <v>0</v>
      </c>
      <c r="K385" s="88" t="b">
        <v>0</v>
      </c>
      <c r="L385" s="88" t="b">
        <v>0</v>
      </c>
    </row>
    <row r="386" spans="1:12" ht="15">
      <c r="A386" s="88" t="s">
        <v>2444</v>
      </c>
      <c r="B386" s="88" t="s">
        <v>2583</v>
      </c>
      <c r="C386" s="88">
        <v>2</v>
      </c>
      <c r="D386" s="120">
        <v>0.0010327998462288904</v>
      </c>
      <c r="E386" s="120">
        <v>2.966610986681934</v>
      </c>
      <c r="F386" s="88" t="s">
        <v>2665</v>
      </c>
      <c r="G386" s="88" t="b">
        <v>0</v>
      </c>
      <c r="H386" s="88" t="b">
        <v>0</v>
      </c>
      <c r="I386" s="88" t="b">
        <v>0</v>
      </c>
      <c r="J386" s="88" t="b">
        <v>0</v>
      </c>
      <c r="K386" s="88" t="b">
        <v>0</v>
      </c>
      <c r="L386" s="88" t="b">
        <v>0</v>
      </c>
    </row>
    <row r="387" spans="1:12" ht="15">
      <c r="A387" s="88" t="s">
        <v>2583</v>
      </c>
      <c r="B387" s="88" t="s">
        <v>2492</v>
      </c>
      <c r="C387" s="88">
        <v>2</v>
      </c>
      <c r="D387" s="120">
        <v>0.0010327998462288904</v>
      </c>
      <c r="E387" s="120">
        <v>3.0915497232902345</v>
      </c>
      <c r="F387" s="88" t="s">
        <v>2665</v>
      </c>
      <c r="G387" s="88" t="b">
        <v>0</v>
      </c>
      <c r="H387" s="88" t="b">
        <v>0</v>
      </c>
      <c r="I387" s="88" t="b">
        <v>0</v>
      </c>
      <c r="J387" s="88" t="b">
        <v>0</v>
      </c>
      <c r="K387" s="88" t="b">
        <v>0</v>
      </c>
      <c r="L387" s="88" t="b">
        <v>0</v>
      </c>
    </row>
    <row r="388" spans="1:12" ht="15">
      <c r="A388" s="88" t="s">
        <v>2492</v>
      </c>
      <c r="B388" s="88" t="s">
        <v>2584</v>
      </c>
      <c r="C388" s="88">
        <v>2</v>
      </c>
      <c r="D388" s="120">
        <v>0.0010327998462288904</v>
      </c>
      <c r="E388" s="120">
        <v>3.0915497232902345</v>
      </c>
      <c r="F388" s="88" t="s">
        <v>2665</v>
      </c>
      <c r="G388" s="88" t="b">
        <v>0</v>
      </c>
      <c r="H388" s="88" t="b">
        <v>0</v>
      </c>
      <c r="I388" s="88" t="b">
        <v>0</v>
      </c>
      <c r="J388" s="88" t="b">
        <v>0</v>
      </c>
      <c r="K388" s="88" t="b">
        <v>0</v>
      </c>
      <c r="L388" s="88" t="b">
        <v>0</v>
      </c>
    </row>
    <row r="389" spans="1:12" ht="15">
      <c r="A389" s="88" t="s">
        <v>2584</v>
      </c>
      <c r="B389" s="88" t="s">
        <v>2585</v>
      </c>
      <c r="C389" s="88">
        <v>2</v>
      </c>
      <c r="D389" s="120">
        <v>0.0010327998462288904</v>
      </c>
      <c r="E389" s="120">
        <v>3.2676409823459154</v>
      </c>
      <c r="F389" s="88" t="s">
        <v>2665</v>
      </c>
      <c r="G389" s="88" t="b">
        <v>0</v>
      </c>
      <c r="H389" s="88" t="b">
        <v>0</v>
      </c>
      <c r="I389" s="88" t="b">
        <v>0</v>
      </c>
      <c r="J389" s="88" t="b">
        <v>0</v>
      </c>
      <c r="K389" s="88" t="b">
        <v>0</v>
      </c>
      <c r="L389" s="88" t="b">
        <v>0</v>
      </c>
    </row>
    <row r="390" spans="1:12" ht="15">
      <c r="A390" s="88" t="s">
        <v>2585</v>
      </c>
      <c r="B390" s="88" t="s">
        <v>2586</v>
      </c>
      <c r="C390" s="88">
        <v>2</v>
      </c>
      <c r="D390" s="120">
        <v>0.0010327998462288904</v>
      </c>
      <c r="E390" s="120">
        <v>3.2676409823459154</v>
      </c>
      <c r="F390" s="88" t="s">
        <v>2665</v>
      </c>
      <c r="G390" s="88" t="b">
        <v>0</v>
      </c>
      <c r="H390" s="88" t="b">
        <v>0</v>
      </c>
      <c r="I390" s="88" t="b">
        <v>0</v>
      </c>
      <c r="J390" s="88" t="b">
        <v>0</v>
      </c>
      <c r="K390" s="88" t="b">
        <v>0</v>
      </c>
      <c r="L390" s="88" t="b">
        <v>0</v>
      </c>
    </row>
    <row r="391" spans="1:12" ht="15">
      <c r="A391" s="88" t="s">
        <v>2586</v>
      </c>
      <c r="B391" s="88" t="s">
        <v>2587</v>
      </c>
      <c r="C391" s="88">
        <v>2</v>
      </c>
      <c r="D391" s="120">
        <v>0.0010327998462288904</v>
      </c>
      <c r="E391" s="120">
        <v>3.2676409823459154</v>
      </c>
      <c r="F391" s="88" t="s">
        <v>2665</v>
      </c>
      <c r="G391" s="88" t="b">
        <v>0</v>
      </c>
      <c r="H391" s="88" t="b">
        <v>0</v>
      </c>
      <c r="I391" s="88" t="b">
        <v>0</v>
      </c>
      <c r="J391" s="88" t="b">
        <v>0</v>
      </c>
      <c r="K391" s="88" t="b">
        <v>0</v>
      </c>
      <c r="L391" s="88" t="b">
        <v>0</v>
      </c>
    </row>
    <row r="392" spans="1:12" ht="15">
      <c r="A392" s="88" t="s">
        <v>2587</v>
      </c>
      <c r="B392" s="88" t="s">
        <v>2588</v>
      </c>
      <c r="C392" s="88">
        <v>2</v>
      </c>
      <c r="D392" s="120">
        <v>0.0010327998462288904</v>
      </c>
      <c r="E392" s="120">
        <v>3.2676409823459154</v>
      </c>
      <c r="F392" s="88" t="s">
        <v>2665</v>
      </c>
      <c r="G392" s="88" t="b">
        <v>0</v>
      </c>
      <c r="H392" s="88" t="b">
        <v>0</v>
      </c>
      <c r="I392" s="88" t="b">
        <v>0</v>
      </c>
      <c r="J392" s="88" t="b">
        <v>0</v>
      </c>
      <c r="K392" s="88" t="b">
        <v>0</v>
      </c>
      <c r="L392" s="88" t="b">
        <v>0</v>
      </c>
    </row>
    <row r="393" spans="1:12" ht="15">
      <c r="A393" s="88" t="s">
        <v>2588</v>
      </c>
      <c r="B393" s="88" t="s">
        <v>2589</v>
      </c>
      <c r="C393" s="88">
        <v>2</v>
      </c>
      <c r="D393" s="120">
        <v>0.0010327998462288904</v>
      </c>
      <c r="E393" s="120">
        <v>3.2676409823459154</v>
      </c>
      <c r="F393" s="88" t="s">
        <v>2665</v>
      </c>
      <c r="G393" s="88" t="b">
        <v>0</v>
      </c>
      <c r="H393" s="88" t="b">
        <v>0</v>
      </c>
      <c r="I393" s="88" t="b">
        <v>0</v>
      </c>
      <c r="J393" s="88" t="b">
        <v>0</v>
      </c>
      <c r="K393" s="88" t="b">
        <v>0</v>
      </c>
      <c r="L393" s="88" t="b">
        <v>0</v>
      </c>
    </row>
    <row r="394" spans="1:12" ht="15">
      <c r="A394" s="88" t="s">
        <v>2589</v>
      </c>
      <c r="B394" s="88" t="s">
        <v>2590</v>
      </c>
      <c r="C394" s="88">
        <v>2</v>
      </c>
      <c r="D394" s="120">
        <v>0.0010327998462288904</v>
      </c>
      <c r="E394" s="120">
        <v>3.2676409823459154</v>
      </c>
      <c r="F394" s="88" t="s">
        <v>2665</v>
      </c>
      <c r="G394" s="88" t="b">
        <v>0</v>
      </c>
      <c r="H394" s="88" t="b">
        <v>0</v>
      </c>
      <c r="I394" s="88" t="b">
        <v>0</v>
      </c>
      <c r="J394" s="88" t="b">
        <v>0</v>
      </c>
      <c r="K394" s="88" t="b">
        <v>0</v>
      </c>
      <c r="L394" s="88" t="b">
        <v>0</v>
      </c>
    </row>
    <row r="395" spans="1:12" ht="15">
      <c r="A395" s="88" t="s">
        <v>2590</v>
      </c>
      <c r="B395" s="88" t="s">
        <v>2420</v>
      </c>
      <c r="C395" s="88">
        <v>2</v>
      </c>
      <c r="D395" s="120">
        <v>0.0010327998462288904</v>
      </c>
      <c r="E395" s="120">
        <v>2.966610986681934</v>
      </c>
      <c r="F395" s="88" t="s">
        <v>2665</v>
      </c>
      <c r="G395" s="88" t="b">
        <v>0</v>
      </c>
      <c r="H395" s="88" t="b">
        <v>0</v>
      </c>
      <c r="I395" s="88" t="b">
        <v>0</v>
      </c>
      <c r="J395" s="88" t="b">
        <v>0</v>
      </c>
      <c r="K395" s="88" t="b">
        <v>0</v>
      </c>
      <c r="L395" s="88" t="b">
        <v>0</v>
      </c>
    </row>
    <row r="396" spans="1:12" ht="15">
      <c r="A396" s="88" t="s">
        <v>2420</v>
      </c>
      <c r="B396" s="88" t="s">
        <v>2445</v>
      </c>
      <c r="C396" s="88">
        <v>2</v>
      </c>
      <c r="D396" s="120">
        <v>0.0010327998462288904</v>
      </c>
      <c r="E396" s="120">
        <v>2.5686709780098966</v>
      </c>
      <c r="F396" s="88" t="s">
        <v>2665</v>
      </c>
      <c r="G396" s="88" t="b">
        <v>0</v>
      </c>
      <c r="H396" s="88" t="b">
        <v>0</v>
      </c>
      <c r="I396" s="88" t="b">
        <v>0</v>
      </c>
      <c r="J396" s="88" t="b">
        <v>0</v>
      </c>
      <c r="K396" s="88" t="b">
        <v>0</v>
      </c>
      <c r="L396" s="88" t="b">
        <v>0</v>
      </c>
    </row>
    <row r="397" spans="1:12" ht="15">
      <c r="A397" s="88" t="s">
        <v>2445</v>
      </c>
      <c r="B397" s="88" t="s">
        <v>2591</v>
      </c>
      <c r="C397" s="88">
        <v>2</v>
      </c>
      <c r="D397" s="120">
        <v>0.0010327998462288904</v>
      </c>
      <c r="E397" s="120">
        <v>2.966610986681934</v>
      </c>
      <c r="F397" s="88" t="s">
        <v>2665</v>
      </c>
      <c r="G397" s="88" t="b">
        <v>0</v>
      </c>
      <c r="H397" s="88" t="b">
        <v>0</v>
      </c>
      <c r="I397" s="88" t="b">
        <v>0</v>
      </c>
      <c r="J397" s="88" t="b">
        <v>0</v>
      </c>
      <c r="K397" s="88" t="b">
        <v>0</v>
      </c>
      <c r="L397" s="88" t="b">
        <v>0</v>
      </c>
    </row>
    <row r="398" spans="1:12" ht="15">
      <c r="A398" s="88" t="s">
        <v>2591</v>
      </c>
      <c r="B398" s="88" t="s">
        <v>2493</v>
      </c>
      <c r="C398" s="88">
        <v>2</v>
      </c>
      <c r="D398" s="120">
        <v>0.0010327998462288904</v>
      </c>
      <c r="E398" s="120">
        <v>3.0915497232902345</v>
      </c>
      <c r="F398" s="88" t="s">
        <v>2665</v>
      </c>
      <c r="G398" s="88" t="b">
        <v>0</v>
      </c>
      <c r="H398" s="88" t="b">
        <v>0</v>
      </c>
      <c r="I398" s="88" t="b">
        <v>0</v>
      </c>
      <c r="J398" s="88" t="b">
        <v>0</v>
      </c>
      <c r="K398" s="88" t="b">
        <v>0</v>
      </c>
      <c r="L398" s="88" t="b">
        <v>0</v>
      </c>
    </row>
    <row r="399" spans="1:12" ht="15">
      <c r="A399" s="88" t="s">
        <v>2493</v>
      </c>
      <c r="B399" s="88" t="s">
        <v>2592</v>
      </c>
      <c r="C399" s="88">
        <v>2</v>
      </c>
      <c r="D399" s="120">
        <v>0.0010327998462288904</v>
      </c>
      <c r="E399" s="120">
        <v>3.0915497232902345</v>
      </c>
      <c r="F399" s="88" t="s">
        <v>2665</v>
      </c>
      <c r="G399" s="88" t="b">
        <v>0</v>
      </c>
      <c r="H399" s="88" t="b">
        <v>0</v>
      </c>
      <c r="I399" s="88" t="b">
        <v>0</v>
      </c>
      <c r="J399" s="88" t="b">
        <v>0</v>
      </c>
      <c r="K399" s="88" t="b">
        <v>0</v>
      </c>
      <c r="L399" s="88" t="b">
        <v>0</v>
      </c>
    </row>
    <row r="400" spans="1:12" ht="15">
      <c r="A400" s="88" t="s">
        <v>2592</v>
      </c>
      <c r="B400" s="88" t="s">
        <v>2271</v>
      </c>
      <c r="C400" s="88">
        <v>2</v>
      </c>
      <c r="D400" s="120">
        <v>0.0010327998462288904</v>
      </c>
      <c r="E400" s="120">
        <v>1.2164884598985342</v>
      </c>
      <c r="F400" s="88" t="s">
        <v>2665</v>
      </c>
      <c r="G400" s="88" t="b">
        <v>0</v>
      </c>
      <c r="H400" s="88" t="b">
        <v>0</v>
      </c>
      <c r="I400" s="88" t="b">
        <v>0</v>
      </c>
      <c r="J400" s="88" t="b">
        <v>0</v>
      </c>
      <c r="K400" s="88" t="b">
        <v>0</v>
      </c>
      <c r="L400" s="88" t="b">
        <v>0</v>
      </c>
    </row>
    <row r="401" spans="1:12" ht="15">
      <c r="A401" s="88" t="s">
        <v>2271</v>
      </c>
      <c r="B401" s="88" t="s">
        <v>2593</v>
      </c>
      <c r="C401" s="88">
        <v>2</v>
      </c>
      <c r="D401" s="120">
        <v>0.0010327998462288904</v>
      </c>
      <c r="E401" s="120">
        <v>1.3331425311023477</v>
      </c>
      <c r="F401" s="88" t="s">
        <v>2665</v>
      </c>
      <c r="G401" s="88" t="b">
        <v>0</v>
      </c>
      <c r="H401" s="88" t="b">
        <v>0</v>
      </c>
      <c r="I401" s="88" t="b">
        <v>0</v>
      </c>
      <c r="J401" s="88" t="b">
        <v>0</v>
      </c>
      <c r="K401" s="88" t="b">
        <v>0</v>
      </c>
      <c r="L401" s="88" t="b">
        <v>0</v>
      </c>
    </row>
    <row r="402" spans="1:12" ht="15">
      <c r="A402" s="88" t="s">
        <v>2466</v>
      </c>
      <c r="B402" s="88" t="s">
        <v>2336</v>
      </c>
      <c r="C402" s="88">
        <v>2</v>
      </c>
      <c r="D402" s="120">
        <v>0.0010327998462288904</v>
      </c>
      <c r="E402" s="120">
        <v>2.2262482971876905</v>
      </c>
      <c r="F402" s="88" t="s">
        <v>2665</v>
      </c>
      <c r="G402" s="88" t="b">
        <v>0</v>
      </c>
      <c r="H402" s="88" t="b">
        <v>0</v>
      </c>
      <c r="I402" s="88" t="b">
        <v>0</v>
      </c>
      <c r="J402" s="88" t="b">
        <v>0</v>
      </c>
      <c r="K402" s="88" t="b">
        <v>0</v>
      </c>
      <c r="L402" s="88" t="b">
        <v>0</v>
      </c>
    </row>
    <row r="403" spans="1:12" ht="15">
      <c r="A403" s="88" t="s">
        <v>2336</v>
      </c>
      <c r="B403" s="88" t="s">
        <v>2507</v>
      </c>
      <c r="C403" s="88">
        <v>2</v>
      </c>
      <c r="D403" s="120">
        <v>0.0010327998462288904</v>
      </c>
      <c r="E403" s="120">
        <v>2.3511870337959904</v>
      </c>
      <c r="F403" s="88" t="s">
        <v>2665</v>
      </c>
      <c r="G403" s="88" t="b">
        <v>0</v>
      </c>
      <c r="H403" s="88" t="b">
        <v>0</v>
      </c>
      <c r="I403" s="88" t="b">
        <v>0</v>
      </c>
      <c r="J403" s="88" t="b">
        <v>0</v>
      </c>
      <c r="K403" s="88" t="b">
        <v>0</v>
      </c>
      <c r="L403" s="88" t="b">
        <v>0</v>
      </c>
    </row>
    <row r="404" spans="1:12" ht="15">
      <c r="A404" s="88" t="s">
        <v>2271</v>
      </c>
      <c r="B404" s="88" t="s">
        <v>474</v>
      </c>
      <c r="C404" s="88">
        <v>2</v>
      </c>
      <c r="D404" s="120">
        <v>0.0010327998462288904</v>
      </c>
      <c r="E404" s="120">
        <v>1.3331425311023477</v>
      </c>
      <c r="F404" s="88" t="s">
        <v>2665</v>
      </c>
      <c r="G404" s="88" t="b">
        <v>0</v>
      </c>
      <c r="H404" s="88" t="b">
        <v>0</v>
      </c>
      <c r="I404" s="88" t="b">
        <v>0</v>
      </c>
      <c r="J404" s="88" t="b">
        <v>0</v>
      </c>
      <c r="K404" s="88" t="b">
        <v>0</v>
      </c>
      <c r="L404" s="88" t="b">
        <v>0</v>
      </c>
    </row>
    <row r="405" spans="1:12" ht="15">
      <c r="A405" s="88" t="s">
        <v>474</v>
      </c>
      <c r="B405" s="88" t="s">
        <v>569</v>
      </c>
      <c r="C405" s="88">
        <v>2</v>
      </c>
      <c r="D405" s="120">
        <v>0.0010327998462288904</v>
      </c>
      <c r="E405" s="120">
        <v>2.614428468570572</v>
      </c>
      <c r="F405" s="88" t="s">
        <v>2665</v>
      </c>
      <c r="G405" s="88" t="b">
        <v>0</v>
      </c>
      <c r="H405" s="88" t="b">
        <v>0</v>
      </c>
      <c r="I405" s="88" t="b">
        <v>0</v>
      </c>
      <c r="J405" s="88" t="b">
        <v>0</v>
      </c>
      <c r="K405" s="88" t="b">
        <v>0</v>
      </c>
      <c r="L405" s="88" t="b">
        <v>0</v>
      </c>
    </row>
    <row r="406" spans="1:12" ht="15">
      <c r="A406" s="88" t="s">
        <v>2271</v>
      </c>
      <c r="B406" s="88" t="s">
        <v>565</v>
      </c>
      <c r="C406" s="88">
        <v>2</v>
      </c>
      <c r="D406" s="120">
        <v>0.0010327998462288904</v>
      </c>
      <c r="E406" s="120">
        <v>1.3331425311023477</v>
      </c>
      <c r="F406" s="88" t="s">
        <v>2665</v>
      </c>
      <c r="G406" s="88" t="b">
        <v>0</v>
      </c>
      <c r="H406" s="88" t="b">
        <v>0</v>
      </c>
      <c r="I406" s="88" t="b">
        <v>0</v>
      </c>
      <c r="J406" s="88" t="b">
        <v>0</v>
      </c>
      <c r="K406" s="88" t="b">
        <v>0</v>
      </c>
      <c r="L406" s="88" t="b">
        <v>0</v>
      </c>
    </row>
    <row r="407" spans="1:12" ht="15">
      <c r="A407" s="88" t="s">
        <v>565</v>
      </c>
      <c r="B407" s="88" t="s">
        <v>564</v>
      </c>
      <c r="C407" s="88">
        <v>2</v>
      </c>
      <c r="D407" s="120">
        <v>0.0010327998462288904</v>
      </c>
      <c r="E407" s="120">
        <v>2.364550995353972</v>
      </c>
      <c r="F407" s="88" t="s">
        <v>2665</v>
      </c>
      <c r="G407" s="88" t="b">
        <v>0</v>
      </c>
      <c r="H407" s="88" t="b">
        <v>0</v>
      </c>
      <c r="I407" s="88" t="b">
        <v>0</v>
      </c>
      <c r="J407" s="88" t="b">
        <v>0</v>
      </c>
      <c r="K407" s="88" t="b">
        <v>0</v>
      </c>
      <c r="L407" s="88" t="b">
        <v>0</v>
      </c>
    </row>
    <row r="408" spans="1:12" ht="15">
      <c r="A408" s="88" t="s">
        <v>2330</v>
      </c>
      <c r="B408" s="88" t="s">
        <v>2596</v>
      </c>
      <c r="C408" s="88">
        <v>2</v>
      </c>
      <c r="D408" s="120">
        <v>0.0010327998462288904</v>
      </c>
      <c r="E408" s="120">
        <v>2.364550995353972</v>
      </c>
      <c r="F408" s="88" t="s">
        <v>2665</v>
      </c>
      <c r="G408" s="88" t="b">
        <v>0</v>
      </c>
      <c r="H408" s="88" t="b">
        <v>0</v>
      </c>
      <c r="I408" s="88" t="b">
        <v>0</v>
      </c>
      <c r="J408" s="88" t="b">
        <v>0</v>
      </c>
      <c r="K408" s="88" t="b">
        <v>0</v>
      </c>
      <c r="L408" s="88" t="b">
        <v>0</v>
      </c>
    </row>
    <row r="409" spans="1:12" ht="15">
      <c r="A409" s="88" t="s">
        <v>2271</v>
      </c>
      <c r="B409" s="88" t="s">
        <v>563</v>
      </c>
      <c r="C409" s="88">
        <v>2</v>
      </c>
      <c r="D409" s="120">
        <v>0.0010327998462288904</v>
      </c>
      <c r="E409" s="120">
        <v>1.3331425311023477</v>
      </c>
      <c r="F409" s="88" t="s">
        <v>2665</v>
      </c>
      <c r="G409" s="88" t="b">
        <v>0</v>
      </c>
      <c r="H409" s="88" t="b">
        <v>0</v>
      </c>
      <c r="I409" s="88" t="b">
        <v>0</v>
      </c>
      <c r="J409" s="88" t="b">
        <v>0</v>
      </c>
      <c r="K409" s="88" t="b">
        <v>0</v>
      </c>
      <c r="L409" s="88" t="b">
        <v>0</v>
      </c>
    </row>
    <row r="410" spans="1:12" ht="15">
      <c r="A410" s="88" t="s">
        <v>563</v>
      </c>
      <c r="B410" s="88" t="s">
        <v>564</v>
      </c>
      <c r="C410" s="88">
        <v>2</v>
      </c>
      <c r="D410" s="120">
        <v>0.0010327998462288904</v>
      </c>
      <c r="E410" s="120">
        <v>2.364550995353972</v>
      </c>
      <c r="F410" s="88" t="s">
        <v>2665</v>
      </c>
      <c r="G410" s="88" t="b">
        <v>0</v>
      </c>
      <c r="H410" s="88" t="b">
        <v>0</v>
      </c>
      <c r="I410" s="88" t="b">
        <v>0</v>
      </c>
      <c r="J410" s="88" t="b">
        <v>0</v>
      </c>
      <c r="K410" s="88" t="b">
        <v>0</v>
      </c>
      <c r="L410" s="88" t="b">
        <v>0</v>
      </c>
    </row>
    <row r="411" spans="1:12" ht="15">
      <c r="A411" s="88" t="s">
        <v>2271</v>
      </c>
      <c r="B411" s="88" t="s">
        <v>557</v>
      </c>
      <c r="C411" s="88">
        <v>2</v>
      </c>
      <c r="D411" s="120">
        <v>0.0010327998462288904</v>
      </c>
      <c r="E411" s="120">
        <v>1.3331425311023477</v>
      </c>
      <c r="F411" s="88" t="s">
        <v>2665</v>
      </c>
      <c r="G411" s="88" t="b">
        <v>0</v>
      </c>
      <c r="H411" s="88" t="b">
        <v>0</v>
      </c>
      <c r="I411" s="88" t="b">
        <v>0</v>
      </c>
      <c r="J411" s="88" t="b">
        <v>0</v>
      </c>
      <c r="K411" s="88" t="b">
        <v>0</v>
      </c>
      <c r="L411" s="88" t="b">
        <v>0</v>
      </c>
    </row>
    <row r="412" spans="1:12" ht="15">
      <c r="A412" s="88" t="s">
        <v>557</v>
      </c>
      <c r="B412" s="88" t="s">
        <v>564</v>
      </c>
      <c r="C412" s="88">
        <v>2</v>
      </c>
      <c r="D412" s="120">
        <v>0.0010327998462288904</v>
      </c>
      <c r="E412" s="120">
        <v>2.364550995353972</v>
      </c>
      <c r="F412" s="88" t="s">
        <v>2665</v>
      </c>
      <c r="G412" s="88" t="b">
        <v>0</v>
      </c>
      <c r="H412" s="88" t="b">
        <v>0</v>
      </c>
      <c r="I412" s="88" t="b">
        <v>0</v>
      </c>
      <c r="J412" s="88" t="b">
        <v>0</v>
      </c>
      <c r="K412" s="88" t="b">
        <v>0</v>
      </c>
      <c r="L412" s="88" t="b">
        <v>0</v>
      </c>
    </row>
    <row r="413" spans="1:12" ht="15">
      <c r="A413" s="88" t="s">
        <v>2271</v>
      </c>
      <c r="B413" s="88" t="s">
        <v>556</v>
      </c>
      <c r="C413" s="88">
        <v>2</v>
      </c>
      <c r="D413" s="120">
        <v>0.0010327998462288904</v>
      </c>
      <c r="E413" s="120">
        <v>1.3331425311023477</v>
      </c>
      <c r="F413" s="88" t="s">
        <v>2665</v>
      </c>
      <c r="G413" s="88" t="b">
        <v>0</v>
      </c>
      <c r="H413" s="88" t="b">
        <v>0</v>
      </c>
      <c r="I413" s="88" t="b">
        <v>0</v>
      </c>
      <c r="J413" s="88" t="b">
        <v>0</v>
      </c>
      <c r="K413" s="88" t="b">
        <v>0</v>
      </c>
      <c r="L413" s="88" t="b">
        <v>0</v>
      </c>
    </row>
    <row r="414" spans="1:12" ht="15">
      <c r="A414" s="88" t="s">
        <v>556</v>
      </c>
      <c r="B414" s="88" t="s">
        <v>564</v>
      </c>
      <c r="C414" s="88">
        <v>2</v>
      </c>
      <c r="D414" s="120">
        <v>0.0010327998462288904</v>
      </c>
      <c r="E414" s="120">
        <v>2.364550995353972</v>
      </c>
      <c r="F414" s="88" t="s">
        <v>2665</v>
      </c>
      <c r="G414" s="88" t="b">
        <v>0</v>
      </c>
      <c r="H414" s="88" t="b">
        <v>0</v>
      </c>
      <c r="I414" s="88" t="b">
        <v>0</v>
      </c>
      <c r="J414" s="88" t="b">
        <v>0</v>
      </c>
      <c r="K414" s="88" t="b">
        <v>0</v>
      </c>
      <c r="L414" s="88" t="b">
        <v>0</v>
      </c>
    </row>
    <row r="415" spans="1:12" ht="15">
      <c r="A415" s="88" t="s">
        <v>2271</v>
      </c>
      <c r="B415" s="88" t="s">
        <v>555</v>
      </c>
      <c r="C415" s="88">
        <v>2</v>
      </c>
      <c r="D415" s="120">
        <v>0.0010327998462288904</v>
      </c>
      <c r="E415" s="120">
        <v>1.3331425311023477</v>
      </c>
      <c r="F415" s="88" t="s">
        <v>2665</v>
      </c>
      <c r="G415" s="88" t="b">
        <v>0</v>
      </c>
      <c r="H415" s="88" t="b">
        <v>0</v>
      </c>
      <c r="I415" s="88" t="b">
        <v>0</v>
      </c>
      <c r="J415" s="88" t="b">
        <v>0</v>
      </c>
      <c r="K415" s="88" t="b">
        <v>0</v>
      </c>
      <c r="L415" s="88" t="b">
        <v>0</v>
      </c>
    </row>
    <row r="416" spans="1:12" ht="15">
      <c r="A416" s="88" t="s">
        <v>555</v>
      </c>
      <c r="B416" s="88" t="s">
        <v>564</v>
      </c>
      <c r="C416" s="88">
        <v>2</v>
      </c>
      <c r="D416" s="120">
        <v>0.0010327998462288904</v>
      </c>
      <c r="E416" s="120">
        <v>2.364550995353972</v>
      </c>
      <c r="F416" s="88" t="s">
        <v>2665</v>
      </c>
      <c r="G416" s="88" t="b">
        <v>0</v>
      </c>
      <c r="H416" s="88" t="b">
        <v>0</v>
      </c>
      <c r="I416" s="88" t="b">
        <v>0</v>
      </c>
      <c r="J416" s="88" t="b">
        <v>0</v>
      </c>
      <c r="K416" s="88" t="b">
        <v>0</v>
      </c>
      <c r="L416" s="88" t="b">
        <v>0</v>
      </c>
    </row>
    <row r="417" spans="1:12" ht="15">
      <c r="A417" s="88" t="s">
        <v>2271</v>
      </c>
      <c r="B417" s="88" t="s">
        <v>554</v>
      </c>
      <c r="C417" s="88">
        <v>2</v>
      </c>
      <c r="D417" s="120">
        <v>0.0010327998462288904</v>
      </c>
      <c r="E417" s="120">
        <v>1.3331425311023477</v>
      </c>
      <c r="F417" s="88" t="s">
        <v>2665</v>
      </c>
      <c r="G417" s="88" t="b">
        <v>0</v>
      </c>
      <c r="H417" s="88" t="b">
        <v>0</v>
      </c>
      <c r="I417" s="88" t="b">
        <v>0</v>
      </c>
      <c r="J417" s="88" t="b">
        <v>0</v>
      </c>
      <c r="K417" s="88" t="b">
        <v>0</v>
      </c>
      <c r="L417" s="88" t="b">
        <v>0</v>
      </c>
    </row>
    <row r="418" spans="1:12" ht="15">
      <c r="A418" s="88" t="s">
        <v>554</v>
      </c>
      <c r="B418" s="88" t="s">
        <v>564</v>
      </c>
      <c r="C418" s="88">
        <v>2</v>
      </c>
      <c r="D418" s="120">
        <v>0.0010327998462288904</v>
      </c>
      <c r="E418" s="120">
        <v>2.364550995353972</v>
      </c>
      <c r="F418" s="88" t="s">
        <v>2665</v>
      </c>
      <c r="G418" s="88" t="b">
        <v>0</v>
      </c>
      <c r="H418" s="88" t="b">
        <v>0</v>
      </c>
      <c r="I418" s="88" t="b">
        <v>0</v>
      </c>
      <c r="J418" s="88" t="b">
        <v>0</v>
      </c>
      <c r="K418" s="88" t="b">
        <v>0</v>
      </c>
      <c r="L418" s="88" t="b">
        <v>0</v>
      </c>
    </row>
    <row r="419" spans="1:12" ht="15">
      <c r="A419" s="88" t="s">
        <v>2271</v>
      </c>
      <c r="B419" s="88" t="s">
        <v>564</v>
      </c>
      <c r="C419" s="88">
        <v>2</v>
      </c>
      <c r="D419" s="120">
        <v>0.0010327998462288904</v>
      </c>
      <c r="E419" s="120">
        <v>0.4300525441104042</v>
      </c>
      <c r="F419" s="88" t="s">
        <v>2665</v>
      </c>
      <c r="G419" s="88" t="b">
        <v>0</v>
      </c>
      <c r="H419" s="88" t="b">
        <v>0</v>
      </c>
      <c r="I419" s="88" t="b">
        <v>0</v>
      </c>
      <c r="J419" s="88" t="b">
        <v>0</v>
      </c>
      <c r="K419" s="88" t="b">
        <v>0</v>
      </c>
      <c r="L419" s="88" t="b">
        <v>0</v>
      </c>
    </row>
    <row r="420" spans="1:12" ht="15">
      <c r="A420" s="88" t="s">
        <v>549</v>
      </c>
      <c r="B420" s="88" t="s">
        <v>2598</v>
      </c>
      <c r="C420" s="88">
        <v>2</v>
      </c>
      <c r="D420" s="120">
        <v>0.0010327998462288904</v>
      </c>
      <c r="E420" s="120">
        <v>3.2676409823459154</v>
      </c>
      <c r="F420" s="88" t="s">
        <v>2665</v>
      </c>
      <c r="G420" s="88" t="b">
        <v>0</v>
      </c>
      <c r="H420" s="88" t="b">
        <v>0</v>
      </c>
      <c r="I420" s="88" t="b">
        <v>0</v>
      </c>
      <c r="J420" s="88" t="b">
        <v>0</v>
      </c>
      <c r="K420" s="88" t="b">
        <v>0</v>
      </c>
      <c r="L420" s="88" t="b">
        <v>0</v>
      </c>
    </row>
    <row r="421" spans="1:12" ht="15">
      <c r="A421" s="88" t="s">
        <v>2598</v>
      </c>
      <c r="B421" s="88" t="s">
        <v>2518</v>
      </c>
      <c r="C421" s="88">
        <v>2</v>
      </c>
      <c r="D421" s="120">
        <v>0.0010327998462288904</v>
      </c>
      <c r="E421" s="120">
        <v>3.0915497232902345</v>
      </c>
      <c r="F421" s="88" t="s">
        <v>2665</v>
      </c>
      <c r="G421" s="88" t="b">
        <v>0</v>
      </c>
      <c r="H421" s="88" t="b">
        <v>0</v>
      </c>
      <c r="I421" s="88" t="b">
        <v>0</v>
      </c>
      <c r="J421" s="88" t="b">
        <v>0</v>
      </c>
      <c r="K421" s="88" t="b">
        <v>0</v>
      </c>
      <c r="L421" s="88" t="b">
        <v>0</v>
      </c>
    </row>
    <row r="422" spans="1:12" ht="15">
      <c r="A422" s="88" t="s">
        <v>2518</v>
      </c>
      <c r="B422" s="88" t="s">
        <v>2599</v>
      </c>
      <c r="C422" s="88">
        <v>2</v>
      </c>
      <c r="D422" s="120">
        <v>0.0010327998462288904</v>
      </c>
      <c r="E422" s="120">
        <v>3.0915497232902345</v>
      </c>
      <c r="F422" s="88" t="s">
        <v>2665</v>
      </c>
      <c r="G422" s="88" t="b">
        <v>0</v>
      </c>
      <c r="H422" s="88" t="b">
        <v>0</v>
      </c>
      <c r="I422" s="88" t="b">
        <v>0</v>
      </c>
      <c r="J422" s="88" t="b">
        <v>0</v>
      </c>
      <c r="K422" s="88" t="b">
        <v>0</v>
      </c>
      <c r="L422" s="88" t="b">
        <v>0</v>
      </c>
    </row>
    <row r="423" spans="1:12" ht="15">
      <c r="A423" s="88" t="s">
        <v>2599</v>
      </c>
      <c r="B423" s="88" t="s">
        <v>2600</v>
      </c>
      <c r="C423" s="88">
        <v>2</v>
      </c>
      <c r="D423" s="120">
        <v>0.0010327998462288904</v>
      </c>
      <c r="E423" s="120">
        <v>3.2676409823459154</v>
      </c>
      <c r="F423" s="88" t="s">
        <v>2665</v>
      </c>
      <c r="G423" s="88" t="b">
        <v>0</v>
      </c>
      <c r="H423" s="88" t="b">
        <v>0</v>
      </c>
      <c r="I423" s="88" t="b">
        <v>0</v>
      </c>
      <c r="J423" s="88" t="b">
        <v>0</v>
      </c>
      <c r="K423" s="88" t="b">
        <v>0</v>
      </c>
      <c r="L423" s="88" t="b">
        <v>0</v>
      </c>
    </row>
    <row r="424" spans="1:12" ht="15">
      <c r="A424" s="88" t="s">
        <v>2600</v>
      </c>
      <c r="B424" s="88" t="s">
        <v>2601</v>
      </c>
      <c r="C424" s="88">
        <v>2</v>
      </c>
      <c r="D424" s="120">
        <v>0.0010327998462288904</v>
      </c>
      <c r="E424" s="120">
        <v>3.2676409823459154</v>
      </c>
      <c r="F424" s="88" t="s">
        <v>2665</v>
      </c>
      <c r="G424" s="88" t="b">
        <v>0</v>
      </c>
      <c r="H424" s="88" t="b">
        <v>0</v>
      </c>
      <c r="I424" s="88" t="b">
        <v>0</v>
      </c>
      <c r="J424" s="88" t="b">
        <v>0</v>
      </c>
      <c r="K424" s="88" t="b">
        <v>0</v>
      </c>
      <c r="L424" s="88" t="b">
        <v>0</v>
      </c>
    </row>
    <row r="425" spans="1:12" ht="15">
      <c r="A425" s="88" t="s">
        <v>2601</v>
      </c>
      <c r="B425" s="88" t="s">
        <v>2602</v>
      </c>
      <c r="C425" s="88">
        <v>2</v>
      </c>
      <c r="D425" s="120">
        <v>0.0010327998462288904</v>
      </c>
      <c r="E425" s="120">
        <v>3.2676409823459154</v>
      </c>
      <c r="F425" s="88" t="s">
        <v>2665</v>
      </c>
      <c r="G425" s="88" t="b">
        <v>0</v>
      </c>
      <c r="H425" s="88" t="b">
        <v>0</v>
      </c>
      <c r="I425" s="88" t="b">
        <v>0</v>
      </c>
      <c r="J425" s="88" t="b">
        <v>0</v>
      </c>
      <c r="K425" s="88" t="b">
        <v>0</v>
      </c>
      <c r="L425" s="88" t="b">
        <v>0</v>
      </c>
    </row>
    <row r="426" spans="1:12" ht="15">
      <c r="A426" s="88" t="s">
        <v>2602</v>
      </c>
      <c r="B426" s="88" t="s">
        <v>2603</v>
      </c>
      <c r="C426" s="88">
        <v>2</v>
      </c>
      <c r="D426" s="120">
        <v>0.0010327998462288904</v>
      </c>
      <c r="E426" s="120">
        <v>3.2676409823459154</v>
      </c>
      <c r="F426" s="88" t="s">
        <v>2665</v>
      </c>
      <c r="G426" s="88" t="b">
        <v>0</v>
      </c>
      <c r="H426" s="88" t="b">
        <v>0</v>
      </c>
      <c r="I426" s="88" t="b">
        <v>0</v>
      </c>
      <c r="J426" s="88" t="b">
        <v>0</v>
      </c>
      <c r="K426" s="88" t="b">
        <v>0</v>
      </c>
      <c r="L426" s="88" t="b">
        <v>0</v>
      </c>
    </row>
    <row r="427" spans="1:12" ht="15">
      <c r="A427" s="88" t="s">
        <v>2603</v>
      </c>
      <c r="B427" s="88" t="s">
        <v>550</v>
      </c>
      <c r="C427" s="88">
        <v>2</v>
      </c>
      <c r="D427" s="120">
        <v>0.0010327998462288904</v>
      </c>
      <c r="E427" s="120">
        <v>3.0915497232902345</v>
      </c>
      <c r="F427" s="88" t="s">
        <v>2665</v>
      </c>
      <c r="G427" s="88" t="b">
        <v>0</v>
      </c>
      <c r="H427" s="88" t="b">
        <v>0</v>
      </c>
      <c r="I427" s="88" t="b">
        <v>0</v>
      </c>
      <c r="J427" s="88" t="b">
        <v>0</v>
      </c>
      <c r="K427" s="88" t="b">
        <v>0</v>
      </c>
      <c r="L427" s="88" t="b">
        <v>0</v>
      </c>
    </row>
    <row r="428" spans="1:12" ht="15">
      <c r="A428" s="88" t="s">
        <v>550</v>
      </c>
      <c r="B428" s="88" t="s">
        <v>2604</v>
      </c>
      <c r="C428" s="88">
        <v>2</v>
      </c>
      <c r="D428" s="120">
        <v>0.0010327998462288904</v>
      </c>
      <c r="E428" s="120">
        <v>3.0915497232902345</v>
      </c>
      <c r="F428" s="88" t="s">
        <v>2665</v>
      </c>
      <c r="G428" s="88" t="b">
        <v>0</v>
      </c>
      <c r="H428" s="88" t="b">
        <v>0</v>
      </c>
      <c r="I428" s="88" t="b">
        <v>0</v>
      </c>
      <c r="J428" s="88" t="b">
        <v>0</v>
      </c>
      <c r="K428" s="88" t="b">
        <v>0</v>
      </c>
      <c r="L428" s="88" t="b">
        <v>0</v>
      </c>
    </row>
    <row r="429" spans="1:12" ht="15">
      <c r="A429" s="88" t="s">
        <v>2604</v>
      </c>
      <c r="B429" s="88" t="s">
        <v>1806</v>
      </c>
      <c r="C429" s="88">
        <v>2</v>
      </c>
      <c r="D429" s="120">
        <v>0.0010327998462288904</v>
      </c>
      <c r="E429" s="120">
        <v>3.2676409823459154</v>
      </c>
      <c r="F429" s="88" t="s">
        <v>2665</v>
      </c>
      <c r="G429" s="88" t="b">
        <v>0</v>
      </c>
      <c r="H429" s="88" t="b">
        <v>0</v>
      </c>
      <c r="I429" s="88" t="b">
        <v>0</v>
      </c>
      <c r="J429" s="88" t="b">
        <v>0</v>
      </c>
      <c r="K429" s="88" t="b">
        <v>0</v>
      </c>
      <c r="L429" s="88" t="b">
        <v>0</v>
      </c>
    </row>
    <row r="430" spans="1:12" ht="15">
      <c r="A430" s="88" t="s">
        <v>1806</v>
      </c>
      <c r="B430" s="88" t="s">
        <v>2292</v>
      </c>
      <c r="C430" s="88">
        <v>2</v>
      </c>
      <c r="D430" s="120">
        <v>0.0010327998462288904</v>
      </c>
      <c r="E430" s="120">
        <v>2.1062729801109406</v>
      </c>
      <c r="F430" s="88" t="s">
        <v>2665</v>
      </c>
      <c r="G430" s="88" t="b">
        <v>0</v>
      </c>
      <c r="H430" s="88" t="b">
        <v>0</v>
      </c>
      <c r="I430" s="88" t="b">
        <v>0</v>
      </c>
      <c r="J430" s="88" t="b">
        <v>0</v>
      </c>
      <c r="K430" s="88" t="b">
        <v>0</v>
      </c>
      <c r="L430" s="88" t="b">
        <v>0</v>
      </c>
    </row>
    <row r="431" spans="1:12" ht="15">
      <c r="A431" s="88" t="s">
        <v>2292</v>
      </c>
      <c r="B431" s="88" t="s">
        <v>548</v>
      </c>
      <c r="C431" s="88">
        <v>2</v>
      </c>
      <c r="D431" s="120">
        <v>0.0010327998462288904</v>
      </c>
      <c r="E431" s="120">
        <v>2.1215129466676776</v>
      </c>
      <c r="F431" s="88" t="s">
        <v>2665</v>
      </c>
      <c r="G431" s="88" t="b">
        <v>0</v>
      </c>
      <c r="H431" s="88" t="b">
        <v>0</v>
      </c>
      <c r="I431" s="88" t="b">
        <v>0</v>
      </c>
      <c r="J431" s="88" t="b">
        <v>0</v>
      </c>
      <c r="K431" s="88" t="b">
        <v>0</v>
      </c>
      <c r="L431" s="88" t="b">
        <v>0</v>
      </c>
    </row>
    <row r="432" spans="1:12" ht="15">
      <c r="A432" s="88" t="s">
        <v>548</v>
      </c>
      <c r="B432" s="88" t="s">
        <v>2388</v>
      </c>
      <c r="C432" s="88">
        <v>2</v>
      </c>
      <c r="D432" s="120">
        <v>0.0010327998462288904</v>
      </c>
      <c r="E432" s="120">
        <v>2.7235729379956397</v>
      </c>
      <c r="F432" s="88" t="s">
        <v>2665</v>
      </c>
      <c r="G432" s="88" t="b">
        <v>0</v>
      </c>
      <c r="H432" s="88" t="b">
        <v>0</v>
      </c>
      <c r="I432" s="88" t="b">
        <v>0</v>
      </c>
      <c r="J432" s="88" t="b">
        <v>0</v>
      </c>
      <c r="K432" s="88" t="b">
        <v>0</v>
      </c>
      <c r="L432" s="88" t="b">
        <v>0</v>
      </c>
    </row>
    <row r="433" spans="1:12" ht="15">
      <c r="A433" s="88" t="s">
        <v>2388</v>
      </c>
      <c r="B433" s="88" t="s">
        <v>2605</v>
      </c>
      <c r="C433" s="88">
        <v>2</v>
      </c>
      <c r="D433" s="120">
        <v>0.0010327998462288904</v>
      </c>
      <c r="E433" s="120">
        <v>2.7235729379956397</v>
      </c>
      <c r="F433" s="88" t="s">
        <v>2665</v>
      </c>
      <c r="G433" s="88" t="b">
        <v>0</v>
      </c>
      <c r="H433" s="88" t="b">
        <v>0</v>
      </c>
      <c r="I433" s="88" t="b">
        <v>0</v>
      </c>
      <c r="J433" s="88" t="b">
        <v>0</v>
      </c>
      <c r="K433" s="88" t="b">
        <v>0</v>
      </c>
      <c r="L433" s="88" t="b">
        <v>0</v>
      </c>
    </row>
    <row r="434" spans="1:12" ht="15">
      <c r="A434" s="88" t="s">
        <v>2467</v>
      </c>
      <c r="B434" s="88" t="s">
        <v>2607</v>
      </c>
      <c r="C434" s="88">
        <v>2</v>
      </c>
      <c r="D434" s="120">
        <v>0.0010327998462288904</v>
      </c>
      <c r="E434" s="120">
        <v>3.0915497232902345</v>
      </c>
      <c r="F434" s="88" t="s">
        <v>2665</v>
      </c>
      <c r="G434" s="88" t="b">
        <v>0</v>
      </c>
      <c r="H434" s="88" t="b">
        <v>0</v>
      </c>
      <c r="I434" s="88" t="b">
        <v>0</v>
      </c>
      <c r="J434" s="88" t="b">
        <v>0</v>
      </c>
      <c r="K434" s="88" t="b">
        <v>0</v>
      </c>
      <c r="L434" s="88" t="b">
        <v>0</v>
      </c>
    </row>
    <row r="435" spans="1:12" ht="15">
      <c r="A435" s="88" t="s">
        <v>2607</v>
      </c>
      <c r="B435" s="88" t="s">
        <v>2608</v>
      </c>
      <c r="C435" s="88">
        <v>2</v>
      </c>
      <c r="D435" s="120">
        <v>0.0010327998462288904</v>
      </c>
      <c r="E435" s="120">
        <v>3.2676409823459154</v>
      </c>
      <c r="F435" s="88" t="s">
        <v>2665</v>
      </c>
      <c r="G435" s="88" t="b">
        <v>0</v>
      </c>
      <c r="H435" s="88" t="b">
        <v>0</v>
      </c>
      <c r="I435" s="88" t="b">
        <v>0</v>
      </c>
      <c r="J435" s="88" t="b">
        <v>0</v>
      </c>
      <c r="K435" s="88" t="b">
        <v>0</v>
      </c>
      <c r="L435" s="88" t="b">
        <v>0</v>
      </c>
    </row>
    <row r="436" spans="1:12" ht="15">
      <c r="A436" s="88" t="s">
        <v>699</v>
      </c>
      <c r="B436" s="88" t="s">
        <v>2609</v>
      </c>
      <c r="C436" s="88">
        <v>2</v>
      </c>
      <c r="D436" s="120">
        <v>0.0010327998462288904</v>
      </c>
      <c r="E436" s="120">
        <v>1.4787658665704988</v>
      </c>
      <c r="F436" s="88" t="s">
        <v>2665</v>
      </c>
      <c r="G436" s="88" t="b">
        <v>0</v>
      </c>
      <c r="H436" s="88" t="b">
        <v>0</v>
      </c>
      <c r="I436" s="88" t="b">
        <v>0</v>
      </c>
      <c r="J436" s="88" t="b">
        <v>0</v>
      </c>
      <c r="K436" s="88" t="b">
        <v>0</v>
      </c>
      <c r="L436" s="88" t="b">
        <v>0</v>
      </c>
    </row>
    <row r="437" spans="1:12" ht="15">
      <c r="A437" s="88" t="s">
        <v>2609</v>
      </c>
      <c r="B437" s="88" t="s">
        <v>2610</v>
      </c>
      <c r="C437" s="88">
        <v>2</v>
      </c>
      <c r="D437" s="120">
        <v>0.0010327998462288904</v>
      </c>
      <c r="E437" s="120">
        <v>3.2676409823459154</v>
      </c>
      <c r="F437" s="88" t="s">
        <v>2665</v>
      </c>
      <c r="G437" s="88" t="b">
        <v>0</v>
      </c>
      <c r="H437" s="88" t="b">
        <v>0</v>
      </c>
      <c r="I437" s="88" t="b">
        <v>0</v>
      </c>
      <c r="J437" s="88" t="b">
        <v>0</v>
      </c>
      <c r="K437" s="88" t="b">
        <v>0</v>
      </c>
      <c r="L437" s="88" t="b">
        <v>0</v>
      </c>
    </row>
    <row r="438" spans="1:12" ht="15">
      <c r="A438" s="88" t="s">
        <v>2610</v>
      </c>
      <c r="B438" s="88" t="s">
        <v>2440</v>
      </c>
      <c r="C438" s="88">
        <v>2</v>
      </c>
      <c r="D438" s="120">
        <v>0.0010327998462288904</v>
      </c>
      <c r="E438" s="120">
        <v>2.966610986681934</v>
      </c>
      <c r="F438" s="88" t="s">
        <v>2665</v>
      </c>
      <c r="G438" s="88" t="b">
        <v>0</v>
      </c>
      <c r="H438" s="88" t="b">
        <v>0</v>
      </c>
      <c r="I438" s="88" t="b">
        <v>0</v>
      </c>
      <c r="J438" s="88" t="b">
        <v>0</v>
      </c>
      <c r="K438" s="88" t="b">
        <v>0</v>
      </c>
      <c r="L438" s="88" t="b">
        <v>0</v>
      </c>
    </row>
    <row r="439" spans="1:12" ht="15">
      <c r="A439" s="88" t="s">
        <v>2440</v>
      </c>
      <c r="B439" s="88" t="s">
        <v>2611</v>
      </c>
      <c r="C439" s="88">
        <v>2</v>
      </c>
      <c r="D439" s="120">
        <v>0.0010327998462288904</v>
      </c>
      <c r="E439" s="120">
        <v>2.966610986681934</v>
      </c>
      <c r="F439" s="88" t="s">
        <v>2665</v>
      </c>
      <c r="G439" s="88" t="b">
        <v>0</v>
      </c>
      <c r="H439" s="88" t="b">
        <v>0</v>
      </c>
      <c r="I439" s="88" t="b">
        <v>0</v>
      </c>
      <c r="J439" s="88" t="b">
        <v>0</v>
      </c>
      <c r="K439" s="88" t="b">
        <v>0</v>
      </c>
      <c r="L439" s="88" t="b">
        <v>0</v>
      </c>
    </row>
    <row r="440" spans="1:12" ht="15">
      <c r="A440" s="88" t="s">
        <v>2611</v>
      </c>
      <c r="B440" s="88" t="s">
        <v>2612</v>
      </c>
      <c r="C440" s="88">
        <v>2</v>
      </c>
      <c r="D440" s="120">
        <v>0.0010327998462288904</v>
      </c>
      <c r="E440" s="120">
        <v>3.2676409823459154</v>
      </c>
      <c r="F440" s="88" t="s">
        <v>2665</v>
      </c>
      <c r="G440" s="88" t="b">
        <v>0</v>
      </c>
      <c r="H440" s="88" t="b">
        <v>0</v>
      </c>
      <c r="I440" s="88" t="b">
        <v>0</v>
      </c>
      <c r="J440" s="88" t="b">
        <v>1</v>
      </c>
      <c r="K440" s="88" t="b">
        <v>0</v>
      </c>
      <c r="L440" s="88" t="b">
        <v>0</v>
      </c>
    </row>
    <row r="441" spans="1:12" ht="15">
      <c r="A441" s="88" t="s">
        <v>2612</v>
      </c>
      <c r="B441" s="88" t="s">
        <v>2613</v>
      </c>
      <c r="C441" s="88">
        <v>2</v>
      </c>
      <c r="D441" s="120">
        <v>0.0010327998462288904</v>
      </c>
      <c r="E441" s="120">
        <v>3.2676409823459154</v>
      </c>
      <c r="F441" s="88" t="s">
        <v>2665</v>
      </c>
      <c r="G441" s="88" t="b">
        <v>1</v>
      </c>
      <c r="H441" s="88" t="b">
        <v>0</v>
      </c>
      <c r="I441" s="88" t="b">
        <v>0</v>
      </c>
      <c r="J441" s="88" t="b">
        <v>0</v>
      </c>
      <c r="K441" s="88" t="b">
        <v>0</v>
      </c>
      <c r="L441" s="88" t="b">
        <v>0</v>
      </c>
    </row>
    <row r="442" spans="1:12" ht="15">
      <c r="A442" s="88" t="s">
        <v>2613</v>
      </c>
      <c r="B442" s="88" t="s">
        <v>2614</v>
      </c>
      <c r="C442" s="88">
        <v>2</v>
      </c>
      <c r="D442" s="120">
        <v>0.0010327998462288904</v>
      </c>
      <c r="E442" s="120">
        <v>3.2676409823459154</v>
      </c>
      <c r="F442" s="88" t="s">
        <v>2665</v>
      </c>
      <c r="G442" s="88" t="b">
        <v>0</v>
      </c>
      <c r="H442" s="88" t="b">
        <v>0</v>
      </c>
      <c r="I442" s="88" t="b">
        <v>0</v>
      </c>
      <c r="J442" s="88" t="b">
        <v>0</v>
      </c>
      <c r="K442" s="88" t="b">
        <v>0</v>
      </c>
      <c r="L442" s="88" t="b">
        <v>0</v>
      </c>
    </row>
    <row r="443" spans="1:12" ht="15">
      <c r="A443" s="88" t="s">
        <v>2614</v>
      </c>
      <c r="B443" s="88" t="s">
        <v>2615</v>
      </c>
      <c r="C443" s="88">
        <v>2</v>
      </c>
      <c r="D443" s="120">
        <v>0.0010327998462288904</v>
      </c>
      <c r="E443" s="120">
        <v>3.2676409823459154</v>
      </c>
      <c r="F443" s="88" t="s">
        <v>2665</v>
      </c>
      <c r="G443" s="88" t="b">
        <v>0</v>
      </c>
      <c r="H443" s="88" t="b">
        <v>0</v>
      </c>
      <c r="I443" s="88" t="b">
        <v>0</v>
      </c>
      <c r="J443" s="88" t="b">
        <v>0</v>
      </c>
      <c r="K443" s="88" t="b">
        <v>0</v>
      </c>
      <c r="L443" s="88" t="b">
        <v>0</v>
      </c>
    </row>
    <row r="444" spans="1:12" ht="15">
      <c r="A444" s="88" t="s">
        <v>2615</v>
      </c>
      <c r="B444" s="88" t="s">
        <v>2616</v>
      </c>
      <c r="C444" s="88">
        <v>2</v>
      </c>
      <c r="D444" s="120">
        <v>0.0010327998462288904</v>
      </c>
      <c r="E444" s="120">
        <v>3.2676409823459154</v>
      </c>
      <c r="F444" s="88" t="s">
        <v>2665</v>
      </c>
      <c r="G444" s="88" t="b">
        <v>0</v>
      </c>
      <c r="H444" s="88" t="b">
        <v>0</v>
      </c>
      <c r="I444" s="88" t="b">
        <v>0</v>
      </c>
      <c r="J444" s="88" t="b">
        <v>0</v>
      </c>
      <c r="K444" s="88" t="b">
        <v>0</v>
      </c>
      <c r="L444" s="88" t="b">
        <v>0</v>
      </c>
    </row>
    <row r="445" spans="1:12" ht="15">
      <c r="A445" s="88" t="s">
        <v>2616</v>
      </c>
      <c r="B445" s="88" t="s">
        <v>2617</v>
      </c>
      <c r="C445" s="88">
        <v>2</v>
      </c>
      <c r="D445" s="120">
        <v>0.0010327998462288904</v>
      </c>
      <c r="E445" s="120">
        <v>3.2676409823459154</v>
      </c>
      <c r="F445" s="88" t="s">
        <v>2665</v>
      </c>
      <c r="G445" s="88" t="b">
        <v>0</v>
      </c>
      <c r="H445" s="88" t="b">
        <v>0</v>
      </c>
      <c r="I445" s="88" t="b">
        <v>0</v>
      </c>
      <c r="J445" s="88" t="b">
        <v>0</v>
      </c>
      <c r="K445" s="88" t="b">
        <v>0</v>
      </c>
      <c r="L445" s="88" t="b">
        <v>0</v>
      </c>
    </row>
    <row r="446" spans="1:12" ht="15">
      <c r="A446" s="88" t="s">
        <v>2617</v>
      </c>
      <c r="B446" s="88" t="s">
        <v>2618</v>
      </c>
      <c r="C446" s="88">
        <v>2</v>
      </c>
      <c r="D446" s="120">
        <v>0.0010327998462288904</v>
      </c>
      <c r="E446" s="120">
        <v>3.2676409823459154</v>
      </c>
      <c r="F446" s="88" t="s">
        <v>2665</v>
      </c>
      <c r="G446" s="88" t="b">
        <v>0</v>
      </c>
      <c r="H446" s="88" t="b">
        <v>0</v>
      </c>
      <c r="I446" s="88" t="b">
        <v>0</v>
      </c>
      <c r="J446" s="88" t="b">
        <v>0</v>
      </c>
      <c r="K446" s="88" t="b">
        <v>0</v>
      </c>
      <c r="L446" s="88" t="b">
        <v>0</v>
      </c>
    </row>
    <row r="447" spans="1:12" ht="15">
      <c r="A447" s="88" t="s">
        <v>2618</v>
      </c>
      <c r="B447" s="88" t="s">
        <v>2619</v>
      </c>
      <c r="C447" s="88">
        <v>2</v>
      </c>
      <c r="D447" s="120">
        <v>0.0010327998462288904</v>
      </c>
      <c r="E447" s="120">
        <v>3.2676409823459154</v>
      </c>
      <c r="F447" s="88" t="s">
        <v>2665</v>
      </c>
      <c r="G447" s="88" t="b">
        <v>0</v>
      </c>
      <c r="H447" s="88" t="b">
        <v>0</v>
      </c>
      <c r="I447" s="88" t="b">
        <v>0</v>
      </c>
      <c r="J447" s="88" t="b">
        <v>0</v>
      </c>
      <c r="K447" s="88" t="b">
        <v>0</v>
      </c>
      <c r="L447" s="88" t="b">
        <v>0</v>
      </c>
    </row>
    <row r="448" spans="1:12" ht="15">
      <c r="A448" s="88" t="s">
        <v>2619</v>
      </c>
      <c r="B448" s="88" t="s">
        <v>2620</v>
      </c>
      <c r="C448" s="88">
        <v>2</v>
      </c>
      <c r="D448" s="120">
        <v>0.0010327998462288904</v>
      </c>
      <c r="E448" s="120">
        <v>3.2676409823459154</v>
      </c>
      <c r="F448" s="88" t="s">
        <v>2665</v>
      </c>
      <c r="G448" s="88" t="b">
        <v>0</v>
      </c>
      <c r="H448" s="88" t="b">
        <v>0</v>
      </c>
      <c r="I448" s="88" t="b">
        <v>0</v>
      </c>
      <c r="J448" s="88" t="b">
        <v>0</v>
      </c>
      <c r="K448" s="88" t="b">
        <v>0</v>
      </c>
      <c r="L448" s="88" t="b">
        <v>0</v>
      </c>
    </row>
    <row r="449" spans="1:12" ht="15">
      <c r="A449" s="88" t="s">
        <v>2620</v>
      </c>
      <c r="B449" s="88" t="s">
        <v>2271</v>
      </c>
      <c r="C449" s="88">
        <v>2</v>
      </c>
      <c r="D449" s="120">
        <v>0.0010327998462288904</v>
      </c>
      <c r="E449" s="120">
        <v>1.2164884598985342</v>
      </c>
      <c r="F449" s="88" t="s">
        <v>2665</v>
      </c>
      <c r="G449" s="88" t="b">
        <v>0</v>
      </c>
      <c r="H449" s="88" t="b">
        <v>0</v>
      </c>
      <c r="I449" s="88" t="b">
        <v>0</v>
      </c>
      <c r="J449" s="88" t="b">
        <v>0</v>
      </c>
      <c r="K449" s="88" t="b">
        <v>0</v>
      </c>
      <c r="L449" s="88" t="b">
        <v>0</v>
      </c>
    </row>
    <row r="450" spans="1:12" ht="15">
      <c r="A450" s="88" t="s">
        <v>2271</v>
      </c>
      <c r="B450" s="88" t="s">
        <v>2275</v>
      </c>
      <c r="C450" s="88">
        <v>2</v>
      </c>
      <c r="D450" s="120">
        <v>0.0010327998462288904</v>
      </c>
      <c r="E450" s="120">
        <v>0.0007040711867425014</v>
      </c>
      <c r="F450" s="88" t="s">
        <v>2665</v>
      </c>
      <c r="G450" s="88" t="b">
        <v>0</v>
      </c>
      <c r="H450" s="88" t="b">
        <v>0</v>
      </c>
      <c r="I450" s="88" t="b">
        <v>0</v>
      </c>
      <c r="J450" s="88" t="b">
        <v>0</v>
      </c>
      <c r="K450" s="88" t="b">
        <v>0</v>
      </c>
      <c r="L450" s="88" t="b">
        <v>0</v>
      </c>
    </row>
    <row r="451" spans="1:12" ht="15">
      <c r="A451" s="88" t="s">
        <v>2621</v>
      </c>
      <c r="B451" s="88" t="s">
        <v>533</v>
      </c>
      <c r="C451" s="88">
        <v>2</v>
      </c>
      <c r="D451" s="120">
        <v>0.0010327998462288904</v>
      </c>
      <c r="E451" s="120">
        <v>3.2676409823459154</v>
      </c>
      <c r="F451" s="88" t="s">
        <v>2665</v>
      </c>
      <c r="G451" s="88" t="b">
        <v>0</v>
      </c>
      <c r="H451" s="88" t="b">
        <v>0</v>
      </c>
      <c r="I451" s="88" t="b">
        <v>0</v>
      </c>
      <c r="J451" s="88" t="b">
        <v>0</v>
      </c>
      <c r="K451" s="88" t="b">
        <v>0</v>
      </c>
      <c r="L451" s="88" t="b">
        <v>0</v>
      </c>
    </row>
    <row r="452" spans="1:12" ht="15">
      <c r="A452" s="88" t="s">
        <v>533</v>
      </c>
      <c r="B452" s="88" t="s">
        <v>2622</v>
      </c>
      <c r="C452" s="88">
        <v>2</v>
      </c>
      <c r="D452" s="120">
        <v>0.0010327998462288904</v>
      </c>
      <c r="E452" s="120">
        <v>3.2676409823459154</v>
      </c>
      <c r="F452" s="88" t="s">
        <v>2665</v>
      </c>
      <c r="G452" s="88" t="b">
        <v>0</v>
      </c>
      <c r="H452" s="88" t="b">
        <v>0</v>
      </c>
      <c r="I452" s="88" t="b">
        <v>0</v>
      </c>
      <c r="J452" s="88" t="b">
        <v>0</v>
      </c>
      <c r="K452" s="88" t="b">
        <v>0</v>
      </c>
      <c r="L452" s="88" t="b">
        <v>0</v>
      </c>
    </row>
    <row r="453" spans="1:12" ht="15">
      <c r="A453" s="88" t="s">
        <v>2622</v>
      </c>
      <c r="B453" s="88" t="s">
        <v>2623</v>
      </c>
      <c r="C453" s="88">
        <v>2</v>
      </c>
      <c r="D453" s="120">
        <v>0.0010327998462288904</v>
      </c>
      <c r="E453" s="120">
        <v>3.2676409823459154</v>
      </c>
      <c r="F453" s="88" t="s">
        <v>2665</v>
      </c>
      <c r="G453" s="88" t="b">
        <v>0</v>
      </c>
      <c r="H453" s="88" t="b">
        <v>0</v>
      </c>
      <c r="I453" s="88" t="b">
        <v>0</v>
      </c>
      <c r="J453" s="88" t="b">
        <v>0</v>
      </c>
      <c r="K453" s="88" t="b">
        <v>0</v>
      </c>
      <c r="L453" s="88" t="b">
        <v>0</v>
      </c>
    </row>
    <row r="454" spans="1:12" ht="15">
      <c r="A454" s="88" t="s">
        <v>2623</v>
      </c>
      <c r="B454" s="88" t="s">
        <v>2624</v>
      </c>
      <c r="C454" s="88">
        <v>2</v>
      </c>
      <c r="D454" s="120">
        <v>0.0010327998462288904</v>
      </c>
      <c r="E454" s="120">
        <v>3.2676409823459154</v>
      </c>
      <c r="F454" s="88" t="s">
        <v>2665</v>
      </c>
      <c r="G454" s="88" t="b">
        <v>0</v>
      </c>
      <c r="H454" s="88" t="b">
        <v>0</v>
      </c>
      <c r="I454" s="88" t="b">
        <v>0</v>
      </c>
      <c r="J454" s="88" t="b">
        <v>0</v>
      </c>
      <c r="K454" s="88" t="b">
        <v>0</v>
      </c>
      <c r="L454" s="88" t="b">
        <v>0</v>
      </c>
    </row>
    <row r="455" spans="1:12" ht="15">
      <c r="A455" s="88" t="s">
        <v>2624</v>
      </c>
      <c r="B455" s="88" t="s">
        <v>2273</v>
      </c>
      <c r="C455" s="88">
        <v>2</v>
      </c>
      <c r="D455" s="120">
        <v>0.0010327998462288904</v>
      </c>
      <c r="E455" s="120">
        <v>1.769330428556315</v>
      </c>
      <c r="F455" s="88" t="s">
        <v>2665</v>
      </c>
      <c r="G455" s="88" t="b">
        <v>0</v>
      </c>
      <c r="H455" s="88" t="b">
        <v>0</v>
      </c>
      <c r="I455" s="88" t="b">
        <v>0</v>
      </c>
      <c r="J455" s="88" t="b">
        <v>0</v>
      </c>
      <c r="K455" s="88" t="b">
        <v>0</v>
      </c>
      <c r="L455" s="88" t="b">
        <v>0</v>
      </c>
    </row>
    <row r="456" spans="1:12" ht="15">
      <c r="A456" s="88" t="s">
        <v>2273</v>
      </c>
      <c r="B456" s="88" t="s">
        <v>2625</v>
      </c>
      <c r="C456" s="88">
        <v>2</v>
      </c>
      <c r="D456" s="120">
        <v>0.0010327998462288904</v>
      </c>
      <c r="E456" s="120">
        <v>1.769330428556315</v>
      </c>
      <c r="F456" s="88" t="s">
        <v>2665</v>
      </c>
      <c r="G456" s="88" t="b">
        <v>0</v>
      </c>
      <c r="H456" s="88" t="b">
        <v>0</v>
      </c>
      <c r="I456" s="88" t="b">
        <v>0</v>
      </c>
      <c r="J456" s="88" t="b">
        <v>0</v>
      </c>
      <c r="K456" s="88" t="b">
        <v>0</v>
      </c>
      <c r="L456" s="88" t="b">
        <v>0</v>
      </c>
    </row>
    <row r="457" spans="1:12" ht="15">
      <c r="A457" s="88" t="s">
        <v>2625</v>
      </c>
      <c r="B457" s="88" t="s">
        <v>2626</v>
      </c>
      <c r="C457" s="88">
        <v>2</v>
      </c>
      <c r="D457" s="120">
        <v>0.0010327998462288904</v>
      </c>
      <c r="E457" s="120">
        <v>3.2676409823459154</v>
      </c>
      <c r="F457" s="88" t="s">
        <v>2665</v>
      </c>
      <c r="G457" s="88" t="b">
        <v>0</v>
      </c>
      <c r="H457" s="88" t="b">
        <v>0</v>
      </c>
      <c r="I457" s="88" t="b">
        <v>0</v>
      </c>
      <c r="J457" s="88" t="b">
        <v>0</v>
      </c>
      <c r="K457" s="88" t="b">
        <v>0</v>
      </c>
      <c r="L457" s="88" t="b">
        <v>0</v>
      </c>
    </row>
    <row r="458" spans="1:12" ht="15">
      <c r="A458" s="88" t="s">
        <v>2626</v>
      </c>
      <c r="B458" s="88" t="s">
        <v>2627</v>
      </c>
      <c r="C458" s="88">
        <v>2</v>
      </c>
      <c r="D458" s="120">
        <v>0.0010327998462288904</v>
      </c>
      <c r="E458" s="120">
        <v>3.2676409823459154</v>
      </c>
      <c r="F458" s="88" t="s">
        <v>2665</v>
      </c>
      <c r="G458" s="88" t="b">
        <v>0</v>
      </c>
      <c r="H458" s="88" t="b">
        <v>0</v>
      </c>
      <c r="I458" s="88" t="b">
        <v>0</v>
      </c>
      <c r="J458" s="88" t="b">
        <v>0</v>
      </c>
      <c r="K458" s="88" t="b">
        <v>0</v>
      </c>
      <c r="L458" s="88" t="b">
        <v>0</v>
      </c>
    </row>
    <row r="459" spans="1:12" ht="15">
      <c r="A459" s="88" t="s">
        <v>2627</v>
      </c>
      <c r="B459" s="88" t="s">
        <v>2628</v>
      </c>
      <c r="C459" s="88">
        <v>2</v>
      </c>
      <c r="D459" s="120">
        <v>0.0010327998462288904</v>
      </c>
      <c r="E459" s="120">
        <v>3.2676409823459154</v>
      </c>
      <c r="F459" s="88" t="s">
        <v>2665</v>
      </c>
      <c r="G459" s="88" t="b">
        <v>0</v>
      </c>
      <c r="H459" s="88" t="b">
        <v>0</v>
      </c>
      <c r="I459" s="88" t="b">
        <v>0</v>
      </c>
      <c r="J459" s="88" t="b">
        <v>0</v>
      </c>
      <c r="K459" s="88" t="b">
        <v>0</v>
      </c>
      <c r="L459" s="88" t="b">
        <v>0</v>
      </c>
    </row>
    <row r="460" spans="1:12" ht="15">
      <c r="A460" s="88" t="s">
        <v>2628</v>
      </c>
      <c r="B460" s="88" t="s">
        <v>2629</v>
      </c>
      <c r="C460" s="88">
        <v>2</v>
      </c>
      <c r="D460" s="120">
        <v>0.0010327998462288904</v>
      </c>
      <c r="E460" s="120">
        <v>3.2676409823459154</v>
      </c>
      <c r="F460" s="88" t="s">
        <v>2665</v>
      </c>
      <c r="G460" s="88" t="b">
        <v>0</v>
      </c>
      <c r="H460" s="88" t="b">
        <v>0</v>
      </c>
      <c r="I460" s="88" t="b">
        <v>0</v>
      </c>
      <c r="J460" s="88" t="b">
        <v>0</v>
      </c>
      <c r="K460" s="88" t="b">
        <v>0</v>
      </c>
      <c r="L460" s="88" t="b">
        <v>0</v>
      </c>
    </row>
    <row r="461" spans="1:12" ht="15">
      <c r="A461" s="88" t="s">
        <v>2629</v>
      </c>
      <c r="B461" s="88" t="s">
        <v>2271</v>
      </c>
      <c r="C461" s="88">
        <v>2</v>
      </c>
      <c r="D461" s="120">
        <v>0.0010327998462288904</v>
      </c>
      <c r="E461" s="120">
        <v>1.2164884598985342</v>
      </c>
      <c r="F461" s="88" t="s">
        <v>2665</v>
      </c>
      <c r="G461" s="88" t="b">
        <v>0</v>
      </c>
      <c r="H461" s="88" t="b">
        <v>0</v>
      </c>
      <c r="I461" s="88" t="b">
        <v>0</v>
      </c>
      <c r="J461" s="88" t="b">
        <v>0</v>
      </c>
      <c r="K461" s="88" t="b">
        <v>0</v>
      </c>
      <c r="L461" s="88" t="b">
        <v>0</v>
      </c>
    </row>
    <row r="462" spans="1:12" ht="15">
      <c r="A462" s="88" t="s">
        <v>2631</v>
      </c>
      <c r="B462" s="88" t="s">
        <v>2296</v>
      </c>
      <c r="C462" s="88">
        <v>2</v>
      </c>
      <c r="D462" s="120">
        <v>0.0010327998462288904</v>
      </c>
      <c r="E462" s="120">
        <v>2.170730969337859</v>
      </c>
      <c r="F462" s="88" t="s">
        <v>2665</v>
      </c>
      <c r="G462" s="88" t="b">
        <v>1</v>
      </c>
      <c r="H462" s="88" t="b">
        <v>0</v>
      </c>
      <c r="I462" s="88" t="b">
        <v>0</v>
      </c>
      <c r="J462" s="88" t="b">
        <v>0</v>
      </c>
      <c r="K462" s="88" t="b">
        <v>0</v>
      </c>
      <c r="L462" s="88" t="b">
        <v>0</v>
      </c>
    </row>
    <row r="463" spans="1:12" ht="15">
      <c r="A463" s="88" t="s">
        <v>2342</v>
      </c>
      <c r="B463" s="88" t="s">
        <v>2276</v>
      </c>
      <c r="C463" s="88">
        <v>2</v>
      </c>
      <c r="D463" s="120">
        <v>0.0010327998462288904</v>
      </c>
      <c r="E463" s="120">
        <v>1.252700632552979</v>
      </c>
      <c r="F463" s="88" t="s">
        <v>2665</v>
      </c>
      <c r="G463" s="88" t="b">
        <v>0</v>
      </c>
      <c r="H463" s="88" t="b">
        <v>0</v>
      </c>
      <c r="I463" s="88" t="b">
        <v>0</v>
      </c>
      <c r="J463" s="88" t="b">
        <v>0</v>
      </c>
      <c r="K463" s="88" t="b">
        <v>0</v>
      </c>
      <c r="L463" s="88" t="b">
        <v>0</v>
      </c>
    </row>
    <row r="464" spans="1:12" ht="15">
      <c r="A464" s="88" t="s">
        <v>2276</v>
      </c>
      <c r="B464" s="88" t="s">
        <v>2632</v>
      </c>
      <c r="C464" s="88">
        <v>2</v>
      </c>
      <c r="D464" s="120">
        <v>0.0010327998462288904</v>
      </c>
      <c r="E464" s="120">
        <v>1.9059131463283225</v>
      </c>
      <c r="F464" s="88" t="s">
        <v>2665</v>
      </c>
      <c r="G464" s="88" t="b">
        <v>0</v>
      </c>
      <c r="H464" s="88" t="b">
        <v>0</v>
      </c>
      <c r="I464" s="88" t="b">
        <v>0</v>
      </c>
      <c r="J464" s="88" t="b">
        <v>0</v>
      </c>
      <c r="K464" s="88" t="b">
        <v>0</v>
      </c>
      <c r="L464" s="88" t="b">
        <v>0</v>
      </c>
    </row>
    <row r="465" spans="1:12" ht="15">
      <c r="A465" s="88" t="s">
        <v>2632</v>
      </c>
      <c r="B465" s="88" t="s">
        <v>2633</v>
      </c>
      <c r="C465" s="88">
        <v>2</v>
      </c>
      <c r="D465" s="120">
        <v>0.0010327998462288904</v>
      </c>
      <c r="E465" s="120">
        <v>3.2676409823459154</v>
      </c>
      <c r="F465" s="88" t="s">
        <v>2665</v>
      </c>
      <c r="G465" s="88" t="b">
        <v>0</v>
      </c>
      <c r="H465" s="88" t="b">
        <v>0</v>
      </c>
      <c r="I465" s="88" t="b">
        <v>0</v>
      </c>
      <c r="J465" s="88" t="b">
        <v>0</v>
      </c>
      <c r="K465" s="88" t="b">
        <v>0</v>
      </c>
      <c r="L465" s="88" t="b">
        <v>0</v>
      </c>
    </row>
    <row r="466" spans="1:12" ht="15">
      <c r="A466" s="88" t="s">
        <v>2633</v>
      </c>
      <c r="B466" s="88" t="s">
        <v>2294</v>
      </c>
      <c r="C466" s="88">
        <v>2</v>
      </c>
      <c r="D466" s="120">
        <v>0.0010327998462288904</v>
      </c>
      <c r="E466" s="120">
        <v>2.1373072138509093</v>
      </c>
      <c r="F466" s="88" t="s">
        <v>2665</v>
      </c>
      <c r="G466" s="88" t="b">
        <v>0</v>
      </c>
      <c r="H466" s="88" t="b">
        <v>0</v>
      </c>
      <c r="I466" s="88" t="b">
        <v>0</v>
      </c>
      <c r="J466" s="88" t="b">
        <v>0</v>
      </c>
      <c r="K466" s="88" t="b">
        <v>0</v>
      </c>
      <c r="L466" s="88" t="b">
        <v>0</v>
      </c>
    </row>
    <row r="467" spans="1:12" ht="15">
      <c r="A467" s="88" t="s">
        <v>2294</v>
      </c>
      <c r="B467" s="88" t="s">
        <v>2634</v>
      </c>
      <c r="C467" s="88">
        <v>2</v>
      </c>
      <c r="D467" s="120">
        <v>0.0010327998462288904</v>
      </c>
      <c r="E467" s="120">
        <v>2.1373072138509093</v>
      </c>
      <c r="F467" s="88" t="s">
        <v>2665</v>
      </c>
      <c r="G467" s="88" t="b">
        <v>0</v>
      </c>
      <c r="H467" s="88" t="b">
        <v>0</v>
      </c>
      <c r="I467" s="88" t="b">
        <v>0</v>
      </c>
      <c r="J467" s="88" t="b">
        <v>0</v>
      </c>
      <c r="K467" s="88" t="b">
        <v>0</v>
      </c>
      <c r="L467" s="88" t="b">
        <v>0</v>
      </c>
    </row>
    <row r="468" spans="1:12" ht="15">
      <c r="A468" s="88" t="s">
        <v>2634</v>
      </c>
      <c r="B468" s="88" t="s">
        <v>522</v>
      </c>
      <c r="C468" s="88">
        <v>2</v>
      </c>
      <c r="D468" s="120">
        <v>0.0010327998462288904</v>
      </c>
      <c r="E468" s="120">
        <v>3.2676409823459154</v>
      </c>
      <c r="F468" s="88" t="s">
        <v>2665</v>
      </c>
      <c r="G468" s="88" t="b">
        <v>0</v>
      </c>
      <c r="H468" s="88" t="b">
        <v>0</v>
      </c>
      <c r="I468" s="88" t="b">
        <v>0</v>
      </c>
      <c r="J468" s="88" t="b">
        <v>0</v>
      </c>
      <c r="K468" s="88" t="b">
        <v>0</v>
      </c>
      <c r="L468" s="88" t="b">
        <v>0</v>
      </c>
    </row>
    <row r="469" spans="1:12" ht="15">
      <c r="A469" s="88" t="s">
        <v>522</v>
      </c>
      <c r="B469" s="88" t="s">
        <v>2635</v>
      </c>
      <c r="C469" s="88">
        <v>2</v>
      </c>
      <c r="D469" s="120">
        <v>0.0010327998462288904</v>
      </c>
      <c r="E469" s="120">
        <v>3.2676409823459154</v>
      </c>
      <c r="F469" s="88" t="s">
        <v>2665</v>
      </c>
      <c r="G469" s="88" t="b">
        <v>0</v>
      </c>
      <c r="H469" s="88" t="b">
        <v>0</v>
      </c>
      <c r="I469" s="88" t="b">
        <v>0</v>
      </c>
      <c r="J469" s="88" t="b">
        <v>0</v>
      </c>
      <c r="K469" s="88" t="b">
        <v>0</v>
      </c>
      <c r="L469" s="88" t="b">
        <v>0</v>
      </c>
    </row>
    <row r="470" spans="1:12" ht="15">
      <c r="A470" s="88" t="s">
        <v>2635</v>
      </c>
      <c r="B470" s="88" t="s">
        <v>2636</v>
      </c>
      <c r="C470" s="88">
        <v>2</v>
      </c>
      <c r="D470" s="120">
        <v>0.0010327998462288904</v>
      </c>
      <c r="E470" s="120">
        <v>3.2676409823459154</v>
      </c>
      <c r="F470" s="88" t="s">
        <v>2665</v>
      </c>
      <c r="G470" s="88" t="b">
        <v>0</v>
      </c>
      <c r="H470" s="88" t="b">
        <v>0</v>
      </c>
      <c r="I470" s="88" t="b">
        <v>0</v>
      </c>
      <c r="J470" s="88" t="b">
        <v>0</v>
      </c>
      <c r="K470" s="88" t="b">
        <v>0</v>
      </c>
      <c r="L470" s="88" t="b">
        <v>0</v>
      </c>
    </row>
    <row r="471" spans="1:12" ht="15">
      <c r="A471" s="88" t="s">
        <v>2636</v>
      </c>
      <c r="B471" s="88" t="s">
        <v>2637</v>
      </c>
      <c r="C471" s="88">
        <v>2</v>
      </c>
      <c r="D471" s="120">
        <v>0.0010327998462288904</v>
      </c>
      <c r="E471" s="120">
        <v>3.2676409823459154</v>
      </c>
      <c r="F471" s="88" t="s">
        <v>2665</v>
      </c>
      <c r="G471" s="88" t="b">
        <v>0</v>
      </c>
      <c r="H471" s="88" t="b">
        <v>0</v>
      </c>
      <c r="I471" s="88" t="b">
        <v>0</v>
      </c>
      <c r="J471" s="88" t="b">
        <v>0</v>
      </c>
      <c r="K471" s="88" t="b">
        <v>0</v>
      </c>
      <c r="L471" s="88" t="b">
        <v>0</v>
      </c>
    </row>
    <row r="472" spans="1:12" ht="15">
      <c r="A472" s="88" t="s">
        <v>2637</v>
      </c>
      <c r="B472" s="88" t="s">
        <v>2638</v>
      </c>
      <c r="C472" s="88">
        <v>2</v>
      </c>
      <c r="D472" s="120">
        <v>0.0010327998462288904</v>
      </c>
      <c r="E472" s="120">
        <v>3.2676409823459154</v>
      </c>
      <c r="F472" s="88" t="s">
        <v>2665</v>
      </c>
      <c r="G472" s="88" t="b">
        <v>0</v>
      </c>
      <c r="H472" s="88" t="b">
        <v>0</v>
      </c>
      <c r="I472" s="88" t="b">
        <v>0</v>
      </c>
      <c r="J472" s="88" t="b">
        <v>0</v>
      </c>
      <c r="K472" s="88" t="b">
        <v>0</v>
      </c>
      <c r="L472" s="88" t="b">
        <v>0</v>
      </c>
    </row>
    <row r="473" spans="1:12" ht="15">
      <c r="A473" s="88" t="s">
        <v>2638</v>
      </c>
      <c r="B473" s="88" t="s">
        <v>2639</v>
      </c>
      <c r="C473" s="88">
        <v>2</v>
      </c>
      <c r="D473" s="120">
        <v>0.0010327998462288904</v>
      </c>
      <c r="E473" s="120">
        <v>3.2676409823459154</v>
      </c>
      <c r="F473" s="88" t="s">
        <v>2665</v>
      </c>
      <c r="G473" s="88" t="b">
        <v>0</v>
      </c>
      <c r="H473" s="88" t="b">
        <v>0</v>
      </c>
      <c r="I473" s="88" t="b">
        <v>0</v>
      </c>
      <c r="J473" s="88" t="b">
        <v>1</v>
      </c>
      <c r="K473" s="88" t="b">
        <v>0</v>
      </c>
      <c r="L473" s="88" t="b">
        <v>0</v>
      </c>
    </row>
    <row r="474" spans="1:12" ht="15">
      <c r="A474" s="88" t="s">
        <v>2639</v>
      </c>
      <c r="B474" s="88" t="s">
        <v>2640</v>
      </c>
      <c r="C474" s="88">
        <v>2</v>
      </c>
      <c r="D474" s="120">
        <v>0.0010327998462288904</v>
      </c>
      <c r="E474" s="120">
        <v>3.2676409823459154</v>
      </c>
      <c r="F474" s="88" t="s">
        <v>2665</v>
      </c>
      <c r="G474" s="88" t="b">
        <v>1</v>
      </c>
      <c r="H474" s="88" t="b">
        <v>0</v>
      </c>
      <c r="I474" s="88" t="b">
        <v>0</v>
      </c>
      <c r="J474" s="88" t="b">
        <v>0</v>
      </c>
      <c r="K474" s="88" t="b">
        <v>0</v>
      </c>
      <c r="L474" s="88" t="b">
        <v>0</v>
      </c>
    </row>
    <row r="475" spans="1:12" ht="15">
      <c r="A475" s="88" t="s">
        <v>2640</v>
      </c>
      <c r="B475" s="88" t="s">
        <v>2641</v>
      </c>
      <c r="C475" s="88">
        <v>2</v>
      </c>
      <c r="D475" s="120">
        <v>0.0010327998462288904</v>
      </c>
      <c r="E475" s="120">
        <v>3.2676409823459154</v>
      </c>
      <c r="F475" s="88" t="s">
        <v>2665</v>
      </c>
      <c r="G475" s="88" t="b">
        <v>0</v>
      </c>
      <c r="H475" s="88" t="b">
        <v>0</v>
      </c>
      <c r="I475" s="88" t="b">
        <v>0</v>
      </c>
      <c r="J475" s="88" t="b">
        <v>0</v>
      </c>
      <c r="K475" s="88" t="b">
        <v>0</v>
      </c>
      <c r="L475" s="88" t="b">
        <v>0</v>
      </c>
    </row>
    <row r="476" spans="1:12" ht="15">
      <c r="A476" s="88" t="s">
        <v>2641</v>
      </c>
      <c r="B476" s="88" t="s">
        <v>2642</v>
      </c>
      <c r="C476" s="88">
        <v>2</v>
      </c>
      <c r="D476" s="120">
        <v>0.0010327998462288904</v>
      </c>
      <c r="E476" s="120">
        <v>3.2676409823459154</v>
      </c>
      <c r="F476" s="88" t="s">
        <v>2665</v>
      </c>
      <c r="G476" s="88" t="b">
        <v>0</v>
      </c>
      <c r="H476" s="88" t="b">
        <v>0</v>
      </c>
      <c r="I476" s="88" t="b">
        <v>0</v>
      </c>
      <c r="J476" s="88" t="b">
        <v>0</v>
      </c>
      <c r="K476" s="88" t="b">
        <v>0</v>
      </c>
      <c r="L476" s="88" t="b">
        <v>0</v>
      </c>
    </row>
    <row r="477" spans="1:12" ht="15">
      <c r="A477" s="88" t="s">
        <v>2642</v>
      </c>
      <c r="B477" s="88" t="s">
        <v>2643</v>
      </c>
      <c r="C477" s="88">
        <v>2</v>
      </c>
      <c r="D477" s="120">
        <v>0.0010327998462288904</v>
      </c>
      <c r="E477" s="120">
        <v>3.2676409823459154</v>
      </c>
      <c r="F477" s="88" t="s">
        <v>2665</v>
      </c>
      <c r="G477" s="88" t="b">
        <v>0</v>
      </c>
      <c r="H477" s="88" t="b">
        <v>0</v>
      </c>
      <c r="I477" s="88" t="b">
        <v>0</v>
      </c>
      <c r="J477" s="88" t="b">
        <v>0</v>
      </c>
      <c r="K477" s="88" t="b">
        <v>0</v>
      </c>
      <c r="L477" s="88" t="b">
        <v>0</v>
      </c>
    </row>
    <row r="478" spans="1:12" ht="15">
      <c r="A478" s="88" t="s">
        <v>2643</v>
      </c>
      <c r="B478" s="88" t="s">
        <v>2644</v>
      </c>
      <c r="C478" s="88">
        <v>2</v>
      </c>
      <c r="D478" s="120">
        <v>0.0010327998462288904</v>
      </c>
      <c r="E478" s="120">
        <v>3.2676409823459154</v>
      </c>
      <c r="F478" s="88" t="s">
        <v>2665</v>
      </c>
      <c r="G478" s="88" t="b">
        <v>0</v>
      </c>
      <c r="H478" s="88" t="b">
        <v>0</v>
      </c>
      <c r="I478" s="88" t="b">
        <v>0</v>
      </c>
      <c r="J478" s="88" t="b">
        <v>0</v>
      </c>
      <c r="K478" s="88" t="b">
        <v>0</v>
      </c>
      <c r="L478" s="88" t="b">
        <v>0</v>
      </c>
    </row>
    <row r="479" spans="1:12" ht="15">
      <c r="A479" s="88" t="s">
        <v>2644</v>
      </c>
      <c r="B479" s="88" t="s">
        <v>2645</v>
      </c>
      <c r="C479" s="88">
        <v>2</v>
      </c>
      <c r="D479" s="120">
        <v>0.0010327998462288904</v>
      </c>
      <c r="E479" s="120">
        <v>3.2676409823459154</v>
      </c>
      <c r="F479" s="88" t="s">
        <v>2665</v>
      </c>
      <c r="G479" s="88" t="b">
        <v>0</v>
      </c>
      <c r="H479" s="88" t="b">
        <v>0</v>
      </c>
      <c r="I479" s="88" t="b">
        <v>0</v>
      </c>
      <c r="J479" s="88" t="b">
        <v>0</v>
      </c>
      <c r="K479" s="88" t="b">
        <v>0</v>
      </c>
      <c r="L479" s="88" t="b">
        <v>0</v>
      </c>
    </row>
    <row r="480" spans="1:12" ht="15">
      <c r="A480" s="88" t="s">
        <v>2645</v>
      </c>
      <c r="B480" s="88" t="s">
        <v>2646</v>
      </c>
      <c r="C480" s="88">
        <v>2</v>
      </c>
      <c r="D480" s="120">
        <v>0.0010327998462288904</v>
      </c>
      <c r="E480" s="120">
        <v>3.2676409823459154</v>
      </c>
      <c r="F480" s="88" t="s">
        <v>2665</v>
      </c>
      <c r="G480" s="88" t="b">
        <v>0</v>
      </c>
      <c r="H480" s="88" t="b">
        <v>0</v>
      </c>
      <c r="I480" s="88" t="b">
        <v>0</v>
      </c>
      <c r="J480" s="88" t="b">
        <v>0</v>
      </c>
      <c r="K480" s="88" t="b">
        <v>0</v>
      </c>
      <c r="L480" s="88" t="b">
        <v>0</v>
      </c>
    </row>
    <row r="481" spans="1:12" ht="15">
      <c r="A481" s="88" t="s">
        <v>2646</v>
      </c>
      <c r="B481" s="88" t="s">
        <v>2647</v>
      </c>
      <c r="C481" s="88">
        <v>2</v>
      </c>
      <c r="D481" s="120">
        <v>0.0010327998462288904</v>
      </c>
      <c r="E481" s="120">
        <v>3.2676409823459154</v>
      </c>
      <c r="F481" s="88" t="s">
        <v>2665</v>
      </c>
      <c r="G481" s="88" t="b">
        <v>0</v>
      </c>
      <c r="H481" s="88" t="b">
        <v>0</v>
      </c>
      <c r="I481" s="88" t="b">
        <v>0</v>
      </c>
      <c r="J481" s="88" t="b">
        <v>0</v>
      </c>
      <c r="K481" s="88" t="b">
        <v>0</v>
      </c>
      <c r="L481" s="88" t="b">
        <v>0</v>
      </c>
    </row>
    <row r="482" spans="1:12" ht="15">
      <c r="A482" s="88" t="s">
        <v>2647</v>
      </c>
      <c r="B482" s="88" t="s">
        <v>2293</v>
      </c>
      <c r="C482" s="88">
        <v>2</v>
      </c>
      <c r="D482" s="120">
        <v>0.0010327998462288904</v>
      </c>
      <c r="E482" s="120">
        <v>2.1215129466676776</v>
      </c>
      <c r="F482" s="88" t="s">
        <v>2665</v>
      </c>
      <c r="G482" s="88" t="b">
        <v>0</v>
      </c>
      <c r="H482" s="88" t="b">
        <v>0</v>
      </c>
      <c r="I482" s="88" t="b">
        <v>0</v>
      </c>
      <c r="J482" s="88" t="b">
        <v>0</v>
      </c>
      <c r="K482" s="88" t="b">
        <v>0</v>
      </c>
      <c r="L482" s="88" t="b">
        <v>0</v>
      </c>
    </row>
    <row r="483" spans="1:12" ht="15">
      <c r="A483" s="88" t="s">
        <v>2293</v>
      </c>
      <c r="B483" s="88" t="s">
        <v>521</v>
      </c>
      <c r="C483" s="88">
        <v>2</v>
      </c>
      <c r="D483" s="120">
        <v>0.0010327998462288904</v>
      </c>
      <c r="E483" s="120">
        <v>2.2464516832759776</v>
      </c>
      <c r="F483" s="88" t="s">
        <v>2665</v>
      </c>
      <c r="G483" s="88" t="b">
        <v>0</v>
      </c>
      <c r="H483" s="88" t="b">
        <v>0</v>
      </c>
      <c r="I483" s="88" t="b">
        <v>0</v>
      </c>
      <c r="J483" s="88" t="b">
        <v>0</v>
      </c>
      <c r="K483" s="88" t="b">
        <v>0</v>
      </c>
      <c r="L483" s="88" t="b">
        <v>0</v>
      </c>
    </row>
    <row r="484" spans="1:12" ht="15">
      <c r="A484" s="88" t="s">
        <v>521</v>
      </c>
      <c r="B484" s="88" t="s">
        <v>2271</v>
      </c>
      <c r="C484" s="88">
        <v>2</v>
      </c>
      <c r="D484" s="120">
        <v>0.0010327998462288904</v>
      </c>
      <c r="E484" s="120">
        <v>1.2164884598985342</v>
      </c>
      <c r="F484" s="88" t="s">
        <v>2665</v>
      </c>
      <c r="G484" s="88" t="b">
        <v>0</v>
      </c>
      <c r="H484" s="88" t="b">
        <v>0</v>
      </c>
      <c r="I484" s="88" t="b">
        <v>0</v>
      </c>
      <c r="J484" s="88" t="b">
        <v>0</v>
      </c>
      <c r="K484" s="88" t="b">
        <v>0</v>
      </c>
      <c r="L484" s="88" t="b">
        <v>0</v>
      </c>
    </row>
    <row r="485" spans="1:12" ht="15">
      <c r="A485" s="88" t="s">
        <v>2648</v>
      </c>
      <c r="B485" s="88" t="s">
        <v>2649</v>
      </c>
      <c r="C485" s="88">
        <v>2</v>
      </c>
      <c r="D485" s="120">
        <v>0.0010327998462288904</v>
      </c>
      <c r="E485" s="120">
        <v>3.2676409823459154</v>
      </c>
      <c r="F485" s="88" t="s">
        <v>2665</v>
      </c>
      <c r="G485" s="88" t="b">
        <v>0</v>
      </c>
      <c r="H485" s="88" t="b">
        <v>0</v>
      </c>
      <c r="I485" s="88" t="b">
        <v>0</v>
      </c>
      <c r="J485" s="88" t="b">
        <v>0</v>
      </c>
      <c r="K485" s="88" t="b">
        <v>0</v>
      </c>
      <c r="L485" s="88" t="b">
        <v>0</v>
      </c>
    </row>
    <row r="486" spans="1:12" ht="15">
      <c r="A486" s="88" t="s">
        <v>2649</v>
      </c>
      <c r="B486" s="88" t="s">
        <v>2343</v>
      </c>
      <c r="C486" s="88">
        <v>2</v>
      </c>
      <c r="D486" s="120">
        <v>0.0010327998462288904</v>
      </c>
      <c r="E486" s="120">
        <v>2.614428468570572</v>
      </c>
      <c r="F486" s="88" t="s">
        <v>2665</v>
      </c>
      <c r="G486" s="88" t="b">
        <v>0</v>
      </c>
      <c r="H486" s="88" t="b">
        <v>0</v>
      </c>
      <c r="I486" s="88" t="b">
        <v>0</v>
      </c>
      <c r="J486" s="88" t="b">
        <v>0</v>
      </c>
      <c r="K486" s="88" t="b">
        <v>0</v>
      </c>
      <c r="L486" s="88" t="b">
        <v>0</v>
      </c>
    </row>
    <row r="487" spans="1:12" ht="15">
      <c r="A487" s="88" t="s">
        <v>2343</v>
      </c>
      <c r="B487" s="88" t="s">
        <v>520</v>
      </c>
      <c r="C487" s="88">
        <v>2</v>
      </c>
      <c r="D487" s="120">
        <v>0.0010327998462288904</v>
      </c>
      <c r="E487" s="120">
        <v>2.614428468570572</v>
      </c>
      <c r="F487" s="88" t="s">
        <v>2665</v>
      </c>
      <c r="G487" s="88" t="b">
        <v>0</v>
      </c>
      <c r="H487" s="88" t="b">
        <v>0</v>
      </c>
      <c r="I487" s="88" t="b">
        <v>0</v>
      </c>
      <c r="J487" s="88" t="b">
        <v>0</v>
      </c>
      <c r="K487" s="88" t="b">
        <v>0</v>
      </c>
      <c r="L487" s="88" t="b">
        <v>0</v>
      </c>
    </row>
    <row r="488" spans="1:12" ht="15">
      <c r="A488" s="88" t="s">
        <v>520</v>
      </c>
      <c r="B488" s="88" t="s">
        <v>2650</v>
      </c>
      <c r="C488" s="88">
        <v>2</v>
      </c>
      <c r="D488" s="120">
        <v>0.0010327998462288904</v>
      </c>
      <c r="E488" s="120">
        <v>3.2676409823459154</v>
      </c>
      <c r="F488" s="88" t="s">
        <v>2665</v>
      </c>
      <c r="G488" s="88" t="b">
        <v>0</v>
      </c>
      <c r="H488" s="88" t="b">
        <v>0</v>
      </c>
      <c r="I488" s="88" t="b">
        <v>0</v>
      </c>
      <c r="J488" s="88" t="b">
        <v>0</v>
      </c>
      <c r="K488" s="88" t="b">
        <v>0</v>
      </c>
      <c r="L488" s="88" t="b">
        <v>0</v>
      </c>
    </row>
    <row r="489" spans="1:12" ht="15">
      <c r="A489" s="88" t="s">
        <v>2650</v>
      </c>
      <c r="B489" s="88" t="s">
        <v>519</v>
      </c>
      <c r="C489" s="88">
        <v>2</v>
      </c>
      <c r="D489" s="120">
        <v>0.0010327998462288904</v>
      </c>
      <c r="E489" s="120">
        <v>3.2676409823459154</v>
      </c>
      <c r="F489" s="88" t="s">
        <v>2665</v>
      </c>
      <c r="G489" s="88" t="b">
        <v>0</v>
      </c>
      <c r="H489" s="88" t="b">
        <v>0</v>
      </c>
      <c r="I489" s="88" t="b">
        <v>0</v>
      </c>
      <c r="J489" s="88" t="b">
        <v>0</v>
      </c>
      <c r="K489" s="88" t="b">
        <v>0</v>
      </c>
      <c r="L489" s="88" t="b">
        <v>0</v>
      </c>
    </row>
    <row r="490" spans="1:12" ht="15">
      <c r="A490" s="88" t="s">
        <v>519</v>
      </c>
      <c r="B490" s="88" t="s">
        <v>2651</v>
      </c>
      <c r="C490" s="88">
        <v>2</v>
      </c>
      <c r="D490" s="120">
        <v>0.0010327998462288904</v>
      </c>
      <c r="E490" s="120">
        <v>3.2676409823459154</v>
      </c>
      <c r="F490" s="88" t="s">
        <v>2665</v>
      </c>
      <c r="G490" s="88" t="b">
        <v>0</v>
      </c>
      <c r="H490" s="88" t="b">
        <v>0</v>
      </c>
      <c r="I490" s="88" t="b">
        <v>0</v>
      </c>
      <c r="J490" s="88" t="b">
        <v>0</v>
      </c>
      <c r="K490" s="88" t="b">
        <v>0</v>
      </c>
      <c r="L490" s="88" t="b">
        <v>0</v>
      </c>
    </row>
    <row r="491" spans="1:12" ht="15">
      <c r="A491" s="88" t="s">
        <v>2651</v>
      </c>
      <c r="B491" s="88" t="s">
        <v>699</v>
      </c>
      <c r="C491" s="88">
        <v>2</v>
      </c>
      <c r="D491" s="120">
        <v>0.0010327998462288904</v>
      </c>
      <c r="E491" s="120">
        <v>1.493124016617366</v>
      </c>
      <c r="F491" s="88" t="s">
        <v>2665</v>
      </c>
      <c r="G491" s="88" t="b">
        <v>0</v>
      </c>
      <c r="H491" s="88" t="b">
        <v>0</v>
      </c>
      <c r="I491" s="88" t="b">
        <v>0</v>
      </c>
      <c r="J491" s="88" t="b">
        <v>0</v>
      </c>
      <c r="K491" s="88" t="b">
        <v>0</v>
      </c>
      <c r="L491" s="88" t="b">
        <v>0</v>
      </c>
    </row>
    <row r="492" spans="1:12" ht="15">
      <c r="A492" s="88" t="s">
        <v>699</v>
      </c>
      <c r="B492" s="88" t="s">
        <v>2652</v>
      </c>
      <c r="C492" s="88">
        <v>2</v>
      </c>
      <c r="D492" s="120">
        <v>0.0010327998462288904</v>
      </c>
      <c r="E492" s="120">
        <v>1.4787658665704988</v>
      </c>
      <c r="F492" s="88" t="s">
        <v>2665</v>
      </c>
      <c r="G492" s="88" t="b">
        <v>0</v>
      </c>
      <c r="H492" s="88" t="b">
        <v>0</v>
      </c>
      <c r="I492" s="88" t="b">
        <v>0</v>
      </c>
      <c r="J492" s="88" t="b">
        <v>0</v>
      </c>
      <c r="K492" s="88" t="b">
        <v>0</v>
      </c>
      <c r="L492" s="88" t="b">
        <v>0</v>
      </c>
    </row>
    <row r="493" spans="1:12" ht="15">
      <c r="A493" s="88" t="s">
        <v>2652</v>
      </c>
      <c r="B493" s="88" t="s">
        <v>2653</v>
      </c>
      <c r="C493" s="88">
        <v>2</v>
      </c>
      <c r="D493" s="120">
        <v>0.0010327998462288904</v>
      </c>
      <c r="E493" s="120">
        <v>3.2676409823459154</v>
      </c>
      <c r="F493" s="88" t="s">
        <v>2665</v>
      </c>
      <c r="G493" s="88" t="b">
        <v>0</v>
      </c>
      <c r="H493" s="88" t="b">
        <v>0</v>
      </c>
      <c r="I493" s="88" t="b">
        <v>0</v>
      </c>
      <c r="J493" s="88" t="b">
        <v>0</v>
      </c>
      <c r="K493" s="88" t="b">
        <v>0</v>
      </c>
      <c r="L493" s="88" t="b">
        <v>0</v>
      </c>
    </row>
    <row r="494" spans="1:12" ht="15">
      <c r="A494" s="88" t="s">
        <v>2653</v>
      </c>
      <c r="B494" s="88" t="s">
        <v>2654</v>
      </c>
      <c r="C494" s="88">
        <v>2</v>
      </c>
      <c r="D494" s="120">
        <v>0.0010327998462288904</v>
      </c>
      <c r="E494" s="120">
        <v>3.2676409823459154</v>
      </c>
      <c r="F494" s="88" t="s">
        <v>2665</v>
      </c>
      <c r="G494" s="88" t="b">
        <v>0</v>
      </c>
      <c r="H494" s="88" t="b">
        <v>0</v>
      </c>
      <c r="I494" s="88" t="b">
        <v>0</v>
      </c>
      <c r="J494" s="88" t="b">
        <v>0</v>
      </c>
      <c r="K494" s="88" t="b">
        <v>1</v>
      </c>
      <c r="L494" s="88" t="b">
        <v>0</v>
      </c>
    </row>
    <row r="495" spans="1:12" ht="15">
      <c r="A495" s="88" t="s">
        <v>2654</v>
      </c>
      <c r="B495" s="88" t="s">
        <v>2655</v>
      </c>
      <c r="C495" s="88">
        <v>2</v>
      </c>
      <c r="D495" s="120">
        <v>0.0010327998462288904</v>
      </c>
      <c r="E495" s="120">
        <v>3.2676409823459154</v>
      </c>
      <c r="F495" s="88" t="s">
        <v>2665</v>
      </c>
      <c r="G495" s="88" t="b">
        <v>0</v>
      </c>
      <c r="H495" s="88" t="b">
        <v>1</v>
      </c>
      <c r="I495" s="88" t="b">
        <v>0</v>
      </c>
      <c r="J495" s="88" t="b">
        <v>0</v>
      </c>
      <c r="K495" s="88" t="b">
        <v>0</v>
      </c>
      <c r="L495" s="88" t="b">
        <v>0</v>
      </c>
    </row>
    <row r="496" spans="1:12" ht="15">
      <c r="A496" s="88" t="s">
        <v>2655</v>
      </c>
      <c r="B496" s="88" t="s">
        <v>2656</v>
      </c>
      <c r="C496" s="88">
        <v>2</v>
      </c>
      <c r="D496" s="120">
        <v>0.0010327998462288904</v>
      </c>
      <c r="E496" s="120">
        <v>3.2676409823459154</v>
      </c>
      <c r="F496" s="88" t="s">
        <v>2665</v>
      </c>
      <c r="G496" s="88" t="b">
        <v>0</v>
      </c>
      <c r="H496" s="88" t="b">
        <v>0</v>
      </c>
      <c r="I496" s="88" t="b">
        <v>0</v>
      </c>
      <c r="J496" s="88" t="b">
        <v>0</v>
      </c>
      <c r="K496" s="88" t="b">
        <v>0</v>
      </c>
      <c r="L496" s="88" t="b">
        <v>0</v>
      </c>
    </row>
    <row r="497" spans="1:12" ht="15">
      <c r="A497" s="88" t="s">
        <v>2656</v>
      </c>
      <c r="B497" s="88" t="s">
        <v>2657</v>
      </c>
      <c r="C497" s="88">
        <v>2</v>
      </c>
      <c r="D497" s="120">
        <v>0.0010327998462288904</v>
      </c>
      <c r="E497" s="120">
        <v>3.2676409823459154</v>
      </c>
      <c r="F497" s="88" t="s">
        <v>2665</v>
      </c>
      <c r="G497" s="88" t="b">
        <v>0</v>
      </c>
      <c r="H497" s="88" t="b">
        <v>0</v>
      </c>
      <c r="I497" s="88" t="b">
        <v>0</v>
      </c>
      <c r="J497" s="88" t="b">
        <v>0</v>
      </c>
      <c r="K497" s="88" t="b">
        <v>0</v>
      </c>
      <c r="L497" s="88" t="b">
        <v>0</v>
      </c>
    </row>
    <row r="498" spans="1:12" ht="15">
      <c r="A498" s="88" t="s">
        <v>2657</v>
      </c>
      <c r="B498" s="88" t="s">
        <v>2293</v>
      </c>
      <c r="C498" s="88">
        <v>2</v>
      </c>
      <c r="D498" s="120">
        <v>0.0010327998462288904</v>
      </c>
      <c r="E498" s="120">
        <v>2.1215129466676776</v>
      </c>
      <c r="F498" s="88" t="s">
        <v>2665</v>
      </c>
      <c r="G498" s="88" t="b">
        <v>0</v>
      </c>
      <c r="H498" s="88" t="b">
        <v>0</v>
      </c>
      <c r="I498" s="88" t="b">
        <v>0</v>
      </c>
      <c r="J498" s="88" t="b">
        <v>0</v>
      </c>
      <c r="K498" s="88" t="b">
        <v>0</v>
      </c>
      <c r="L498" s="88" t="b">
        <v>0</v>
      </c>
    </row>
    <row r="499" spans="1:12" ht="15">
      <c r="A499" s="88" t="s">
        <v>2293</v>
      </c>
      <c r="B499" s="88" t="s">
        <v>2271</v>
      </c>
      <c r="C499" s="88">
        <v>2</v>
      </c>
      <c r="D499" s="120">
        <v>0.0010327998462288904</v>
      </c>
      <c r="E499" s="120">
        <v>0.19529916082859622</v>
      </c>
      <c r="F499" s="88" t="s">
        <v>2665</v>
      </c>
      <c r="G499" s="88" t="b">
        <v>0</v>
      </c>
      <c r="H499" s="88" t="b">
        <v>0</v>
      </c>
      <c r="I499" s="88" t="b">
        <v>0</v>
      </c>
      <c r="J499" s="88" t="b">
        <v>0</v>
      </c>
      <c r="K499" s="88" t="b">
        <v>0</v>
      </c>
      <c r="L499" s="88" t="b">
        <v>0</v>
      </c>
    </row>
    <row r="500" spans="1:12" ht="15">
      <c r="A500" s="88" t="s">
        <v>2274</v>
      </c>
      <c r="B500" s="88" t="s">
        <v>2273</v>
      </c>
      <c r="C500" s="88">
        <v>60</v>
      </c>
      <c r="D500" s="120">
        <v>0.002120710486777569</v>
      </c>
      <c r="E500" s="120">
        <v>1.0868264377375259</v>
      </c>
      <c r="F500" s="88" t="s">
        <v>2227</v>
      </c>
      <c r="G500" s="88" t="b">
        <v>0</v>
      </c>
      <c r="H500" s="88" t="b">
        <v>0</v>
      </c>
      <c r="I500" s="88" t="b">
        <v>0</v>
      </c>
      <c r="J500" s="88" t="b">
        <v>0</v>
      </c>
      <c r="K500" s="88" t="b">
        <v>0</v>
      </c>
      <c r="L500" s="88" t="b">
        <v>0</v>
      </c>
    </row>
    <row r="501" spans="1:12" ht="15">
      <c r="A501" s="88" t="s">
        <v>2273</v>
      </c>
      <c r="B501" s="88" t="s">
        <v>2271</v>
      </c>
      <c r="C501" s="88">
        <v>60</v>
      </c>
      <c r="D501" s="120">
        <v>0.002120710486777569</v>
      </c>
      <c r="E501" s="120">
        <v>1.0656371386675878</v>
      </c>
      <c r="F501" s="88" t="s">
        <v>2227</v>
      </c>
      <c r="G501" s="88" t="b">
        <v>0</v>
      </c>
      <c r="H501" s="88" t="b">
        <v>0</v>
      </c>
      <c r="I501" s="88" t="b">
        <v>0</v>
      </c>
      <c r="J501" s="88" t="b">
        <v>0</v>
      </c>
      <c r="K501" s="88" t="b">
        <v>0</v>
      </c>
      <c r="L501" s="88" t="b">
        <v>0</v>
      </c>
    </row>
    <row r="502" spans="1:12" ht="15">
      <c r="A502" s="88" t="s">
        <v>2292</v>
      </c>
      <c r="B502" s="88" t="s">
        <v>2325</v>
      </c>
      <c r="C502" s="88">
        <v>17</v>
      </c>
      <c r="D502" s="120">
        <v>0.009663895803221094</v>
      </c>
      <c r="E502" s="120">
        <v>1.4249982414060736</v>
      </c>
      <c r="F502" s="88" t="s">
        <v>2227</v>
      </c>
      <c r="G502" s="88" t="b">
        <v>0</v>
      </c>
      <c r="H502" s="88" t="b">
        <v>0</v>
      </c>
      <c r="I502" s="88" t="b">
        <v>0</v>
      </c>
      <c r="J502" s="88" t="b">
        <v>0</v>
      </c>
      <c r="K502" s="88" t="b">
        <v>0</v>
      </c>
      <c r="L502" s="88" t="b">
        <v>0</v>
      </c>
    </row>
    <row r="503" spans="1:12" ht="15">
      <c r="A503" s="88" t="s">
        <v>564</v>
      </c>
      <c r="B503" s="88" t="s">
        <v>2327</v>
      </c>
      <c r="C503" s="88">
        <v>16</v>
      </c>
      <c r="D503" s="120">
        <v>0.009626658354999495</v>
      </c>
      <c r="E503" s="120">
        <v>1.6680362900923682</v>
      </c>
      <c r="F503" s="88" t="s">
        <v>2227</v>
      </c>
      <c r="G503" s="88" t="b">
        <v>0</v>
      </c>
      <c r="H503" s="88" t="b">
        <v>0</v>
      </c>
      <c r="I503" s="88" t="b">
        <v>0</v>
      </c>
      <c r="J503" s="88" t="b">
        <v>0</v>
      </c>
      <c r="K503" s="88" t="b">
        <v>0</v>
      </c>
      <c r="L503" s="88" t="b">
        <v>0</v>
      </c>
    </row>
    <row r="504" spans="1:12" ht="15">
      <c r="A504" s="88" t="s">
        <v>2327</v>
      </c>
      <c r="B504" s="88" t="s">
        <v>2328</v>
      </c>
      <c r="C504" s="88">
        <v>16</v>
      </c>
      <c r="D504" s="120">
        <v>0.009626658354999495</v>
      </c>
      <c r="E504" s="120">
        <v>1.6680362900923682</v>
      </c>
      <c r="F504" s="88" t="s">
        <v>2227</v>
      </c>
      <c r="G504" s="88" t="b">
        <v>0</v>
      </c>
      <c r="H504" s="88" t="b">
        <v>0</v>
      </c>
      <c r="I504" s="88" t="b">
        <v>0</v>
      </c>
      <c r="J504" s="88" t="b">
        <v>0</v>
      </c>
      <c r="K504" s="88" t="b">
        <v>0</v>
      </c>
      <c r="L504" s="88" t="b">
        <v>0</v>
      </c>
    </row>
    <row r="505" spans="1:12" ht="15">
      <c r="A505" s="88" t="s">
        <v>2328</v>
      </c>
      <c r="B505" s="88" t="s">
        <v>2292</v>
      </c>
      <c r="C505" s="88">
        <v>16</v>
      </c>
      <c r="D505" s="120">
        <v>0.009626658354999495</v>
      </c>
      <c r="E505" s="120">
        <v>1.4097582748493367</v>
      </c>
      <c r="F505" s="88" t="s">
        <v>2227</v>
      </c>
      <c r="G505" s="88" t="b">
        <v>0</v>
      </c>
      <c r="H505" s="88" t="b">
        <v>0</v>
      </c>
      <c r="I505" s="88" t="b">
        <v>0</v>
      </c>
      <c r="J505" s="88" t="b">
        <v>0</v>
      </c>
      <c r="K505" s="88" t="b">
        <v>0</v>
      </c>
      <c r="L505" s="88" t="b">
        <v>0</v>
      </c>
    </row>
    <row r="506" spans="1:12" ht="15">
      <c r="A506" s="88" t="s">
        <v>2325</v>
      </c>
      <c r="B506" s="88" t="s">
        <v>2329</v>
      </c>
      <c r="C506" s="88">
        <v>16</v>
      </c>
      <c r="D506" s="120">
        <v>0.009626658354999495</v>
      </c>
      <c r="E506" s="120">
        <v>1.6417073513700189</v>
      </c>
      <c r="F506" s="88" t="s">
        <v>2227</v>
      </c>
      <c r="G506" s="88" t="b">
        <v>0</v>
      </c>
      <c r="H506" s="88" t="b">
        <v>0</v>
      </c>
      <c r="I506" s="88" t="b">
        <v>0</v>
      </c>
      <c r="J506" s="88" t="b">
        <v>0</v>
      </c>
      <c r="K506" s="88" t="b">
        <v>0</v>
      </c>
      <c r="L506" s="88" t="b">
        <v>0</v>
      </c>
    </row>
    <row r="507" spans="1:12" ht="15">
      <c r="A507" s="88" t="s">
        <v>2329</v>
      </c>
      <c r="B507" s="88" t="s">
        <v>2324</v>
      </c>
      <c r="C507" s="88">
        <v>16</v>
      </c>
      <c r="D507" s="120">
        <v>0.009626658354999495</v>
      </c>
      <c r="E507" s="120">
        <v>1.6417073513700189</v>
      </c>
      <c r="F507" s="88" t="s">
        <v>2227</v>
      </c>
      <c r="G507" s="88" t="b">
        <v>0</v>
      </c>
      <c r="H507" s="88" t="b">
        <v>0</v>
      </c>
      <c r="I507" s="88" t="b">
        <v>0</v>
      </c>
      <c r="J507" s="88" t="b">
        <v>0</v>
      </c>
      <c r="K507" s="88" t="b">
        <v>0</v>
      </c>
      <c r="L507" s="88" t="b">
        <v>0</v>
      </c>
    </row>
    <row r="508" spans="1:12" ht="15">
      <c r="A508" s="88" t="s">
        <v>2324</v>
      </c>
      <c r="B508" s="88" t="s">
        <v>2295</v>
      </c>
      <c r="C508" s="88">
        <v>16</v>
      </c>
      <c r="D508" s="120">
        <v>0.009626658354999495</v>
      </c>
      <c r="E508" s="120">
        <v>1.4144635698669563</v>
      </c>
      <c r="F508" s="88" t="s">
        <v>2227</v>
      </c>
      <c r="G508" s="88" t="b">
        <v>0</v>
      </c>
      <c r="H508" s="88" t="b">
        <v>0</v>
      </c>
      <c r="I508" s="88" t="b">
        <v>0</v>
      </c>
      <c r="J508" s="88" t="b">
        <v>0</v>
      </c>
      <c r="K508" s="88" t="b">
        <v>0</v>
      </c>
      <c r="L508" s="88" t="b">
        <v>0</v>
      </c>
    </row>
    <row r="509" spans="1:12" ht="15">
      <c r="A509" s="88" t="s">
        <v>2295</v>
      </c>
      <c r="B509" s="88" t="s">
        <v>2330</v>
      </c>
      <c r="C509" s="88">
        <v>16</v>
      </c>
      <c r="D509" s="120">
        <v>0.009626658354999495</v>
      </c>
      <c r="E509" s="120">
        <v>1.4407925085893056</v>
      </c>
      <c r="F509" s="88" t="s">
        <v>2227</v>
      </c>
      <c r="G509" s="88" t="b">
        <v>0</v>
      </c>
      <c r="H509" s="88" t="b">
        <v>0</v>
      </c>
      <c r="I509" s="88" t="b">
        <v>0</v>
      </c>
      <c r="J509" s="88" t="b">
        <v>0</v>
      </c>
      <c r="K509" s="88" t="b">
        <v>0</v>
      </c>
      <c r="L509" s="88" t="b">
        <v>0</v>
      </c>
    </row>
    <row r="510" spans="1:12" ht="15">
      <c r="A510" s="88" t="s">
        <v>2271</v>
      </c>
      <c r="B510" s="88" t="s">
        <v>473</v>
      </c>
      <c r="C510" s="88">
        <v>15</v>
      </c>
      <c r="D510" s="120">
        <v>0.012103062147869397</v>
      </c>
      <c r="E510" s="120">
        <v>1.072815723294711</v>
      </c>
      <c r="F510" s="88" t="s">
        <v>2227</v>
      </c>
      <c r="G510" s="88" t="b">
        <v>0</v>
      </c>
      <c r="H510" s="88" t="b">
        <v>0</v>
      </c>
      <c r="I510" s="88" t="b">
        <v>0</v>
      </c>
      <c r="J510" s="88" t="b">
        <v>0</v>
      </c>
      <c r="K510" s="88" t="b">
        <v>0</v>
      </c>
      <c r="L510" s="88" t="b">
        <v>0</v>
      </c>
    </row>
    <row r="511" spans="1:12" ht="15">
      <c r="A511" s="88" t="s">
        <v>473</v>
      </c>
      <c r="B511" s="88" t="s">
        <v>2274</v>
      </c>
      <c r="C511" s="88">
        <v>15</v>
      </c>
      <c r="D511" s="120">
        <v>0.012103062147869397</v>
      </c>
      <c r="E511" s="120">
        <v>1.6960650136926116</v>
      </c>
      <c r="F511" s="88" t="s">
        <v>2227</v>
      </c>
      <c r="G511" s="88" t="b">
        <v>0</v>
      </c>
      <c r="H511" s="88" t="b">
        <v>0</v>
      </c>
      <c r="I511" s="88" t="b">
        <v>0</v>
      </c>
      <c r="J511" s="88" t="b">
        <v>0</v>
      </c>
      <c r="K511" s="88" t="b">
        <v>0</v>
      </c>
      <c r="L511" s="88" t="b">
        <v>0</v>
      </c>
    </row>
    <row r="512" spans="1:12" ht="15">
      <c r="A512" s="88" t="s">
        <v>2330</v>
      </c>
      <c r="B512" s="88" t="s">
        <v>2335</v>
      </c>
      <c r="C512" s="88">
        <v>12</v>
      </c>
      <c r="D512" s="120">
        <v>0.009110617775454664</v>
      </c>
      <c r="E512" s="120">
        <v>1.6680362900923682</v>
      </c>
      <c r="F512" s="88" t="s">
        <v>2227</v>
      </c>
      <c r="G512" s="88" t="b">
        <v>0</v>
      </c>
      <c r="H512" s="88" t="b">
        <v>0</v>
      </c>
      <c r="I512" s="88" t="b">
        <v>0</v>
      </c>
      <c r="J512" s="88" t="b">
        <v>0</v>
      </c>
      <c r="K512" s="88" t="b">
        <v>0</v>
      </c>
      <c r="L512" s="88" t="b">
        <v>0</v>
      </c>
    </row>
    <row r="513" spans="1:12" ht="15">
      <c r="A513" s="88" t="s">
        <v>2335</v>
      </c>
      <c r="B513" s="88" t="s">
        <v>2341</v>
      </c>
      <c r="C513" s="88">
        <v>10</v>
      </c>
      <c r="D513" s="120">
        <v>0.008590683951772852</v>
      </c>
      <c r="E513" s="120">
        <v>1.8721562727482928</v>
      </c>
      <c r="F513" s="88" t="s">
        <v>2227</v>
      </c>
      <c r="G513" s="88" t="b">
        <v>0</v>
      </c>
      <c r="H513" s="88" t="b">
        <v>0</v>
      </c>
      <c r="I513" s="88" t="b">
        <v>0</v>
      </c>
      <c r="J513" s="88" t="b">
        <v>0</v>
      </c>
      <c r="K513" s="88" t="b">
        <v>0</v>
      </c>
      <c r="L513" s="88" t="b">
        <v>0</v>
      </c>
    </row>
    <row r="514" spans="1:12" ht="15">
      <c r="A514" s="88" t="s">
        <v>2341</v>
      </c>
      <c r="B514" s="88" t="s">
        <v>2344</v>
      </c>
      <c r="C514" s="88">
        <v>9</v>
      </c>
      <c r="D514" s="120">
        <v>0.00825093133849478</v>
      </c>
      <c r="E514" s="120">
        <v>1.8721562727482928</v>
      </c>
      <c r="F514" s="88" t="s">
        <v>2227</v>
      </c>
      <c r="G514" s="88" t="b">
        <v>0</v>
      </c>
      <c r="H514" s="88" t="b">
        <v>0</v>
      </c>
      <c r="I514" s="88" t="b">
        <v>0</v>
      </c>
      <c r="J514" s="88" t="b">
        <v>0</v>
      </c>
      <c r="K514" s="88" t="b">
        <v>0</v>
      </c>
      <c r="L514" s="88" t="b">
        <v>0</v>
      </c>
    </row>
    <row r="515" spans="1:12" ht="15">
      <c r="A515" s="88" t="s">
        <v>2344</v>
      </c>
      <c r="B515" s="88" t="s">
        <v>2345</v>
      </c>
      <c r="C515" s="88">
        <v>9</v>
      </c>
      <c r="D515" s="120">
        <v>0.00825093133849478</v>
      </c>
      <c r="E515" s="120">
        <v>1.917913763308968</v>
      </c>
      <c r="F515" s="88" t="s">
        <v>2227</v>
      </c>
      <c r="G515" s="88" t="b">
        <v>0</v>
      </c>
      <c r="H515" s="88" t="b">
        <v>0</v>
      </c>
      <c r="I515" s="88" t="b">
        <v>0</v>
      </c>
      <c r="J515" s="88" t="b">
        <v>0</v>
      </c>
      <c r="K515" s="88" t="b">
        <v>0</v>
      </c>
      <c r="L515" s="88" t="b">
        <v>0</v>
      </c>
    </row>
    <row r="516" spans="1:12" ht="15">
      <c r="A516" s="88" t="s">
        <v>2345</v>
      </c>
      <c r="B516" s="88" t="s">
        <v>2298</v>
      </c>
      <c r="C516" s="88">
        <v>9</v>
      </c>
      <c r="D516" s="120">
        <v>0.00825093133849478</v>
      </c>
      <c r="E516" s="120">
        <v>1.4919450310366869</v>
      </c>
      <c r="F516" s="88" t="s">
        <v>2227</v>
      </c>
      <c r="G516" s="88" t="b">
        <v>0</v>
      </c>
      <c r="H516" s="88" t="b">
        <v>0</v>
      </c>
      <c r="I516" s="88" t="b">
        <v>0</v>
      </c>
      <c r="J516" s="88" t="b">
        <v>0</v>
      </c>
      <c r="K516" s="88" t="b">
        <v>0</v>
      </c>
      <c r="L516" s="88" t="b">
        <v>0</v>
      </c>
    </row>
    <row r="517" spans="1:12" ht="15">
      <c r="A517" s="88" t="s">
        <v>2298</v>
      </c>
      <c r="B517" s="88" t="s">
        <v>2346</v>
      </c>
      <c r="C517" s="88">
        <v>9</v>
      </c>
      <c r="D517" s="120">
        <v>0.00825093133849478</v>
      </c>
      <c r="E517" s="120">
        <v>1.5297335919260866</v>
      </c>
      <c r="F517" s="88" t="s">
        <v>2227</v>
      </c>
      <c r="G517" s="88" t="b">
        <v>0</v>
      </c>
      <c r="H517" s="88" t="b">
        <v>0</v>
      </c>
      <c r="I517" s="88" t="b">
        <v>0</v>
      </c>
      <c r="J517" s="88" t="b">
        <v>0</v>
      </c>
      <c r="K517" s="88" t="b">
        <v>0</v>
      </c>
      <c r="L517" s="88" t="b">
        <v>0</v>
      </c>
    </row>
    <row r="518" spans="1:12" ht="15">
      <c r="A518" s="88" t="s">
        <v>569</v>
      </c>
      <c r="B518" s="88" t="s">
        <v>2337</v>
      </c>
      <c r="C518" s="88">
        <v>8</v>
      </c>
      <c r="D518" s="120">
        <v>0.007850201769317968</v>
      </c>
      <c r="E518" s="120">
        <v>1.917913763308968</v>
      </c>
      <c r="F518" s="88" t="s">
        <v>2227</v>
      </c>
      <c r="G518" s="88" t="b">
        <v>0</v>
      </c>
      <c r="H518" s="88" t="b">
        <v>0</v>
      </c>
      <c r="I518" s="88" t="b">
        <v>0</v>
      </c>
      <c r="J518" s="88" t="b">
        <v>0</v>
      </c>
      <c r="K518" s="88" t="b">
        <v>0</v>
      </c>
      <c r="L518" s="88" t="b">
        <v>0</v>
      </c>
    </row>
    <row r="519" spans="1:12" ht="15">
      <c r="A519" s="88" t="s">
        <v>2337</v>
      </c>
      <c r="B519" s="88" t="s">
        <v>475</v>
      </c>
      <c r="C519" s="88">
        <v>8</v>
      </c>
      <c r="D519" s="120">
        <v>0.007850201769317968</v>
      </c>
      <c r="E519" s="120">
        <v>1.8307635875900679</v>
      </c>
      <c r="F519" s="88" t="s">
        <v>2227</v>
      </c>
      <c r="G519" s="88" t="b">
        <v>0</v>
      </c>
      <c r="H519" s="88" t="b">
        <v>0</v>
      </c>
      <c r="I519" s="88" t="b">
        <v>0</v>
      </c>
      <c r="J519" s="88" t="b">
        <v>0</v>
      </c>
      <c r="K519" s="88" t="b">
        <v>0</v>
      </c>
      <c r="L519" s="88" t="b">
        <v>0</v>
      </c>
    </row>
    <row r="520" spans="1:12" ht="15">
      <c r="A520" s="88" t="s">
        <v>475</v>
      </c>
      <c r="B520" s="88" t="s">
        <v>2373</v>
      </c>
      <c r="C520" s="88">
        <v>8</v>
      </c>
      <c r="D520" s="120">
        <v>0.007850201769317968</v>
      </c>
      <c r="E520" s="120">
        <v>1.9690662857563492</v>
      </c>
      <c r="F520" s="88" t="s">
        <v>2227</v>
      </c>
      <c r="G520" s="88" t="b">
        <v>0</v>
      </c>
      <c r="H520" s="88" t="b">
        <v>0</v>
      </c>
      <c r="I520" s="88" t="b">
        <v>0</v>
      </c>
      <c r="J520" s="88" t="b">
        <v>0</v>
      </c>
      <c r="K520" s="88" t="b">
        <v>0</v>
      </c>
      <c r="L520" s="88" t="b">
        <v>0</v>
      </c>
    </row>
    <row r="521" spans="1:12" ht="15">
      <c r="A521" s="88" t="s">
        <v>2373</v>
      </c>
      <c r="B521" s="88" t="s">
        <v>568</v>
      </c>
      <c r="C521" s="88">
        <v>8</v>
      </c>
      <c r="D521" s="120">
        <v>0.007850201769317968</v>
      </c>
      <c r="E521" s="120">
        <v>1.917913763308968</v>
      </c>
      <c r="F521" s="88" t="s">
        <v>2227</v>
      </c>
      <c r="G521" s="88" t="b">
        <v>0</v>
      </c>
      <c r="H521" s="88" t="b">
        <v>0</v>
      </c>
      <c r="I521" s="88" t="b">
        <v>0</v>
      </c>
      <c r="J521" s="88" t="b">
        <v>0</v>
      </c>
      <c r="K521" s="88" t="b">
        <v>0</v>
      </c>
      <c r="L521" s="88" t="b">
        <v>0</v>
      </c>
    </row>
    <row r="522" spans="1:12" ht="15">
      <c r="A522" s="88" t="s">
        <v>568</v>
      </c>
      <c r="B522" s="88" t="s">
        <v>2374</v>
      </c>
      <c r="C522" s="88">
        <v>8</v>
      </c>
      <c r="D522" s="120">
        <v>0.007850201769317968</v>
      </c>
      <c r="E522" s="120">
        <v>1.917913763308968</v>
      </c>
      <c r="F522" s="88" t="s">
        <v>2227</v>
      </c>
      <c r="G522" s="88" t="b">
        <v>0</v>
      </c>
      <c r="H522" s="88" t="b">
        <v>0</v>
      </c>
      <c r="I522" s="88" t="b">
        <v>0</v>
      </c>
      <c r="J522" s="88" t="b">
        <v>0</v>
      </c>
      <c r="K522" s="88" t="b">
        <v>0</v>
      </c>
      <c r="L522" s="88" t="b">
        <v>0</v>
      </c>
    </row>
    <row r="523" spans="1:12" ht="15">
      <c r="A523" s="88" t="s">
        <v>2374</v>
      </c>
      <c r="B523" s="88" t="s">
        <v>567</v>
      </c>
      <c r="C523" s="88">
        <v>8</v>
      </c>
      <c r="D523" s="120">
        <v>0.007850201769317968</v>
      </c>
      <c r="E523" s="120">
        <v>1.8307635875900679</v>
      </c>
      <c r="F523" s="88" t="s">
        <v>2227</v>
      </c>
      <c r="G523" s="88" t="b">
        <v>0</v>
      </c>
      <c r="H523" s="88" t="b">
        <v>0</v>
      </c>
      <c r="I523" s="88" t="b">
        <v>0</v>
      </c>
      <c r="J523" s="88" t="b">
        <v>0</v>
      </c>
      <c r="K523" s="88" t="b">
        <v>0</v>
      </c>
      <c r="L523" s="88" t="b">
        <v>0</v>
      </c>
    </row>
    <row r="524" spans="1:12" ht="15">
      <c r="A524" s="88" t="s">
        <v>567</v>
      </c>
      <c r="B524" s="88" t="s">
        <v>2375</v>
      </c>
      <c r="C524" s="88">
        <v>8</v>
      </c>
      <c r="D524" s="120">
        <v>0.007850201769317968</v>
      </c>
      <c r="E524" s="120">
        <v>1.8307635875900679</v>
      </c>
      <c r="F524" s="88" t="s">
        <v>2227</v>
      </c>
      <c r="G524" s="88" t="b">
        <v>0</v>
      </c>
      <c r="H524" s="88" t="b">
        <v>0</v>
      </c>
      <c r="I524" s="88" t="b">
        <v>0</v>
      </c>
      <c r="J524" s="88" t="b">
        <v>0</v>
      </c>
      <c r="K524" s="88" t="b">
        <v>0</v>
      </c>
      <c r="L524" s="88" t="b">
        <v>0</v>
      </c>
    </row>
    <row r="525" spans="1:12" ht="15">
      <c r="A525" s="88" t="s">
        <v>2375</v>
      </c>
      <c r="B525" s="88" t="s">
        <v>2376</v>
      </c>
      <c r="C525" s="88">
        <v>8</v>
      </c>
      <c r="D525" s="120">
        <v>0.007850201769317968</v>
      </c>
      <c r="E525" s="120">
        <v>1.9690662857563492</v>
      </c>
      <c r="F525" s="88" t="s">
        <v>2227</v>
      </c>
      <c r="G525" s="88" t="b">
        <v>0</v>
      </c>
      <c r="H525" s="88" t="b">
        <v>0</v>
      </c>
      <c r="I525" s="88" t="b">
        <v>0</v>
      </c>
      <c r="J525" s="88" t="b">
        <v>0</v>
      </c>
      <c r="K525" s="88" t="b">
        <v>0</v>
      </c>
      <c r="L525" s="88" t="b">
        <v>0</v>
      </c>
    </row>
    <row r="526" spans="1:12" ht="15">
      <c r="A526" s="88" t="s">
        <v>2376</v>
      </c>
      <c r="B526" s="88" t="s">
        <v>2295</v>
      </c>
      <c r="C526" s="88">
        <v>8</v>
      </c>
      <c r="D526" s="120">
        <v>0.007850201769317968</v>
      </c>
      <c r="E526" s="120">
        <v>1.4407925085893056</v>
      </c>
      <c r="F526" s="88" t="s">
        <v>2227</v>
      </c>
      <c r="G526" s="88" t="b">
        <v>0</v>
      </c>
      <c r="H526" s="88" t="b">
        <v>0</v>
      </c>
      <c r="I526" s="88" t="b">
        <v>0</v>
      </c>
      <c r="J526" s="88" t="b">
        <v>0</v>
      </c>
      <c r="K526" s="88" t="b">
        <v>0</v>
      </c>
      <c r="L526" s="88" t="b">
        <v>0</v>
      </c>
    </row>
    <row r="527" spans="1:12" ht="15">
      <c r="A527" s="88" t="s">
        <v>2295</v>
      </c>
      <c r="B527" s="88" t="s">
        <v>2336</v>
      </c>
      <c r="C527" s="88">
        <v>8</v>
      </c>
      <c r="D527" s="120">
        <v>0.007850201769317968</v>
      </c>
      <c r="E527" s="120">
        <v>1.302489810423024</v>
      </c>
      <c r="F527" s="88" t="s">
        <v>2227</v>
      </c>
      <c r="G527" s="88" t="b">
        <v>0</v>
      </c>
      <c r="H527" s="88" t="b">
        <v>0</v>
      </c>
      <c r="I527" s="88" t="b">
        <v>0</v>
      </c>
      <c r="J527" s="88" t="b">
        <v>0</v>
      </c>
      <c r="K527" s="88" t="b">
        <v>0</v>
      </c>
      <c r="L527" s="88" t="b">
        <v>0</v>
      </c>
    </row>
    <row r="528" spans="1:12" ht="15">
      <c r="A528" s="88" t="s">
        <v>2336</v>
      </c>
      <c r="B528" s="88" t="s">
        <v>2298</v>
      </c>
      <c r="C528" s="88">
        <v>8</v>
      </c>
      <c r="D528" s="120">
        <v>0.007850201769317968</v>
      </c>
      <c r="E528" s="120">
        <v>1.3536423328704053</v>
      </c>
      <c r="F528" s="88" t="s">
        <v>2227</v>
      </c>
      <c r="G528" s="88" t="b">
        <v>0</v>
      </c>
      <c r="H528" s="88" t="b">
        <v>0</v>
      </c>
      <c r="I528" s="88" t="b">
        <v>0</v>
      </c>
      <c r="J528" s="88" t="b">
        <v>0</v>
      </c>
      <c r="K528" s="88" t="b">
        <v>0</v>
      </c>
      <c r="L528" s="88" t="b">
        <v>0</v>
      </c>
    </row>
    <row r="529" spans="1:12" ht="15">
      <c r="A529" s="88" t="s">
        <v>2298</v>
      </c>
      <c r="B529" s="88" t="s">
        <v>2389</v>
      </c>
      <c r="C529" s="88">
        <v>7</v>
      </c>
      <c r="D529" s="120">
        <v>0.007380835285661177</v>
      </c>
      <c r="E529" s="120">
        <v>1.5297335919260866</v>
      </c>
      <c r="F529" s="88" t="s">
        <v>2227</v>
      </c>
      <c r="G529" s="88" t="b">
        <v>0</v>
      </c>
      <c r="H529" s="88" t="b">
        <v>0</v>
      </c>
      <c r="I529" s="88" t="b">
        <v>0</v>
      </c>
      <c r="J529" s="88" t="b">
        <v>0</v>
      </c>
      <c r="K529" s="88" t="b">
        <v>0</v>
      </c>
      <c r="L529" s="88" t="b">
        <v>0</v>
      </c>
    </row>
    <row r="530" spans="1:12" ht="15">
      <c r="A530" s="88" t="s">
        <v>2465</v>
      </c>
      <c r="B530" s="88" t="s">
        <v>2466</v>
      </c>
      <c r="C530" s="88">
        <v>4</v>
      </c>
      <c r="D530" s="120">
        <v>0.005443537180568095</v>
      </c>
      <c r="E530" s="120">
        <v>2.2700962814203307</v>
      </c>
      <c r="F530" s="88" t="s">
        <v>2227</v>
      </c>
      <c r="G530" s="88" t="b">
        <v>0</v>
      </c>
      <c r="H530" s="88" t="b">
        <v>0</v>
      </c>
      <c r="I530" s="88" t="b">
        <v>0</v>
      </c>
      <c r="J530" s="88" t="b">
        <v>0</v>
      </c>
      <c r="K530" s="88" t="b">
        <v>0</v>
      </c>
      <c r="L530" s="88" t="b">
        <v>0</v>
      </c>
    </row>
    <row r="531" spans="1:12" ht="15">
      <c r="A531" s="88" t="s">
        <v>2271</v>
      </c>
      <c r="B531" s="88" t="s">
        <v>539</v>
      </c>
      <c r="C531" s="88">
        <v>4</v>
      </c>
      <c r="D531" s="120">
        <v>0.005443537180568095</v>
      </c>
      <c r="E531" s="120">
        <v>1.072815723294711</v>
      </c>
      <c r="F531" s="88" t="s">
        <v>2227</v>
      </c>
      <c r="G531" s="88" t="b">
        <v>0</v>
      </c>
      <c r="H531" s="88" t="b">
        <v>0</v>
      </c>
      <c r="I531" s="88" t="b">
        <v>0</v>
      </c>
      <c r="J531" s="88" t="b">
        <v>0</v>
      </c>
      <c r="K531" s="88" t="b">
        <v>0</v>
      </c>
      <c r="L531" s="88" t="b">
        <v>0</v>
      </c>
    </row>
    <row r="532" spans="1:12" ht="15">
      <c r="A532" s="88" t="s">
        <v>539</v>
      </c>
      <c r="B532" s="88" t="s">
        <v>2298</v>
      </c>
      <c r="C532" s="88">
        <v>4</v>
      </c>
      <c r="D532" s="120">
        <v>0.005443537180568095</v>
      </c>
      <c r="E532" s="120">
        <v>1.4919450310366869</v>
      </c>
      <c r="F532" s="88" t="s">
        <v>2227</v>
      </c>
      <c r="G532" s="88" t="b">
        <v>0</v>
      </c>
      <c r="H532" s="88" t="b">
        <v>0</v>
      </c>
      <c r="I532" s="88" t="b">
        <v>0</v>
      </c>
      <c r="J532" s="88" t="b">
        <v>0</v>
      </c>
      <c r="K532" s="88" t="b">
        <v>0</v>
      </c>
      <c r="L532" s="88" t="b">
        <v>0</v>
      </c>
    </row>
    <row r="533" spans="1:12" ht="15">
      <c r="A533" s="88" t="s">
        <v>2298</v>
      </c>
      <c r="B533" s="88" t="s">
        <v>2292</v>
      </c>
      <c r="C533" s="88">
        <v>3</v>
      </c>
      <c r="D533" s="120">
        <v>0.004555308887727332</v>
      </c>
      <c r="E533" s="120">
        <v>0.544456848746793</v>
      </c>
      <c r="F533" s="88" t="s">
        <v>2227</v>
      </c>
      <c r="G533" s="88" t="b">
        <v>0</v>
      </c>
      <c r="H533" s="88" t="b">
        <v>0</v>
      </c>
      <c r="I533" s="88" t="b">
        <v>0</v>
      </c>
      <c r="J533" s="88" t="b">
        <v>0</v>
      </c>
      <c r="K533" s="88" t="b">
        <v>0</v>
      </c>
      <c r="L533" s="88" t="b">
        <v>0</v>
      </c>
    </row>
    <row r="534" spans="1:12" ht="15">
      <c r="A534" s="88" t="s">
        <v>2292</v>
      </c>
      <c r="B534" s="88" t="s">
        <v>2519</v>
      </c>
      <c r="C534" s="88">
        <v>3</v>
      </c>
      <c r="D534" s="120">
        <v>0.004555308887727332</v>
      </c>
      <c r="E534" s="120">
        <v>1.4249982414060738</v>
      </c>
      <c r="F534" s="88" t="s">
        <v>2227</v>
      </c>
      <c r="G534" s="88" t="b">
        <v>0</v>
      </c>
      <c r="H534" s="88" t="b">
        <v>0</v>
      </c>
      <c r="I534" s="88" t="b">
        <v>0</v>
      </c>
      <c r="J534" s="88" t="b">
        <v>0</v>
      </c>
      <c r="K534" s="88" t="b">
        <v>0</v>
      </c>
      <c r="L534" s="88" t="b">
        <v>0</v>
      </c>
    </row>
    <row r="535" spans="1:12" ht="15">
      <c r="A535" s="88" t="s">
        <v>2519</v>
      </c>
      <c r="B535" s="88" t="s">
        <v>2295</v>
      </c>
      <c r="C535" s="88">
        <v>3</v>
      </c>
      <c r="D535" s="120">
        <v>0.004555308887727332</v>
      </c>
      <c r="E535" s="120">
        <v>1.4407925085893054</v>
      </c>
      <c r="F535" s="88" t="s">
        <v>2227</v>
      </c>
      <c r="G535" s="88" t="b">
        <v>0</v>
      </c>
      <c r="H535" s="88" t="b">
        <v>0</v>
      </c>
      <c r="I535" s="88" t="b">
        <v>0</v>
      </c>
      <c r="J535" s="88" t="b">
        <v>0</v>
      </c>
      <c r="K535" s="88" t="b">
        <v>0</v>
      </c>
      <c r="L535" s="88" t="b">
        <v>0</v>
      </c>
    </row>
    <row r="536" spans="1:12" ht="15">
      <c r="A536" s="88" t="s">
        <v>2295</v>
      </c>
      <c r="B536" s="88" t="s">
        <v>2467</v>
      </c>
      <c r="C536" s="88">
        <v>3</v>
      </c>
      <c r="D536" s="120">
        <v>0.004555308887727332</v>
      </c>
      <c r="E536" s="120">
        <v>1.3158537719810057</v>
      </c>
      <c r="F536" s="88" t="s">
        <v>2227</v>
      </c>
      <c r="G536" s="88" t="b">
        <v>0</v>
      </c>
      <c r="H536" s="88" t="b">
        <v>0</v>
      </c>
      <c r="I536" s="88" t="b">
        <v>0</v>
      </c>
      <c r="J536" s="88" t="b">
        <v>0</v>
      </c>
      <c r="K536" s="88" t="b">
        <v>0</v>
      </c>
      <c r="L536" s="88" t="b">
        <v>0</v>
      </c>
    </row>
    <row r="537" spans="1:12" ht="15">
      <c r="A537" s="88" t="s">
        <v>567</v>
      </c>
      <c r="B537" s="88" t="s">
        <v>2508</v>
      </c>
      <c r="C537" s="88">
        <v>3</v>
      </c>
      <c r="D537" s="120">
        <v>0.004555308887727332</v>
      </c>
      <c r="E537" s="120">
        <v>1.8307635875900679</v>
      </c>
      <c r="F537" s="88" t="s">
        <v>2227</v>
      </c>
      <c r="G537" s="88" t="b">
        <v>0</v>
      </c>
      <c r="H537" s="88" t="b">
        <v>0</v>
      </c>
      <c r="I537" s="88" t="b">
        <v>0</v>
      </c>
      <c r="J537" s="88" t="b">
        <v>0</v>
      </c>
      <c r="K537" s="88" t="b">
        <v>0</v>
      </c>
      <c r="L537" s="88" t="b">
        <v>0</v>
      </c>
    </row>
    <row r="538" spans="1:12" ht="15">
      <c r="A538" s="88" t="s">
        <v>2508</v>
      </c>
      <c r="B538" s="88" t="s">
        <v>2509</v>
      </c>
      <c r="C538" s="88">
        <v>3</v>
      </c>
      <c r="D538" s="120">
        <v>0.004555308887727332</v>
      </c>
      <c r="E538" s="120">
        <v>2.39503501802863</v>
      </c>
      <c r="F538" s="88" t="s">
        <v>2227</v>
      </c>
      <c r="G538" s="88" t="b">
        <v>0</v>
      </c>
      <c r="H538" s="88" t="b">
        <v>0</v>
      </c>
      <c r="I538" s="88" t="b">
        <v>0</v>
      </c>
      <c r="J538" s="88" t="b">
        <v>0</v>
      </c>
      <c r="K538" s="88" t="b">
        <v>0</v>
      </c>
      <c r="L538" s="88" t="b">
        <v>0</v>
      </c>
    </row>
    <row r="539" spans="1:12" ht="15">
      <c r="A539" s="88" t="s">
        <v>2509</v>
      </c>
      <c r="B539" s="88" t="s">
        <v>2510</v>
      </c>
      <c r="C539" s="88">
        <v>3</v>
      </c>
      <c r="D539" s="120">
        <v>0.004555308887727332</v>
      </c>
      <c r="E539" s="120">
        <v>2.39503501802863</v>
      </c>
      <c r="F539" s="88" t="s">
        <v>2227</v>
      </c>
      <c r="G539" s="88" t="b">
        <v>0</v>
      </c>
      <c r="H539" s="88" t="b">
        <v>0</v>
      </c>
      <c r="I539" s="88" t="b">
        <v>0</v>
      </c>
      <c r="J539" s="88" t="b">
        <v>0</v>
      </c>
      <c r="K539" s="88" t="b">
        <v>0</v>
      </c>
      <c r="L539" s="88" t="b">
        <v>0</v>
      </c>
    </row>
    <row r="540" spans="1:12" ht="15">
      <c r="A540" s="88" t="s">
        <v>2510</v>
      </c>
      <c r="B540" s="88" t="s">
        <v>2511</v>
      </c>
      <c r="C540" s="88">
        <v>3</v>
      </c>
      <c r="D540" s="120">
        <v>0.004555308887727332</v>
      </c>
      <c r="E540" s="120">
        <v>2.39503501802863</v>
      </c>
      <c r="F540" s="88" t="s">
        <v>2227</v>
      </c>
      <c r="G540" s="88" t="b">
        <v>0</v>
      </c>
      <c r="H540" s="88" t="b">
        <v>0</v>
      </c>
      <c r="I540" s="88" t="b">
        <v>0</v>
      </c>
      <c r="J540" s="88" t="b">
        <v>0</v>
      </c>
      <c r="K540" s="88" t="b">
        <v>0</v>
      </c>
      <c r="L540" s="88" t="b">
        <v>0</v>
      </c>
    </row>
    <row r="541" spans="1:12" ht="15">
      <c r="A541" s="88" t="s">
        <v>2511</v>
      </c>
      <c r="B541" s="88" t="s">
        <v>2512</v>
      </c>
      <c r="C541" s="88">
        <v>3</v>
      </c>
      <c r="D541" s="120">
        <v>0.004555308887727332</v>
      </c>
      <c r="E541" s="120">
        <v>2.39503501802863</v>
      </c>
      <c r="F541" s="88" t="s">
        <v>2227</v>
      </c>
      <c r="G541" s="88" t="b">
        <v>0</v>
      </c>
      <c r="H541" s="88" t="b">
        <v>0</v>
      </c>
      <c r="I541" s="88" t="b">
        <v>0</v>
      </c>
      <c r="J541" s="88" t="b">
        <v>0</v>
      </c>
      <c r="K541" s="88" t="b">
        <v>0</v>
      </c>
      <c r="L541" s="88" t="b">
        <v>0</v>
      </c>
    </row>
    <row r="542" spans="1:12" ht="15">
      <c r="A542" s="88" t="s">
        <v>2512</v>
      </c>
      <c r="B542" s="88" t="s">
        <v>2513</v>
      </c>
      <c r="C542" s="88">
        <v>3</v>
      </c>
      <c r="D542" s="120">
        <v>0.004555308887727332</v>
      </c>
      <c r="E542" s="120">
        <v>2.39503501802863</v>
      </c>
      <c r="F542" s="88" t="s">
        <v>2227</v>
      </c>
      <c r="G542" s="88" t="b">
        <v>0</v>
      </c>
      <c r="H542" s="88" t="b">
        <v>0</v>
      </c>
      <c r="I542" s="88" t="b">
        <v>0</v>
      </c>
      <c r="J542" s="88" t="b">
        <v>0</v>
      </c>
      <c r="K542" s="88" t="b">
        <v>0</v>
      </c>
      <c r="L542" s="88" t="b">
        <v>0</v>
      </c>
    </row>
    <row r="543" spans="1:12" ht="15">
      <c r="A543" s="88" t="s">
        <v>2513</v>
      </c>
      <c r="B543" s="88" t="s">
        <v>2514</v>
      </c>
      <c r="C543" s="88">
        <v>3</v>
      </c>
      <c r="D543" s="120">
        <v>0.004555308887727332</v>
      </c>
      <c r="E543" s="120">
        <v>2.39503501802863</v>
      </c>
      <c r="F543" s="88" t="s">
        <v>2227</v>
      </c>
      <c r="G543" s="88" t="b">
        <v>0</v>
      </c>
      <c r="H543" s="88" t="b">
        <v>0</v>
      </c>
      <c r="I543" s="88" t="b">
        <v>0</v>
      </c>
      <c r="J543" s="88" t="b">
        <v>0</v>
      </c>
      <c r="K543" s="88" t="b">
        <v>0</v>
      </c>
      <c r="L543" s="88" t="b">
        <v>0</v>
      </c>
    </row>
    <row r="544" spans="1:12" ht="15">
      <c r="A544" s="88" t="s">
        <v>2514</v>
      </c>
      <c r="B544" s="88" t="s">
        <v>2515</v>
      </c>
      <c r="C544" s="88">
        <v>3</v>
      </c>
      <c r="D544" s="120">
        <v>0.004555308887727332</v>
      </c>
      <c r="E544" s="120">
        <v>2.39503501802863</v>
      </c>
      <c r="F544" s="88" t="s">
        <v>2227</v>
      </c>
      <c r="G544" s="88" t="b">
        <v>0</v>
      </c>
      <c r="H544" s="88" t="b">
        <v>0</v>
      </c>
      <c r="I544" s="88" t="b">
        <v>0</v>
      </c>
      <c r="J544" s="88" t="b">
        <v>0</v>
      </c>
      <c r="K544" s="88" t="b">
        <v>0</v>
      </c>
      <c r="L544" s="88" t="b">
        <v>0</v>
      </c>
    </row>
    <row r="545" spans="1:12" ht="15">
      <c r="A545" s="88" t="s">
        <v>2515</v>
      </c>
      <c r="B545" s="88" t="s">
        <v>2516</v>
      </c>
      <c r="C545" s="88">
        <v>3</v>
      </c>
      <c r="D545" s="120">
        <v>0.004555308887727332</v>
      </c>
      <c r="E545" s="120">
        <v>2.39503501802863</v>
      </c>
      <c r="F545" s="88" t="s">
        <v>2227</v>
      </c>
      <c r="G545" s="88" t="b">
        <v>0</v>
      </c>
      <c r="H545" s="88" t="b">
        <v>0</v>
      </c>
      <c r="I545" s="88" t="b">
        <v>0</v>
      </c>
      <c r="J545" s="88" t="b">
        <v>0</v>
      </c>
      <c r="K545" s="88" t="b">
        <v>0</v>
      </c>
      <c r="L545" s="88" t="b">
        <v>0</v>
      </c>
    </row>
    <row r="546" spans="1:12" ht="15">
      <c r="A546" s="88" t="s">
        <v>2516</v>
      </c>
      <c r="B546" s="88" t="s">
        <v>2292</v>
      </c>
      <c r="C546" s="88">
        <v>3</v>
      </c>
      <c r="D546" s="120">
        <v>0.004555308887727332</v>
      </c>
      <c r="E546" s="120">
        <v>1.4097582748493367</v>
      </c>
      <c r="F546" s="88" t="s">
        <v>2227</v>
      </c>
      <c r="G546" s="88" t="b">
        <v>0</v>
      </c>
      <c r="H546" s="88" t="b">
        <v>0</v>
      </c>
      <c r="I546" s="88" t="b">
        <v>0</v>
      </c>
      <c r="J546" s="88" t="b">
        <v>0</v>
      </c>
      <c r="K546" s="88" t="b">
        <v>0</v>
      </c>
      <c r="L546" s="88" t="b">
        <v>0</v>
      </c>
    </row>
    <row r="547" spans="1:12" ht="15">
      <c r="A547" s="88" t="s">
        <v>2292</v>
      </c>
      <c r="B547" s="88" t="s">
        <v>2465</v>
      </c>
      <c r="C547" s="88">
        <v>3</v>
      </c>
      <c r="D547" s="120">
        <v>0.004555308887727332</v>
      </c>
      <c r="E547" s="120">
        <v>1.3000595047977737</v>
      </c>
      <c r="F547" s="88" t="s">
        <v>2227</v>
      </c>
      <c r="G547" s="88" t="b">
        <v>0</v>
      </c>
      <c r="H547" s="88" t="b">
        <v>0</v>
      </c>
      <c r="I547" s="88" t="b">
        <v>0</v>
      </c>
      <c r="J547" s="88" t="b">
        <v>0</v>
      </c>
      <c r="K547" s="88" t="b">
        <v>0</v>
      </c>
      <c r="L547" s="88" t="b">
        <v>0</v>
      </c>
    </row>
    <row r="548" spans="1:12" ht="15">
      <c r="A548" s="88" t="s">
        <v>2337</v>
      </c>
      <c r="B548" s="88" t="s">
        <v>2517</v>
      </c>
      <c r="C548" s="88">
        <v>3</v>
      </c>
      <c r="D548" s="120">
        <v>0.004555308887727332</v>
      </c>
      <c r="E548" s="120">
        <v>1.8307635875900679</v>
      </c>
      <c r="F548" s="88" t="s">
        <v>2227</v>
      </c>
      <c r="G548" s="88" t="b">
        <v>0</v>
      </c>
      <c r="H548" s="88" t="b">
        <v>0</v>
      </c>
      <c r="I548" s="88" t="b">
        <v>0</v>
      </c>
      <c r="J548" s="88" t="b">
        <v>0</v>
      </c>
      <c r="K548" s="88" t="b">
        <v>0</v>
      </c>
      <c r="L548" s="88" t="b">
        <v>0</v>
      </c>
    </row>
    <row r="549" spans="1:12" ht="15">
      <c r="A549" s="88" t="s">
        <v>2517</v>
      </c>
      <c r="B549" s="88" t="s">
        <v>2271</v>
      </c>
      <c r="C549" s="88">
        <v>3</v>
      </c>
      <c r="D549" s="120">
        <v>0.004555308887727332</v>
      </c>
      <c r="E549" s="120">
        <v>1.072815723294711</v>
      </c>
      <c r="F549" s="88" t="s">
        <v>2227</v>
      </c>
      <c r="G549" s="88" t="b">
        <v>0</v>
      </c>
      <c r="H549" s="88" t="b">
        <v>0</v>
      </c>
      <c r="I549" s="88" t="b">
        <v>0</v>
      </c>
      <c r="J549" s="88" t="b">
        <v>0</v>
      </c>
      <c r="K549" s="88" t="b">
        <v>0</v>
      </c>
      <c r="L549" s="88" t="b">
        <v>0</v>
      </c>
    </row>
    <row r="550" spans="1:12" ht="15">
      <c r="A550" s="88" t="s">
        <v>2271</v>
      </c>
      <c r="B550" s="88" t="s">
        <v>2277</v>
      </c>
      <c r="C550" s="88">
        <v>3</v>
      </c>
      <c r="D550" s="120">
        <v>0.004555308887727332</v>
      </c>
      <c r="E550" s="120">
        <v>1.072815723294711</v>
      </c>
      <c r="F550" s="88" t="s">
        <v>2227</v>
      </c>
      <c r="G550" s="88" t="b">
        <v>0</v>
      </c>
      <c r="H550" s="88" t="b">
        <v>0</v>
      </c>
      <c r="I550" s="88" t="b">
        <v>0</v>
      </c>
      <c r="J550" s="88" t="b">
        <v>0</v>
      </c>
      <c r="K550" s="88" t="b">
        <v>0</v>
      </c>
      <c r="L550" s="88" t="b">
        <v>0</v>
      </c>
    </row>
    <row r="551" spans="1:12" ht="15">
      <c r="A551" s="88" t="s">
        <v>2467</v>
      </c>
      <c r="B551" s="88" t="s">
        <v>2607</v>
      </c>
      <c r="C551" s="88">
        <v>2</v>
      </c>
      <c r="D551" s="120">
        <v>0.0034809867382386028</v>
      </c>
      <c r="E551" s="120">
        <v>2.39503501802863</v>
      </c>
      <c r="F551" s="88" t="s">
        <v>2227</v>
      </c>
      <c r="G551" s="88" t="b">
        <v>0</v>
      </c>
      <c r="H551" s="88" t="b">
        <v>0</v>
      </c>
      <c r="I551" s="88" t="b">
        <v>0</v>
      </c>
      <c r="J551" s="88" t="b">
        <v>0</v>
      </c>
      <c r="K551" s="88" t="b">
        <v>0</v>
      </c>
      <c r="L551" s="88" t="b">
        <v>0</v>
      </c>
    </row>
    <row r="552" spans="1:12" ht="15">
      <c r="A552" s="88" t="s">
        <v>2607</v>
      </c>
      <c r="B552" s="88" t="s">
        <v>2608</v>
      </c>
      <c r="C552" s="88">
        <v>2</v>
      </c>
      <c r="D552" s="120">
        <v>0.0034809867382386028</v>
      </c>
      <c r="E552" s="120">
        <v>2.5711262770843115</v>
      </c>
      <c r="F552" s="88" t="s">
        <v>2227</v>
      </c>
      <c r="G552" s="88" t="b">
        <v>0</v>
      </c>
      <c r="H552" s="88" t="b">
        <v>0</v>
      </c>
      <c r="I552" s="88" t="b">
        <v>0</v>
      </c>
      <c r="J552" s="88" t="b">
        <v>0</v>
      </c>
      <c r="K552" s="88" t="b">
        <v>0</v>
      </c>
      <c r="L552" s="88" t="b">
        <v>0</v>
      </c>
    </row>
    <row r="553" spans="1:12" ht="15">
      <c r="A553" s="88" t="s">
        <v>549</v>
      </c>
      <c r="B553" s="88" t="s">
        <v>2598</v>
      </c>
      <c r="C553" s="88">
        <v>2</v>
      </c>
      <c r="D553" s="120">
        <v>0.0034809867382386028</v>
      </c>
      <c r="E553" s="120">
        <v>2.5711262770843115</v>
      </c>
      <c r="F553" s="88" t="s">
        <v>2227</v>
      </c>
      <c r="G553" s="88" t="b">
        <v>0</v>
      </c>
      <c r="H553" s="88" t="b">
        <v>0</v>
      </c>
      <c r="I553" s="88" t="b">
        <v>0</v>
      </c>
      <c r="J553" s="88" t="b">
        <v>0</v>
      </c>
      <c r="K553" s="88" t="b">
        <v>0</v>
      </c>
      <c r="L553" s="88" t="b">
        <v>0</v>
      </c>
    </row>
    <row r="554" spans="1:12" ht="15">
      <c r="A554" s="88" t="s">
        <v>2598</v>
      </c>
      <c r="B554" s="88" t="s">
        <v>2518</v>
      </c>
      <c r="C554" s="88">
        <v>2</v>
      </c>
      <c r="D554" s="120">
        <v>0.0034809867382386028</v>
      </c>
      <c r="E554" s="120">
        <v>2.39503501802863</v>
      </c>
      <c r="F554" s="88" t="s">
        <v>2227</v>
      </c>
      <c r="G554" s="88" t="b">
        <v>0</v>
      </c>
      <c r="H554" s="88" t="b">
        <v>0</v>
      </c>
      <c r="I554" s="88" t="b">
        <v>0</v>
      </c>
      <c r="J554" s="88" t="b">
        <v>0</v>
      </c>
      <c r="K554" s="88" t="b">
        <v>0</v>
      </c>
      <c r="L554" s="88" t="b">
        <v>0</v>
      </c>
    </row>
    <row r="555" spans="1:12" ht="15">
      <c r="A555" s="88" t="s">
        <v>2518</v>
      </c>
      <c r="B555" s="88" t="s">
        <v>2599</v>
      </c>
      <c r="C555" s="88">
        <v>2</v>
      </c>
      <c r="D555" s="120">
        <v>0.0034809867382386028</v>
      </c>
      <c r="E555" s="120">
        <v>2.39503501802863</v>
      </c>
      <c r="F555" s="88" t="s">
        <v>2227</v>
      </c>
      <c r="G555" s="88" t="b">
        <v>0</v>
      </c>
      <c r="H555" s="88" t="b">
        <v>0</v>
      </c>
      <c r="I555" s="88" t="b">
        <v>0</v>
      </c>
      <c r="J555" s="88" t="b">
        <v>0</v>
      </c>
      <c r="K555" s="88" t="b">
        <v>0</v>
      </c>
      <c r="L555" s="88" t="b">
        <v>0</v>
      </c>
    </row>
    <row r="556" spans="1:12" ht="15">
      <c r="A556" s="88" t="s">
        <v>2599</v>
      </c>
      <c r="B556" s="88" t="s">
        <v>2600</v>
      </c>
      <c r="C556" s="88">
        <v>2</v>
      </c>
      <c r="D556" s="120">
        <v>0.0034809867382386028</v>
      </c>
      <c r="E556" s="120">
        <v>2.5711262770843115</v>
      </c>
      <c r="F556" s="88" t="s">
        <v>2227</v>
      </c>
      <c r="G556" s="88" t="b">
        <v>0</v>
      </c>
      <c r="H556" s="88" t="b">
        <v>0</v>
      </c>
      <c r="I556" s="88" t="b">
        <v>0</v>
      </c>
      <c r="J556" s="88" t="b">
        <v>0</v>
      </c>
      <c r="K556" s="88" t="b">
        <v>0</v>
      </c>
      <c r="L556" s="88" t="b">
        <v>0</v>
      </c>
    </row>
    <row r="557" spans="1:12" ht="15">
      <c r="A557" s="88" t="s">
        <v>2600</v>
      </c>
      <c r="B557" s="88" t="s">
        <v>2601</v>
      </c>
      <c r="C557" s="88">
        <v>2</v>
      </c>
      <c r="D557" s="120">
        <v>0.0034809867382386028</v>
      </c>
      <c r="E557" s="120">
        <v>2.5711262770843115</v>
      </c>
      <c r="F557" s="88" t="s">
        <v>2227</v>
      </c>
      <c r="G557" s="88" t="b">
        <v>0</v>
      </c>
      <c r="H557" s="88" t="b">
        <v>0</v>
      </c>
      <c r="I557" s="88" t="b">
        <v>0</v>
      </c>
      <c r="J557" s="88" t="b">
        <v>0</v>
      </c>
      <c r="K557" s="88" t="b">
        <v>0</v>
      </c>
      <c r="L557" s="88" t="b">
        <v>0</v>
      </c>
    </row>
    <row r="558" spans="1:12" ht="15">
      <c r="A558" s="88" t="s">
        <v>2601</v>
      </c>
      <c r="B558" s="88" t="s">
        <v>2602</v>
      </c>
      <c r="C558" s="88">
        <v>2</v>
      </c>
      <c r="D558" s="120">
        <v>0.0034809867382386028</v>
      </c>
      <c r="E558" s="120">
        <v>2.5711262770843115</v>
      </c>
      <c r="F558" s="88" t="s">
        <v>2227</v>
      </c>
      <c r="G558" s="88" t="b">
        <v>0</v>
      </c>
      <c r="H558" s="88" t="b">
        <v>0</v>
      </c>
      <c r="I558" s="88" t="b">
        <v>0</v>
      </c>
      <c r="J558" s="88" t="b">
        <v>0</v>
      </c>
      <c r="K558" s="88" t="b">
        <v>0</v>
      </c>
      <c r="L558" s="88" t="b">
        <v>0</v>
      </c>
    </row>
    <row r="559" spans="1:12" ht="15">
      <c r="A559" s="88" t="s">
        <v>2602</v>
      </c>
      <c r="B559" s="88" t="s">
        <v>2603</v>
      </c>
      <c r="C559" s="88">
        <v>2</v>
      </c>
      <c r="D559" s="120">
        <v>0.0034809867382386028</v>
      </c>
      <c r="E559" s="120">
        <v>2.5711262770843115</v>
      </c>
      <c r="F559" s="88" t="s">
        <v>2227</v>
      </c>
      <c r="G559" s="88" t="b">
        <v>0</v>
      </c>
      <c r="H559" s="88" t="b">
        <v>0</v>
      </c>
      <c r="I559" s="88" t="b">
        <v>0</v>
      </c>
      <c r="J559" s="88" t="b">
        <v>0</v>
      </c>
      <c r="K559" s="88" t="b">
        <v>0</v>
      </c>
      <c r="L559" s="88" t="b">
        <v>0</v>
      </c>
    </row>
    <row r="560" spans="1:12" ht="15">
      <c r="A560" s="88" t="s">
        <v>2603</v>
      </c>
      <c r="B560" s="88" t="s">
        <v>550</v>
      </c>
      <c r="C560" s="88">
        <v>2</v>
      </c>
      <c r="D560" s="120">
        <v>0.0034809867382386028</v>
      </c>
      <c r="E560" s="120">
        <v>2.39503501802863</v>
      </c>
      <c r="F560" s="88" t="s">
        <v>2227</v>
      </c>
      <c r="G560" s="88" t="b">
        <v>0</v>
      </c>
      <c r="H560" s="88" t="b">
        <v>0</v>
      </c>
      <c r="I560" s="88" t="b">
        <v>0</v>
      </c>
      <c r="J560" s="88" t="b">
        <v>0</v>
      </c>
      <c r="K560" s="88" t="b">
        <v>0</v>
      </c>
      <c r="L560" s="88" t="b">
        <v>0</v>
      </c>
    </row>
    <row r="561" spans="1:12" ht="15">
      <c r="A561" s="88" t="s">
        <v>550</v>
      </c>
      <c r="B561" s="88" t="s">
        <v>2604</v>
      </c>
      <c r="C561" s="88">
        <v>2</v>
      </c>
      <c r="D561" s="120">
        <v>0.0034809867382386028</v>
      </c>
      <c r="E561" s="120">
        <v>2.39503501802863</v>
      </c>
      <c r="F561" s="88" t="s">
        <v>2227</v>
      </c>
      <c r="G561" s="88" t="b">
        <v>0</v>
      </c>
      <c r="H561" s="88" t="b">
        <v>0</v>
      </c>
      <c r="I561" s="88" t="b">
        <v>0</v>
      </c>
      <c r="J561" s="88" t="b">
        <v>0</v>
      </c>
      <c r="K561" s="88" t="b">
        <v>0</v>
      </c>
      <c r="L561" s="88" t="b">
        <v>0</v>
      </c>
    </row>
    <row r="562" spans="1:12" ht="15">
      <c r="A562" s="88" t="s">
        <v>2604</v>
      </c>
      <c r="B562" s="88" t="s">
        <v>1806</v>
      </c>
      <c r="C562" s="88">
        <v>2</v>
      </c>
      <c r="D562" s="120">
        <v>0.0034809867382386028</v>
      </c>
      <c r="E562" s="120">
        <v>2.5711262770843115</v>
      </c>
      <c r="F562" s="88" t="s">
        <v>2227</v>
      </c>
      <c r="G562" s="88" t="b">
        <v>0</v>
      </c>
      <c r="H562" s="88" t="b">
        <v>0</v>
      </c>
      <c r="I562" s="88" t="b">
        <v>0</v>
      </c>
      <c r="J562" s="88" t="b">
        <v>0</v>
      </c>
      <c r="K562" s="88" t="b">
        <v>0</v>
      </c>
      <c r="L562" s="88" t="b">
        <v>0</v>
      </c>
    </row>
    <row r="563" spans="1:12" ht="15">
      <c r="A563" s="88" t="s">
        <v>1806</v>
      </c>
      <c r="B563" s="88" t="s">
        <v>2292</v>
      </c>
      <c r="C563" s="88">
        <v>2</v>
      </c>
      <c r="D563" s="120">
        <v>0.0034809867382386028</v>
      </c>
      <c r="E563" s="120">
        <v>1.4097582748493367</v>
      </c>
      <c r="F563" s="88" t="s">
        <v>2227</v>
      </c>
      <c r="G563" s="88" t="b">
        <v>0</v>
      </c>
      <c r="H563" s="88" t="b">
        <v>0</v>
      </c>
      <c r="I563" s="88" t="b">
        <v>0</v>
      </c>
      <c r="J563" s="88" t="b">
        <v>0</v>
      </c>
      <c r="K563" s="88" t="b">
        <v>0</v>
      </c>
      <c r="L563" s="88" t="b">
        <v>0</v>
      </c>
    </row>
    <row r="564" spans="1:12" ht="15">
      <c r="A564" s="88" t="s">
        <v>2292</v>
      </c>
      <c r="B564" s="88" t="s">
        <v>548</v>
      </c>
      <c r="C564" s="88">
        <v>2</v>
      </c>
      <c r="D564" s="120">
        <v>0.0034809867382386028</v>
      </c>
      <c r="E564" s="120">
        <v>1.4249982414060736</v>
      </c>
      <c r="F564" s="88" t="s">
        <v>2227</v>
      </c>
      <c r="G564" s="88" t="b">
        <v>0</v>
      </c>
      <c r="H564" s="88" t="b">
        <v>0</v>
      </c>
      <c r="I564" s="88" t="b">
        <v>0</v>
      </c>
      <c r="J564" s="88" t="b">
        <v>0</v>
      </c>
      <c r="K564" s="88" t="b">
        <v>0</v>
      </c>
      <c r="L564" s="88" t="b">
        <v>0</v>
      </c>
    </row>
    <row r="565" spans="1:12" ht="15">
      <c r="A565" s="88" t="s">
        <v>548</v>
      </c>
      <c r="B565" s="88" t="s">
        <v>2388</v>
      </c>
      <c r="C565" s="88">
        <v>2</v>
      </c>
      <c r="D565" s="120">
        <v>0.0034809867382386028</v>
      </c>
      <c r="E565" s="120">
        <v>2.5711262770843115</v>
      </c>
      <c r="F565" s="88" t="s">
        <v>2227</v>
      </c>
      <c r="G565" s="88" t="b">
        <v>0</v>
      </c>
      <c r="H565" s="88" t="b">
        <v>0</v>
      </c>
      <c r="I565" s="88" t="b">
        <v>0</v>
      </c>
      <c r="J565" s="88" t="b">
        <v>0</v>
      </c>
      <c r="K565" s="88" t="b">
        <v>0</v>
      </c>
      <c r="L565" s="88" t="b">
        <v>0</v>
      </c>
    </row>
    <row r="566" spans="1:12" ht="15">
      <c r="A566" s="88" t="s">
        <v>2388</v>
      </c>
      <c r="B566" s="88" t="s">
        <v>2605</v>
      </c>
      <c r="C566" s="88">
        <v>2</v>
      </c>
      <c r="D566" s="120">
        <v>0.0034809867382386028</v>
      </c>
      <c r="E566" s="120">
        <v>2.5711262770843115</v>
      </c>
      <c r="F566" s="88" t="s">
        <v>2227</v>
      </c>
      <c r="G566" s="88" t="b">
        <v>0</v>
      </c>
      <c r="H566" s="88" t="b">
        <v>0</v>
      </c>
      <c r="I566" s="88" t="b">
        <v>0</v>
      </c>
      <c r="J566" s="88" t="b">
        <v>0</v>
      </c>
      <c r="K566" s="88" t="b">
        <v>0</v>
      </c>
      <c r="L566" s="88" t="b">
        <v>0</v>
      </c>
    </row>
    <row r="567" spans="1:12" ht="15">
      <c r="A567" s="88" t="s">
        <v>2271</v>
      </c>
      <c r="B567" s="88" t="s">
        <v>554</v>
      </c>
      <c r="C567" s="88">
        <v>2</v>
      </c>
      <c r="D567" s="120">
        <v>0.0034809867382386028</v>
      </c>
      <c r="E567" s="120">
        <v>1.072815723294711</v>
      </c>
      <c r="F567" s="88" t="s">
        <v>2227</v>
      </c>
      <c r="G567" s="88" t="b">
        <v>0</v>
      </c>
      <c r="H567" s="88" t="b">
        <v>0</v>
      </c>
      <c r="I567" s="88" t="b">
        <v>0</v>
      </c>
      <c r="J567" s="88" t="b">
        <v>0</v>
      </c>
      <c r="K567" s="88" t="b">
        <v>0</v>
      </c>
      <c r="L567" s="88" t="b">
        <v>0</v>
      </c>
    </row>
    <row r="568" spans="1:12" ht="15">
      <c r="A568" s="88" t="s">
        <v>554</v>
      </c>
      <c r="B568" s="88" t="s">
        <v>564</v>
      </c>
      <c r="C568" s="88">
        <v>2</v>
      </c>
      <c r="D568" s="120">
        <v>0.0034809867382386028</v>
      </c>
      <c r="E568" s="120">
        <v>1.6680362900923682</v>
      </c>
      <c r="F568" s="88" t="s">
        <v>2227</v>
      </c>
      <c r="G568" s="88" t="b">
        <v>0</v>
      </c>
      <c r="H568" s="88" t="b">
        <v>0</v>
      </c>
      <c r="I568" s="88" t="b">
        <v>0</v>
      </c>
      <c r="J568" s="88" t="b">
        <v>0</v>
      </c>
      <c r="K568" s="88" t="b">
        <v>0</v>
      </c>
      <c r="L568" s="88" t="b">
        <v>0</v>
      </c>
    </row>
    <row r="569" spans="1:12" ht="15">
      <c r="A569" s="88" t="s">
        <v>2271</v>
      </c>
      <c r="B569" s="88" t="s">
        <v>564</v>
      </c>
      <c r="C569" s="88">
        <v>2</v>
      </c>
      <c r="D569" s="120">
        <v>0.0034809867382386028</v>
      </c>
      <c r="E569" s="120">
        <v>0.16972573630276752</v>
      </c>
      <c r="F569" s="88" t="s">
        <v>2227</v>
      </c>
      <c r="G569" s="88" t="b">
        <v>0</v>
      </c>
      <c r="H569" s="88" t="b">
        <v>0</v>
      </c>
      <c r="I569" s="88" t="b">
        <v>0</v>
      </c>
      <c r="J569" s="88" t="b">
        <v>0</v>
      </c>
      <c r="K569" s="88" t="b">
        <v>0</v>
      </c>
      <c r="L569" s="88" t="b">
        <v>0</v>
      </c>
    </row>
    <row r="570" spans="1:12" ht="15">
      <c r="A570" s="88" t="s">
        <v>2271</v>
      </c>
      <c r="B570" s="88" t="s">
        <v>557</v>
      </c>
      <c r="C570" s="88">
        <v>2</v>
      </c>
      <c r="D570" s="120">
        <v>0.0034809867382386028</v>
      </c>
      <c r="E570" s="120">
        <v>1.072815723294711</v>
      </c>
      <c r="F570" s="88" t="s">
        <v>2227</v>
      </c>
      <c r="G570" s="88" t="b">
        <v>0</v>
      </c>
      <c r="H570" s="88" t="b">
        <v>0</v>
      </c>
      <c r="I570" s="88" t="b">
        <v>0</v>
      </c>
      <c r="J570" s="88" t="b">
        <v>0</v>
      </c>
      <c r="K570" s="88" t="b">
        <v>0</v>
      </c>
      <c r="L570" s="88" t="b">
        <v>0</v>
      </c>
    </row>
    <row r="571" spans="1:12" ht="15">
      <c r="A571" s="88" t="s">
        <v>557</v>
      </c>
      <c r="B571" s="88" t="s">
        <v>564</v>
      </c>
      <c r="C571" s="88">
        <v>2</v>
      </c>
      <c r="D571" s="120">
        <v>0.0034809867382386028</v>
      </c>
      <c r="E571" s="120">
        <v>1.6680362900923682</v>
      </c>
      <c r="F571" s="88" t="s">
        <v>2227</v>
      </c>
      <c r="G571" s="88" t="b">
        <v>0</v>
      </c>
      <c r="H571" s="88" t="b">
        <v>0</v>
      </c>
      <c r="I571" s="88" t="b">
        <v>0</v>
      </c>
      <c r="J571" s="88" t="b">
        <v>0</v>
      </c>
      <c r="K571" s="88" t="b">
        <v>0</v>
      </c>
      <c r="L571" s="88" t="b">
        <v>0</v>
      </c>
    </row>
    <row r="572" spans="1:12" ht="15">
      <c r="A572" s="88" t="s">
        <v>2271</v>
      </c>
      <c r="B572" s="88" t="s">
        <v>556</v>
      </c>
      <c r="C572" s="88">
        <v>2</v>
      </c>
      <c r="D572" s="120">
        <v>0.0034809867382386028</v>
      </c>
      <c r="E572" s="120">
        <v>1.072815723294711</v>
      </c>
      <c r="F572" s="88" t="s">
        <v>2227</v>
      </c>
      <c r="G572" s="88" t="b">
        <v>0</v>
      </c>
      <c r="H572" s="88" t="b">
        <v>0</v>
      </c>
      <c r="I572" s="88" t="b">
        <v>0</v>
      </c>
      <c r="J572" s="88" t="b">
        <v>0</v>
      </c>
      <c r="K572" s="88" t="b">
        <v>0</v>
      </c>
      <c r="L572" s="88" t="b">
        <v>0</v>
      </c>
    </row>
    <row r="573" spans="1:12" ht="15">
      <c r="A573" s="88" t="s">
        <v>556</v>
      </c>
      <c r="B573" s="88" t="s">
        <v>564</v>
      </c>
      <c r="C573" s="88">
        <v>2</v>
      </c>
      <c r="D573" s="120">
        <v>0.0034809867382386028</v>
      </c>
      <c r="E573" s="120">
        <v>1.6680362900923682</v>
      </c>
      <c r="F573" s="88" t="s">
        <v>2227</v>
      </c>
      <c r="G573" s="88" t="b">
        <v>0</v>
      </c>
      <c r="H573" s="88" t="b">
        <v>0</v>
      </c>
      <c r="I573" s="88" t="b">
        <v>0</v>
      </c>
      <c r="J573" s="88" t="b">
        <v>0</v>
      </c>
      <c r="K573" s="88" t="b">
        <v>0</v>
      </c>
      <c r="L573" s="88" t="b">
        <v>0</v>
      </c>
    </row>
    <row r="574" spans="1:12" ht="15">
      <c r="A574" s="88" t="s">
        <v>2271</v>
      </c>
      <c r="B574" s="88" t="s">
        <v>555</v>
      </c>
      <c r="C574" s="88">
        <v>2</v>
      </c>
      <c r="D574" s="120">
        <v>0.0034809867382386028</v>
      </c>
      <c r="E574" s="120">
        <v>1.072815723294711</v>
      </c>
      <c r="F574" s="88" t="s">
        <v>2227</v>
      </c>
      <c r="G574" s="88" t="b">
        <v>0</v>
      </c>
      <c r="H574" s="88" t="b">
        <v>0</v>
      </c>
      <c r="I574" s="88" t="b">
        <v>0</v>
      </c>
      <c r="J574" s="88" t="b">
        <v>0</v>
      </c>
      <c r="K574" s="88" t="b">
        <v>0</v>
      </c>
      <c r="L574" s="88" t="b">
        <v>0</v>
      </c>
    </row>
    <row r="575" spans="1:12" ht="15">
      <c r="A575" s="88" t="s">
        <v>555</v>
      </c>
      <c r="B575" s="88" t="s">
        <v>564</v>
      </c>
      <c r="C575" s="88">
        <v>2</v>
      </c>
      <c r="D575" s="120">
        <v>0.0034809867382386028</v>
      </c>
      <c r="E575" s="120">
        <v>1.6680362900923682</v>
      </c>
      <c r="F575" s="88" t="s">
        <v>2227</v>
      </c>
      <c r="G575" s="88" t="b">
        <v>0</v>
      </c>
      <c r="H575" s="88" t="b">
        <v>0</v>
      </c>
      <c r="I575" s="88" t="b">
        <v>0</v>
      </c>
      <c r="J575" s="88" t="b">
        <v>0</v>
      </c>
      <c r="K575" s="88" t="b">
        <v>0</v>
      </c>
      <c r="L575" s="88" t="b">
        <v>0</v>
      </c>
    </row>
    <row r="576" spans="1:12" ht="15">
      <c r="A576" s="88" t="s">
        <v>2271</v>
      </c>
      <c r="B576" s="88" t="s">
        <v>563</v>
      </c>
      <c r="C576" s="88">
        <v>2</v>
      </c>
      <c r="D576" s="120">
        <v>0.0034809867382386028</v>
      </c>
      <c r="E576" s="120">
        <v>1.072815723294711</v>
      </c>
      <c r="F576" s="88" t="s">
        <v>2227</v>
      </c>
      <c r="G576" s="88" t="b">
        <v>0</v>
      </c>
      <c r="H576" s="88" t="b">
        <v>0</v>
      </c>
      <c r="I576" s="88" t="b">
        <v>0</v>
      </c>
      <c r="J576" s="88" t="b">
        <v>0</v>
      </c>
      <c r="K576" s="88" t="b">
        <v>0</v>
      </c>
      <c r="L576" s="88" t="b">
        <v>0</v>
      </c>
    </row>
    <row r="577" spans="1:12" ht="15">
      <c r="A577" s="88" t="s">
        <v>563</v>
      </c>
      <c r="B577" s="88" t="s">
        <v>564</v>
      </c>
      <c r="C577" s="88">
        <v>2</v>
      </c>
      <c r="D577" s="120">
        <v>0.0034809867382386028</v>
      </c>
      <c r="E577" s="120">
        <v>1.6680362900923682</v>
      </c>
      <c r="F577" s="88" t="s">
        <v>2227</v>
      </c>
      <c r="G577" s="88" t="b">
        <v>0</v>
      </c>
      <c r="H577" s="88" t="b">
        <v>0</v>
      </c>
      <c r="I577" s="88" t="b">
        <v>0</v>
      </c>
      <c r="J577" s="88" t="b">
        <v>0</v>
      </c>
      <c r="K577" s="88" t="b">
        <v>0</v>
      </c>
      <c r="L577" s="88" t="b">
        <v>0</v>
      </c>
    </row>
    <row r="578" spans="1:12" ht="15">
      <c r="A578" s="88" t="s">
        <v>2330</v>
      </c>
      <c r="B578" s="88" t="s">
        <v>2596</v>
      </c>
      <c r="C578" s="88">
        <v>2</v>
      </c>
      <c r="D578" s="120">
        <v>0.0034809867382386028</v>
      </c>
      <c r="E578" s="120">
        <v>1.6680362900923682</v>
      </c>
      <c r="F578" s="88" t="s">
        <v>2227</v>
      </c>
      <c r="G578" s="88" t="b">
        <v>0</v>
      </c>
      <c r="H578" s="88" t="b">
        <v>0</v>
      </c>
      <c r="I578" s="88" t="b">
        <v>0</v>
      </c>
      <c r="J578" s="88" t="b">
        <v>0</v>
      </c>
      <c r="K578" s="88" t="b">
        <v>0</v>
      </c>
      <c r="L578" s="88" t="b">
        <v>0</v>
      </c>
    </row>
    <row r="579" spans="1:12" ht="15">
      <c r="A579" s="88" t="s">
        <v>2271</v>
      </c>
      <c r="B579" s="88" t="s">
        <v>565</v>
      </c>
      <c r="C579" s="88">
        <v>2</v>
      </c>
      <c r="D579" s="120">
        <v>0.0034809867382386028</v>
      </c>
      <c r="E579" s="120">
        <v>1.072815723294711</v>
      </c>
      <c r="F579" s="88" t="s">
        <v>2227</v>
      </c>
      <c r="G579" s="88" t="b">
        <v>0</v>
      </c>
      <c r="H579" s="88" t="b">
        <v>0</v>
      </c>
      <c r="I579" s="88" t="b">
        <v>0</v>
      </c>
      <c r="J579" s="88" t="b">
        <v>0</v>
      </c>
      <c r="K579" s="88" t="b">
        <v>0</v>
      </c>
      <c r="L579" s="88" t="b">
        <v>0</v>
      </c>
    </row>
    <row r="580" spans="1:12" ht="15">
      <c r="A580" s="88" t="s">
        <v>565</v>
      </c>
      <c r="B580" s="88" t="s">
        <v>564</v>
      </c>
      <c r="C580" s="88">
        <v>2</v>
      </c>
      <c r="D580" s="120">
        <v>0.0034809867382386028</v>
      </c>
      <c r="E580" s="120">
        <v>1.6680362900923682</v>
      </c>
      <c r="F580" s="88" t="s">
        <v>2227</v>
      </c>
      <c r="G580" s="88" t="b">
        <v>0</v>
      </c>
      <c r="H580" s="88" t="b">
        <v>0</v>
      </c>
      <c r="I580" s="88" t="b">
        <v>0</v>
      </c>
      <c r="J580" s="88" t="b">
        <v>0</v>
      </c>
      <c r="K580" s="88" t="b">
        <v>0</v>
      </c>
      <c r="L580" s="88" t="b">
        <v>0</v>
      </c>
    </row>
    <row r="581" spans="1:12" ht="15">
      <c r="A581" s="88" t="s">
        <v>2466</v>
      </c>
      <c r="B581" s="88" t="s">
        <v>2336</v>
      </c>
      <c r="C581" s="88">
        <v>2</v>
      </c>
      <c r="D581" s="120">
        <v>0.0034809867382386028</v>
      </c>
      <c r="E581" s="120">
        <v>1.5297335919260866</v>
      </c>
      <c r="F581" s="88" t="s">
        <v>2227</v>
      </c>
      <c r="G581" s="88" t="b">
        <v>0</v>
      </c>
      <c r="H581" s="88" t="b">
        <v>0</v>
      </c>
      <c r="I581" s="88" t="b">
        <v>0</v>
      </c>
      <c r="J581" s="88" t="b">
        <v>0</v>
      </c>
      <c r="K581" s="88" t="b">
        <v>0</v>
      </c>
      <c r="L581" s="88" t="b">
        <v>0</v>
      </c>
    </row>
    <row r="582" spans="1:12" ht="15">
      <c r="A582" s="88" t="s">
        <v>2336</v>
      </c>
      <c r="B582" s="88" t="s">
        <v>2507</v>
      </c>
      <c r="C582" s="88">
        <v>2</v>
      </c>
      <c r="D582" s="120">
        <v>0.0034809867382386028</v>
      </c>
      <c r="E582" s="120">
        <v>1.6546723285343865</v>
      </c>
      <c r="F582" s="88" t="s">
        <v>2227</v>
      </c>
      <c r="G582" s="88" t="b">
        <v>0</v>
      </c>
      <c r="H582" s="88" t="b">
        <v>0</v>
      </c>
      <c r="I582" s="88" t="b">
        <v>0</v>
      </c>
      <c r="J582" s="88" t="b">
        <v>0</v>
      </c>
      <c r="K582" s="88" t="b">
        <v>0</v>
      </c>
      <c r="L582" s="88" t="b">
        <v>0</v>
      </c>
    </row>
    <row r="583" spans="1:12" ht="15">
      <c r="A583" s="88" t="s">
        <v>2271</v>
      </c>
      <c r="B583" s="88" t="s">
        <v>474</v>
      </c>
      <c r="C583" s="88">
        <v>2</v>
      </c>
      <c r="D583" s="120">
        <v>0.0034809867382386028</v>
      </c>
      <c r="E583" s="120">
        <v>1.072815723294711</v>
      </c>
      <c r="F583" s="88" t="s">
        <v>2227</v>
      </c>
      <c r="G583" s="88" t="b">
        <v>0</v>
      </c>
      <c r="H583" s="88" t="b">
        <v>0</v>
      </c>
      <c r="I583" s="88" t="b">
        <v>0</v>
      </c>
      <c r="J583" s="88" t="b">
        <v>0</v>
      </c>
      <c r="K583" s="88" t="b">
        <v>0</v>
      </c>
      <c r="L583" s="88" t="b">
        <v>0</v>
      </c>
    </row>
    <row r="584" spans="1:12" ht="15">
      <c r="A584" s="88" t="s">
        <v>474</v>
      </c>
      <c r="B584" s="88" t="s">
        <v>569</v>
      </c>
      <c r="C584" s="88">
        <v>2</v>
      </c>
      <c r="D584" s="120">
        <v>0.0034809867382386028</v>
      </c>
      <c r="E584" s="120">
        <v>1.917913763308968</v>
      </c>
      <c r="F584" s="88" t="s">
        <v>2227</v>
      </c>
      <c r="G584" s="88" t="b">
        <v>0</v>
      </c>
      <c r="H584" s="88" t="b">
        <v>0</v>
      </c>
      <c r="I584" s="88" t="b">
        <v>0</v>
      </c>
      <c r="J584" s="88" t="b">
        <v>0</v>
      </c>
      <c r="K584" s="88" t="b">
        <v>0</v>
      </c>
      <c r="L584" s="88" t="b">
        <v>0</v>
      </c>
    </row>
    <row r="585" spans="1:12" ht="15">
      <c r="A585" s="88" t="s">
        <v>2278</v>
      </c>
      <c r="B585" s="88" t="s">
        <v>2279</v>
      </c>
      <c r="C585" s="88">
        <v>38</v>
      </c>
      <c r="D585" s="120">
        <v>0.001843411120180171</v>
      </c>
      <c r="E585" s="120">
        <v>1.351674274072195</v>
      </c>
      <c r="F585" s="88" t="s">
        <v>2228</v>
      </c>
      <c r="G585" s="88" t="b">
        <v>0</v>
      </c>
      <c r="H585" s="88" t="b">
        <v>0</v>
      </c>
      <c r="I585" s="88" t="b">
        <v>0</v>
      </c>
      <c r="J585" s="88" t="b">
        <v>0</v>
      </c>
      <c r="K585" s="88" t="b">
        <v>0</v>
      </c>
      <c r="L585" s="88" t="b">
        <v>0</v>
      </c>
    </row>
    <row r="586" spans="1:12" ht="15">
      <c r="A586" s="88" t="s">
        <v>2279</v>
      </c>
      <c r="B586" s="88" t="s">
        <v>2280</v>
      </c>
      <c r="C586" s="88">
        <v>38</v>
      </c>
      <c r="D586" s="120">
        <v>0.001843411120180171</v>
      </c>
      <c r="E586" s="120">
        <v>1.351674274072195</v>
      </c>
      <c r="F586" s="88" t="s">
        <v>2228</v>
      </c>
      <c r="G586" s="88" t="b">
        <v>0</v>
      </c>
      <c r="H586" s="88" t="b">
        <v>0</v>
      </c>
      <c r="I586" s="88" t="b">
        <v>0</v>
      </c>
      <c r="J586" s="88" t="b">
        <v>0</v>
      </c>
      <c r="K586" s="88" t="b">
        <v>0</v>
      </c>
      <c r="L586" s="88" t="b">
        <v>0</v>
      </c>
    </row>
    <row r="587" spans="1:12" ht="15">
      <c r="A587" s="88" t="s">
        <v>2280</v>
      </c>
      <c r="B587" s="88" t="s">
        <v>699</v>
      </c>
      <c r="C587" s="88">
        <v>38</v>
      </c>
      <c r="D587" s="120">
        <v>0.001843411120180171</v>
      </c>
      <c r="E587" s="120">
        <v>1.0506442784082137</v>
      </c>
      <c r="F587" s="88" t="s">
        <v>2228</v>
      </c>
      <c r="G587" s="88" t="b">
        <v>0</v>
      </c>
      <c r="H587" s="88" t="b">
        <v>0</v>
      </c>
      <c r="I587" s="88" t="b">
        <v>0</v>
      </c>
      <c r="J587" s="88" t="b">
        <v>0</v>
      </c>
      <c r="K587" s="88" t="b">
        <v>0</v>
      </c>
      <c r="L587" s="88" t="b">
        <v>0</v>
      </c>
    </row>
    <row r="588" spans="1:12" ht="15">
      <c r="A588" s="88" t="s">
        <v>699</v>
      </c>
      <c r="B588" s="88" t="s">
        <v>2281</v>
      </c>
      <c r="C588" s="88">
        <v>38</v>
      </c>
      <c r="D588" s="120">
        <v>0.001843411120180171</v>
      </c>
      <c r="E588" s="120">
        <v>1.0506442784082137</v>
      </c>
      <c r="F588" s="88" t="s">
        <v>2228</v>
      </c>
      <c r="G588" s="88" t="b">
        <v>0</v>
      </c>
      <c r="H588" s="88" t="b">
        <v>0</v>
      </c>
      <c r="I588" s="88" t="b">
        <v>0</v>
      </c>
      <c r="J588" s="88" t="b">
        <v>0</v>
      </c>
      <c r="K588" s="88" t="b">
        <v>0</v>
      </c>
      <c r="L588" s="88" t="b">
        <v>0</v>
      </c>
    </row>
    <row r="589" spans="1:12" ht="15">
      <c r="A589" s="88" t="s">
        <v>2281</v>
      </c>
      <c r="B589" s="88" t="s">
        <v>2276</v>
      </c>
      <c r="C589" s="88">
        <v>38</v>
      </c>
      <c r="D589" s="120">
        <v>0.001843411120180171</v>
      </c>
      <c r="E589" s="120">
        <v>1.351674274072195</v>
      </c>
      <c r="F589" s="88" t="s">
        <v>2228</v>
      </c>
      <c r="G589" s="88" t="b">
        <v>0</v>
      </c>
      <c r="H589" s="88" t="b">
        <v>0</v>
      </c>
      <c r="I589" s="88" t="b">
        <v>0</v>
      </c>
      <c r="J589" s="88" t="b">
        <v>0</v>
      </c>
      <c r="K589" s="88" t="b">
        <v>0</v>
      </c>
      <c r="L589" s="88" t="b">
        <v>0</v>
      </c>
    </row>
    <row r="590" spans="1:12" ht="15">
      <c r="A590" s="88" t="s">
        <v>2276</v>
      </c>
      <c r="B590" s="88" t="s">
        <v>2282</v>
      </c>
      <c r="C590" s="88">
        <v>38</v>
      </c>
      <c r="D590" s="120">
        <v>0.001843411120180171</v>
      </c>
      <c r="E590" s="120">
        <v>1.351674274072195</v>
      </c>
      <c r="F590" s="88" t="s">
        <v>2228</v>
      </c>
      <c r="G590" s="88" t="b">
        <v>0</v>
      </c>
      <c r="H590" s="88" t="b">
        <v>0</v>
      </c>
      <c r="I590" s="88" t="b">
        <v>0</v>
      </c>
      <c r="J590" s="88" t="b">
        <v>1</v>
      </c>
      <c r="K590" s="88" t="b">
        <v>0</v>
      </c>
      <c r="L590" s="88" t="b">
        <v>0</v>
      </c>
    </row>
    <row r="591" spans="1:12" ht="15">
      <c r="A591" s="88" t="s">
        <v>2282</v>
      </c>
      <c r="B591" s="88" t="s">
        <v>2283</v>
      </c>
      <c r="C591" s="88">
        <v>38</v>
      </c>
      <c r="D591" s="120">
        <v>0.001843411120180171</v>
      </c>
      <c r="E591" s="120">
        <v>1.351674274072195</v>
      </c>
      <c r="F591" s="88" t="s">
        <v>2228</v>
      </c>
      <c r="G591" s="88" t="b">
        <v>1</v>
      </c>
      <c r="H591" s="88" t="b">
        <v>0</v>
      </c>
      <c r="I591" s="88" t="b">
        <v>0</v>
      </c>
      <c r="J591" s="88" t="b">
        <v>0</v>
      </c>
      <c r="K591" s="88" t="b">
        <v>0</v>
      </c>
      <c r="L591" s="88" t="b">
        <v>0</v>
      </c>
    </row>
    <row r="592" spans="1:12" ht="15">
      <c r="A592" s="88" t="s">
        <v>2283</v>
      </c>
      <c r="B592" s="88" t="s">
        <v>2272</v>
      </c>
      <c r="C592" s="88">
        <v>38</v>
      </c>
      <c r="D592" s="120">
        <v>0.001843411120180171</v>
      </c>
      <c r="E592" s="120">
        <v>1.0506442784082137</v>
      </c>
      <c r="F592" s="88" t="s">
        <v>2228</v>
      </c>
      <c r="G592" s="88" t="b">
        <v>0</v>
      </c>
      <c r="H592" s="88" t="b">
        <v>0</v>
      </c>
      <c r="I592" s="88" t="b">
        <v>0</v>
      </c>
      <c r="J592" s="88" t="b">
        <v>1</v>
      </c>
      <c r="K592" s="88" t="b">
        <v>0</v>
      </c>
      <c r="L592" s="88" t="b">
        <v>0</v>
      </c>
    </row>
    <row r="593" spans="1:12" ht="15">
      <c r="A593" s="88" t="s">
        <v>2272</v>
      </c>
      <c r="B593" s="88" t="s">
        <v>2284</v>
      </c>
      <c r="C593" s="88">
        <v>38</v>
      </c>
      <c r="D593" s="120">
        <v>0.001843411120180171</v>
      </c>
      <c r="E593" s="120">
        <v>1.0506442784082137</v>
      </c>
      <c r="F593" s="88" t="s">
        <v>2228</v>
      </c>
      <c r="G593" s="88" t="b">
        <v>1</v>
      </c>
      <c r="H593" s="88" t="b">
        <v>0</v>
      </c>
      <c r="I593" s="88" t="b">
        <v>0</v>
      </c>
      <c r="J593" s="88" t="b">
        <v>0</v>
      </c>
      <c r="K593" s="88" t="b">
        <v>0</v>
      </c>
      <c r="L593" s="88" t="b">
        <v>0</v>
      </c>
    </row>
    <row r="594" spans="1:12" ht="15">
      <c r="A594" s="88" t="s">
        <v>2284</v>
      </c>
      <c r="B594" s="88" t="s">
        <v>2285</v>
      </c>
      <c r="C594" s="88">
        <v>38</v>
      </c>
      <c r="D594" s="120">
        <v>0.001843411120180171</v>
      </c>
      <c r="E594" s="120">
        <v>1.351674274072195</v>
      </c>
      <c r="F594" s="88" t="s">
        <v>2228</v>
      </c>
      <c r="G594" s="88" t="b">
        <v>0</v>
      </c>
      <c r="H594" s="88" t="b">
        <v>0</v>
      </c>
      <c r="I594" s="88" t="b">
        <v>0</v>
      </c>
      <c r="J594" s="88" t="b">
        <v>0</v>
      </c>
      <c r="K594" s="88" t="b">
        <v>0</v>
      </c>
      <c r="L594" s="88" t="b">
        <v>0</v>
      </c>
    </row>
    <row r="595" spans="1:12" ht="15">
      <c r="A595" s="88" t="s">
        <v>2285</v>
      </c>
      <c r="B595" s="88" t="s">
        <v>2286</v>
      </c>
      <c r="C595" s="88">
        <v>38</v>
      </c>
      <c r="D595" s="120">
        <v>0.001843411120180171</v>
      </c>
      <c r="E595" s="120">
        <v>1.351674274072195</v>
      </c>
      <c r="F595" s="88" t="s">
        <v>2228</v>
      </c>
      <c r="G595" s="88" t="b">
        <v>0</v>
      </c>
      <c r="H595" s="88" t="b">
        <v>0</v>
      </c>
      <c r="I595" s="88" t="b">
        <v>0</v>
      </c>
      <c r="J595" s="88" t="b">
        <v>0</v>
      </c>
      <c r="K595" s="88" t="b">
        <v>0</v>
      </c>
      <c r="L595" s="88" t="b">
        <v>0</v>
      </c>
    </row>
    <row r="596" spans="1:12" ht="15">
      <c r="A596" s="88" t="s">
        <v>2286</v>
      </c>
      <c r="B596" s="88" t="s">
        <v>2287</v>
      </c>
      <c r="C596" s="88">
        <v>38</v>
      </c>
      <c r="D596" s="120">
        <v>0.001843411120180171</v>
      </c>
      <c r="E596" s="120">
        <v>1.351674274072195</v>
      </c>
      <c r="F596" s="88" t="s">
        <v>2228</v>
      </c>
      <c r="G596" s="88" t="b">
        <v>0</v>
      </c>
      <c r="H596" s="88" t="b">
        <v>0</v>
      </c>
      <c r="I596" s="88" t="b">
        <v>0</v>
      </c>
      <c r="J596" s="88" t="b">
        <v>0</v>
      </c>
      <c r="K596" s="88" t="b">
        <v>0</v>
      </c>
      <c r="L596" s="88" t="b">
        <v>0</v>
      </c>
    </row>
    <row r="597" spans="1:12" ht="15">
      <c r="A597" s="88" t="s">
        <v>2287</v>
      </c>
      <c r="B597" s="88" t="s">
        <v>2272</v>
      </c>
      <c r="C597" s="88">
        <v>38</v>
      </c>
      <c r="D597" s="120">
        <v>0.001843411120180171</v>
      </c>
      <c r="E597" s="120">
        <v>1.0506442784082137</v>
      </c>
      <c r="F597" s="88" t="s">
        <v>2228</v>
      </c>
      <c r="G597" s="88" t="b">
        <v>0</v>
      </c>
      <c r="H597" s="88" t="b">
        <v>0</v>
      </c>
      <c r="I597" s="88" t="b">
        <v>0</v>
      </c>
      <c r="J597" s="88" t="b">
        <v>1</v>
      </c>
      <c r="K597" s="88" t="b">
        <v>0</v>
      </c>
      <c r="L597" s="88" t="b">
        <v>0</v>
      </c>
    </row>
    <row r="598" spans="1:12" ht="15">
      <c r="A598" s="88" t="s">
        <v>2272</v>
      </c>
      <c r="B598" s="88" t="s">
        <v>2288</v>
      </c>
      <c r="C598" s="88">
        <v>38</v>
      </c>
      <c r="D598" s="120">
        <v>0.001843411120180171</v>
      </c>
      <c r="E598" s="120">
        <v>1.0506442784082137</v>
      </c>
      <c r="F598" s="88" t="s">
        <v>2228</v>
      </c>
      <c r="G598" s="88" t="b">
        <v>1</v>
      </c>
      <c r="H598" s="88" t="b">
        <v>0</v>
      </c>
      <c r="I598" s="88" t="b">
        <v>0</v>
      </c>
      <c r="J598" s="88" t="b">
        <v>0</v>
      </c>
      <c r="K598" s="88" t="b">
        <v>0</v>
      </c>
      <c r="L598" s="88" t="b">
        <v>0</v>
      </c>
    </row>
    <row r="599" spans="1:12" ht="15">
      <c r="A599" s="88" t="s">
        <v>2288</v>
      </c>
      <c r="B599" s="88" t="s">
        <v>2289</v>
      </c>
      <c r="C599" s="88">
        <v>38</v>
      </c>
      <c r="D599" s="120">
        <v>0.001843411120180171</v>
      </c>
      <c r="E599" s="120">
        <v>1.351674274072195</v>
      </c>
      <c r="F599" s="88" t="s">
        <v>2228</v>
      </c>
      <c r="G599" s="88" t="b">
        <v>0</v>
      </c>
      <c r="H599" s="88" t="b">
        <v>0</v>
      </c>
      <c r="I599" s="88" t="b">
        <v>0</v>
      </c>
      <c r="J599" s="88" t="b">
        <v>0</v>
      </c>
      <c r="K599" s="88" t="b">
        <v>0</v>
      </c>
      <c r="L599" s="88" t="b">
        <v>0</v>
      </c>
    </row>
    <row r="600" spans="1:12" ht="15">
      <c r="A600" s="88" t="s">
        <v>2289</v>
      </c>
      <c r="B600" s="88" t="s">
        <v>2290</v>
      </c>
      <c r="C600" s="88">
        <v>38</v>
      </c>
      <c r="D600" s="120">
        <v>0.001843411120180171</v>
      </c>
      <c r="E600" s="120">
        <v>1.351674274072195</v>
      </c>
      <c r="F600" s="88" t="s">
        <v>2228</v>
      </c>
      <c r="G600" s="88" t="b">
        <v>0</v>
      </c>
      <c r="H600" s="88" t="b">
        <v>0</v>
      </c>
      <c r="I600" s="88" t="b">
        <v>0</v>
      </c>
      <c r="J600" s="88" t="b">
        <v>0</v>
      </c>
      <c r="K600" s="88" t="b">
        <v>0</v>
      </c>
      <c r="L600" s="88" t="b">
        <v>0</v>
      </c>
    </row>
    <row r="601" spans="1:12" ht="15">
      <c r="A601" s="88" t="s">
        <v>2290</v>
      </c>
      <c r="B601" s="88" t="s">
        <v>699</v>
      </c>
      <c r="C601" s="88">
        <v>38</v>
      </c>
      <c r="D601" s="120">
        <v>0.001843411120180171</v>
      </c>
      <c r="E601" s="120">
        <v>1.0506442784082137</v>
      </c>
      <c r="F601" s="88" t="s">
        <v>2228</v>
      </c>
      <c r="G601" s="88" t="b">
        <v>0</v>
      </c>
      <c r="H601" s="88" t="b">
        <v>0</v>
      </c>
      <c r="I601" s="88" t="b">
        <v>0</v>
      </c>
      <c r="J601" s="88" t="b">
        <v>0</v>
      </c>
      <c r="K601" s="88" t="b">
        <v>0</v>
      </c>
      <c r="L601" s="88" t="b">
        <v>0</v>
      </c>
    </row>
    <row r="602" spans="1:12" ht="15">
      <c r="A602" s="88" t="s">
        <v>699</v>
      </c>
      <c r="B602" s="88" t="s">
        <v>513</v>
      </c>
      <c r="C602" s="88">
        <v>38</v>
      </c>
      <c r="D602" s="120">
        <v>0.001843411120180171</v>
      </c>
      <c r="E602" s="120">
        <v>1.0506442784082137</v>
      </c>
      <c r="F602" s="88" t="s">
        <v>2228</v>
      </c>
      <c r="G602" s="88" t="b">
        <v>0</v>
      </c>
      <c r="H602" s="88" t="b">
        <v>0</v>
      </c>
      <c r="I602" s="88" t="b">
        <v>0</v>
      </c>
      <c r="J602" s="88" t="b">
        <v>0</v>
      </c>
      <c r="K602" s="88" t="b">
        <v>0</v>
      </c>
      <c r="L602" s="88" t="b">
        <v>0</v>
      </c>
    </row>
    <row r="603" spans="1:12" ht="15">
      <c r="A603" s="88" t="s">
        <v>513</v>
      </c>
      <c r="B603" s="88" t="s">
        <v>2277</v>
      </c>
      <c r="C603" s="88">
        <v>38</v>
      </c>
      <c r="D603" s="120">
        <v>0.001843411120180171</v>
      </c>
      <c r="E603" s="120">
        <v>1.3082085802911045</v>
      </c>
      <c r="F603" s="88" t="s">
        <v>2228</v>
      </c>
      <c r="G603" s="88" t="b">
        <v>0</v>
      </c>
      <c r="H603" s="88" t="b">
        <v>0</v>
      </c>
      <c r="I603" s="88" t="b">
        <v>0</v>
      </c>
      <c r="J603" s="88" t="b">
        <v>0</v>
      </c>
      <c r="K603" s="88" t="b">
        <v>0</v>
      </c>
      <c r="L603" s="88" t="b">
        <v>0</v>
      </c>
    </row>
    <row r="604" spans="1:12" ht="15">
      <c r="A604" s="88" t="s">
        <v>2277</v>
      </c>
      <c r="B604" s="88" t="s">
        <v>2271</v>
      </c>
      <c r="C604" s="88">
        <v>38</v>
      </c>
      <c r="D604" s="120">
        <v>0.001843411120180171</v>
      </c>
      <c r="E604" s="120">
        <v>1.2647428865100143</v>
      </c>
      <c r="F604" s="88" t="s">
        <v>2228</v>
      </c>
      <c r="G604" s="88" t="b">
        <v>0</v>
      </c>
      <c r="H604" s="88" t="b">
        <v>0</v>
      </c>
      <c r="I604" s="88" t="b">
        <v>0</v>
      </c>
      <c r="J604" s="88" t="b">
        <v>0</v>
      </c>
      <c r="K604" s="88" t="b">
        <v>0</v>
      </c>
      <c r="L604" s="88" t="b">
        <v>0</v>
      </c>
    </row>
    <row r="605" spans="1:12" ht="15">
      <c r="A605" s="88" t="s">
        <v>2271</v>
      </c>
      <c r="B605" s="88" t="s">
        <v>2291</v>
      </c>
      <c r="C605" s="88">
        <v>38</v>
      </c>
      <c r="D605" s="120">
        <v>0.001843411120180171</v>
      </c>
      <c r="E605" s="120">
        <v>1.3082085802911045</v>
      </c>
      <c r="F605" s="88" t="s">
        <v>2228</v>
      </c>
      <c r="G605" s="88" t="b">
        <v>0</v>
      </c>
      <c r="H605" s="88" t="b">
        <v>0</v>
      </c>
      <c r="I605" s="88" t="b">
        <v>0</v>
      </c>
      <c r="J605" s="88" t="b">
        <v>0</v>
      </c>
      <c r="K605" s="88" t="b">
        <v>0</v>
      </c>
      <c r="L605" s="88" t="b">
        <v>0</v>
      </c>
    </row>
    <row r="606" spans="1:12" ht="15">
      <c r="A606" s="88" t="s">
        <v>2377</v>
      </c>
      <c r="B606" s="88" t="s">
        <v>2468</v>
      </c>
      <c r="C606" s="88">
        <v>4</v>
      </c>
      <c r="D606" s="120">
        <v>0.004558880799419366</v>
      </c>
      <c r="E606" s="120">
        <v>2.0283678836970616</v>
      </c>
      <c r="F606" s="88" t="s">
        <v>2228</v>
      </c>
      <c r="G606" s="88" t="b">
        <v>0</v>
      </c>
      <c r="H606" s="88" t="b">
        <v>0</v>
      </c>
      <c r="I606" s="88" t="b">
        <v>0</v>
      </c>
      <c r="J606" s="88" t="b">
        <v>0</v>
      </c>
      <c r="K606" s="88" t="b">
        <v>0</v>
      </c>
      <c r="L606" s="88" t="b">
        <v>0</v>
      </c>
    </row>
    <row r="607" spans="1:12" ht="15">
      <c r="A607" s="88" t="s">
        <v>2468</v>
      </c>
      <c r="B607" s="88" t="s">
        <v>2377</v>
      </c>
      <c r="C607" s="88">
        <v>4</v>
      </c>
      <c r="D607" s="120">
        <v>0.004558880799419366</v>
      </c>
      <c r="E607" s="120">
        <v>2.329397879361043</v>
      </c>
      <c r="F607" s="88" t="s">
        <v>2228</v>
      </c>
      <c r="G607" s="88" t="b">
        <v>0</v>
      </c>
      <c r="H607" s="88" t="b">
        <v>0</v>
      </c>
      <c r="I607" s="88" t="b">
        <v>0</v>
      </c>
      <c r="J607" s="88" t="b">
        <v>0</v>
      </c>
      <c r="K607" s="88" t="b">
        <v>0</v>
      </c>
      <c r="L607" s="88" t="b">
        <v>0</v>
      </c>
    </row>
    <row r="608" spans="1:12" ht="15">
      <c r="A608" s="88" t="s">
        <v>2377</v>
      </c>
      <c r="B608" s="88" t="s">
        <v>2469</v>
      </c>
      <c r="C608" s="88">
        <v>4</v>
      </c>
      <c r="D608" s="120">
        <v>0.004558880799419366</v>
      </c>
      <c r="E608" s="120">
        <v>2.0283678836970616</v>
      </c>
      <c r="F608" s="88" t="s">
        <v>2228</v>
      </c>
      <c r="G608" s="88" t="b">
        <v>0</v>
      </c>
      <c r="H608" s="88" t="b">
        <v>0</v>
      </c>
      <c r="I608" s="88" t="b">
        <v>0</v>
      </c>
      <c r="J608" s="88" t="b">
        <v>0</v>
      </c>
      <c r="K608" s="88" t="b">
        <v>1</v>
      </c>
      <c r="L608" s="88" t="b">
        <v>0</v>
      </c>
    </row>
    <row r="609" spans="1:12" ht="15">
      <c r="A609" s="88" t="s">
        <v>2469</v>
      </c>
      <c r="B609" s="88" t="s">
        <v>2296</v>
      </c>
      <c r="C609" s="88">
        <v>4</v>
      </c>
      <c r="D609" s="120">
        <v>0.004558880799419366</v>
      </c>
      <c r="E609" s="120">
        <v>2.329397879361043</v>
      </c>
      <c r="F609" s="88" t="s">
        <v>2228</v>
      </c>
      <c r="G609" s="88" t="b">
        <v>0</v>
      </c>
      <c r="H609" s="88" t="b">
        <v>1</v>
      </c>
      <c r="I609" s="88" t="b">
        <v>0</v>
      </c>
      <c r="J609" s="88" t="b">
        <v>0</v>
      </c>
      <c r="K609" s="88" t="b">
        <v>0</v>
      </c>
      <c r="L609" s="88" t="b">
        <v>0</v>
      </c>
    </row>
    <row r="610" spans="1:12" ht="15">
      <c r="A610" s="88" t="s">
        <v>2296</v>
      </c>
      <c r="B610" s="88" t="s">
        <v>2470</v>
      </c>
      <c r="C610" s="88">
        <v>4</v>
      </c>
      <c r="D610" s="120">
        <v>0.004558880799419366</v>
      </c>
      <c r="E610" s="120">
        <v>2.329397879361043</v>
      </c>
      <c r="F610" s="88" t="s">
        <v>2228</v>
      </c>
      <c r="G610" s="88" t="b">
        <v>0</v>
      </c>
      <c r="H610" s="88" t="b">
        <v>0</v>
      </c>
      <c r="I610" s="88" t="b">
        <v>0</v>
      </c>
      <c r="J610" s="88" t="b">
        <v>0</v>
      </c>
      <c r="K610" s="88" t="b">
        <v>0</v>
      </c>
      <c r="L610" s="88" t="b">
        <v>0</v>
      </c>
    </row>
    <row r="611" spans="1:12" ht="15">
      <c r="A611" s="88" t="s">
        <v>2470</v>
      </c>
      <c r="B611" s="88" t="s">
        <v>2471</v>
      </c>
      <c r="C611" s="88">
        <v>4</v>
      </c>
      <c r="D611" s="120">
        <v>0.004558880799419366</v>
      </c>
      <c r="E611" s="120">
        <v>2.329397879361043</v>
      </c>
      <c r="F611" s="88" t="s">
        <v>2228</v>
      </c>
      <c r="G611" s="88" t="b">
        <v>0</v>
      </c>
      <c r="H611" s="88" t="b">
        <v>0</v>
      </c>
      <c r="I611" s="88" t="b">
        <v>0</v>
      </c>
      <c r="J611" s="88" t="b">
        <v>1</v>
      </c>
      <c r="K611" s="88" t="b">
        <v>0</v>
      </c>
      <c r="L611" s="88" t="b">
        <v>0</v>
      </c>
    </row>
    <row r="612" spans="1:12" ht="15">
      <c r="A612" s="88" t="s">
        <v>2471</v>
      </c>
      <c r="B612" s="88" t="s">
        <v>2472</v>
      </c>
      <c r="C612" s="88">
        <v>4</v>
      </c>
      <c r="D612" s="120">
        <v>0.004558880799419366</v>
      </c>
      <c r="E612" s="120">
        <v>2.329397879361043</v>
      </c>
      <c r="F612" s="88" t="s">
        <v>2228</v>
      </c>
      <c r="G612" s="88" t="b">
        <v>1</v>
      </c>
      <c r="H612" s="88" t="b">
        <v>0</v>
      </c>
      <c r="I612" s="88" t="b">
        <v>0</v>
      </c>
      <c r="J612" s="88" t="b">
        <v>0</v>
      </c>
      <c r="K612" s="88" t="b">
        <v>0</v>
      </c>
      <c r="L612" s="88" t="b">
        <v>0</v>
      </c>
    </row>
    <row r="613" spans="1:12" ht="15">
      <c r="A613" s="88" t="s">
        <v>2472</v>
      </c>
      <c r="B613" s="88" t="s">
        <v>2473</v>
      </c>
      <c r="C613" s="88">
        <v>4</v>
      </c>
      <c r="D613" s="120">
        <v>0.004558880799419366</v>
      </c>
      <c r="E613" s="120">
        <v>2.329397879361043</v>
      </c>
      <c r="F613" s="88" t="s">
        <v>2228</v>
      </c>
      <c r="G613" s="88" t="b">
        <v>0</v>
      </c>
      <c r="H613" s="88" t="b">
        <v>0</v>
      </c>
      <c r="I613" s="88" t="b">
        <v>0</v>
      </c>
      <c r="J613" s="88" t="b">
        <v>0</v>
      </c>
      <c r="K613" s="88" t="b">
        <v>0</v>
      </c>
      <c r="L613" s="88" t="b">
        <v>0</v>
      </c>
    </row>
    <row r="614" spans="1:12" ht="15">
      <c r="A614" s="88" t="s">
        <v>2473</v>
      </c>
      <c r="B614" s="88" t="s">
        <v>2474</v>
      </c>
      <c r="C614" s="88">
        <v>4</v>
      </c>
      <c r="D614" s="120">
        <v>0.004558880799419366</v>
      </c>
      <c r="E614" s="120">
        <v>2.329397879361043</v>
      </c>
      <c r="F614" s="88" t="s">
        <v>2228</v>
      </c>
      <c r="G614" s="88" t="b">
        <v>0</v>
      </c>
      <c r="H614" s="88" t="b">
        <v>0</v>
      </c>
      <c r="I614" s="88" t="b">
        <v>0</v>
      </c>
      <c r="J614" s="88" t="b">
        <v>0</v>
      </c>
      <c r="K614" s="88" t="b">
        <v>0</v>
      </c>
      <c r="L614" s="88" t="b">
        <v>0</v>
      </c>
    </row>
    <row r="615" spans="1:12" ht="15">
      <c r="A615" s="88" t="s">
        <v>2474</v>
      </c>
      <c r="B615" s="88" t="s">
        <v>2475</v>
      </c>
      <c r="C615" s="88">
        <v>4</v>
      </c>
      <c r="D615" s="120">
        <v>0.004558880799419366</v>
      </c>
      <c r="E615" s="120">
        <v>2.329397879361043</v>
      </c>
      <c r="F615" s="88" t="s">
        <v>2228</v>
      </c>
      <c r="G615" s="88" t="b">
        <v>0</v>
      </c>
      <c r="H615" s="88" t="b">
        <v>0</v>
      </c>
      <c r="I615" s="88" t="b">
        <v>0</v>
      </c>
      <c r="J615" s="88" t="b">
        <v>0</v>
      </c>
      <c r="K615" s="88" t="b">
        <v>0</v>
      </c>
      <c r="L615" s="88" t="b">
        <v>0</v>
      </c>
    </row>
    <row r="616" spans="1:12" ht="15">
      <c r="A616" s="88" t="s">
        <v>2475</v>
      </c>
      <c r="B616" s="88" t="s">
        <v>2476</v>
      </c>
      <c r="C616" s="88">
        <v>4</v>
      </c>
      <c r="D616" s="120">
        <v>0.004558880799419366</v>
      </c>
      <c r="E616" s="120">
        <v>2.329397879361043</v>
      </c>
      <c r="F616" s="88" t="s">
        <v>2228</v>
      </c>
      <c r="G616" s="88" t="b">
        <v>0</v>
      </c>
      <c r="H616" s="88" t="b">
        <v>0</v>
      </c>
      <c r="I616" s="88" t="b">
        <v>0</v>
      </c>
      <c r="J616" s="88" t="b">
        <v>0</v>
      </c>
      <c r="K616" s="88" t="b">
        <v>0</v>
      </c>
      <c r="L616" s="88" t="b">
        <v>0</v>
      </c>
    </row>
    <row r="617" spans="1:12" ht="15">
      <c r="A617" s="88" t="s">
        <v>2476</v>
      </c>
      <c r="B617" s="88" t="s">
        <v>2271</v>
      </c>
      <c r="C617" s="88">
        <v>4</v>
      </c>
      <c r="D617" s="120">
        <v>0.004558880799419366</v>
      </c>
      <c r="E617" s="120">
        <v>1.3082085802911045</v>
      </c>
      <c r="F617" s="88" t="s">
        <v>2228</v>
      </c>
      <c r="G617" s="88" t="b">
        <v>0</v>
      </c>
      <c r="H617" s="88" t="b">
        <v>0</v>
      </c>
      <c r="I617" s="88" t="b">
        <v>0</v>
      </c>
      <c r="J617" s="88" t="b">
        <v>0</v>
      </c>
      <c r="K617" s="88" t="b">
        <v>0</v>
      </c>
      <c r="L617" s="88" t="b">
        <v>0</v>
      </c>
    </row>
    <row r="618" spans="1:12" ht="15">
      <c r="A618" s="88" t="s">
        <v>2271</v>
      </c>
      <c r="B618" s="88" t="s">
        <v>2277</v>
      </c>
      <c r="C618" s="88">
        <v>4</v>
      </c>
      <c r="D618" s="120">
        <v>0.004558880799419366</v>
      </c>
      <c r="E618" s="120">
        <v>0.2870192812211666</v>
      </c>
      <c r="F618" s="88" t="s">
        <v>2228</v>
      </c>
      <c r="G618" s="88" t="b">
        <v>0</v>
      </c>
      <c r="H618" s="88" t="b">
        <v>0</v>
      </c>
      <c r="I618" s="88" t="b">
        <v>0</v>
      </c>
      <c r="J618" s="88" t="b">
        <v>0</v>
      </c>
      <c r="K618" s="88" t="b">
        <v>0</v>
      </c>
      <c r="L618" s="88" t="b">
        <v>0</v>
      </c>
    </row>
    <row r="619" spans="1:12" ht="15">
      <c r="A619" s="88" t="s">
        <v>2277</v>
      </c>
      <c r="B619" s="88" t="s">
        <v>2275</v>
      </c>
      <c r="C619" s="88">
        <v>4</v>
      </c>
      <c r="D619" s="120">
        <v>0.004558880799419366</v>
      </c>
      <c r="E619" s="120">
        <v>1.3082085802911045</v>
      </c>
      <c r="F619" s="88" t="s">
        <v>2228</v>
      </c>
      <c r="G619" s="88" t="b">
        <v>0</v>
      </c>
      <c r="H619" s="88" t="b">
        <v>0</v>
      </c>
      <c r="I619" s="88" t="b">
        <v>0</v>
      </c>
      <c r="J619" s="88" t="b">
        <v>0</v>
      </c>
      <c r="K619" s="88" t="b">
        <v>0</v>
      </c>
      <c r="L619" s="88" t="b">
        <v>0</v>
      </c>
    </row>
    <row r="620" spans="1:12" ht="15">
      <c r="A620" s="88" t="s">
        <v>2300</v>
      </c>
      <c r="B620" s="88" t="s">
        <v>2299</v>
      </c>
      <c r="C620" s="88">
        <v>22</v>
      </c>
      <c r="D620" s="120">
        <v>0</v>
      </c>
      <c r="E620" s="120">
        <v>1.1095638750413457</v>
      </c>
      <c r="F620" s="88" t="s">
        <v>2229</v>
      </c>
      <c r="G620" s="88" t="b">
        <v>0</v>
      </c>
      <c r="H620" s="88" t="b">
        <v>0</v>
      </c>
      <c r="I620" s="88" t="b">
        <v>0</v>
      </c>
      <c r="J620" s="88" t="b">
        <v>0</v>
      </c>
      <c r="K620" s="88" t="b">
        <v>0</v>
      </c>
      <c r="L620" s="88" t="b">
        <v>0</v>
      </c>
    </row>
    <row r="621" spans="1:12" ht="15">
      <c r="A621" s="88" t="s">
        <v>2299</v>
      </c>
      <c r="B621" s="88" t="s">
        <v>2301</v>
      </c>
      <c r="C621" s="88">
        <v>22</v>
      </c>
      <c r="D621" s="120">
        <v>0</v>
      </c>
      <c r="E621" s="120">
        <v>1.1095638750413457</v>
      </c>
      <c r="F621" s="88" t="s">
        <v>2229</v>
      </c>
      <c r="G621" s="88" t="b">
        <v>0</v>
      </c>
      <c r="H621" s="88" t="b">
        <v>0</v>
      </c>
      <c r="I621" s="88" t="b">
        <v>0</v>
      </c>
      <c r="J621" s="88" t="b">
        <v>0</v>
      </c>
      <c r="K621" s="88" t="b">
        <v>0</v>
      </c>
      <c r="L621" s="88" t="b">
        <v>0</v>
      </c>
    </row>
    <row r="622" spans="1:12" ht="15">
      <c r="A622" s="88" t="s">
        <v>2301</v>
      </c>
      <c r="B622" s="88" t="s">
        <v>2302</v>
      </c>
      <c r="C622" s="88">
        <v>22</v>
      </c>
      <c r="D622" s="120">
        <v>0</v>
      </c>
      <c r="E622" s="120">
        <v>1.1288690302367324</v>
      </c>
      <c r="F622" s="88" t="s">
        <v>2229</v>
      </c>
      <c r="G622" s="88" t="b">
        <v>0</v>
      </c>
      <c r="H622" s="88" t="b">
        <v>0</v>
      </c>
      <c r="I622" s="88" t="b">
        <v>0</v>
      </c>
      <c r="J622" s="88" t="b">
        <v>0</v>
      </c>
      <c r="K622" s="88" t="b">
        <v>0</v>
      </c>
      <c r="L622" s="88" t="b">
        <v>0</v>
      </c>
    </row>
    <row r="623" spans="1:12" ht="15">
      <c r="A623" s="88" t="s">
        <v>2302</v>
      </c>
      <c r="B623" s="88" t="s">
        <v>2303</v>
      </c>
      <c r="C623" s="88">
        <v>22</v>
      </c>
      <c r="D623" s="120">
        <v>0</v>
      </c>
      <c r="E623" s="120">
        <v>1.1288690302367324</v>
      </c>
      <c r="F623" s="88" t="s">
        <v>2229</v>
      </c>
      <c r="G623" s="88" t="b">
        <v>0</v>
      </c>
      <c r="H623" s="88" t="b">
        <v>0</v>
      </c>
      <c r="I623" s="88" t="b">
        <v>0</v>
      </c>
      <c r="J623" s="88" t="b">
        <v>0</v>
      </c>
      <c r="K623" s="88" t="b">
        <v>0</v>
      </c>
      <c r="L623" s="88" t="b">
        <v>0</v>
      </c>
    </row>
    <row r="624" spans="1:12" ht="15">
      <c r="A624" s="88" t="s">
        <v>2303</v>
      </c>
      <c r="B624" s="88" t="s">
        <v>2304</v>
      </c>
      <c r="C624" s="88">
        <v>22</v>
      </c>
      <c r="D624" s="120">
        <v>0</v>
      </c>
      <c r="E624" s="120">
        <v>1.1288690302367324</v>
      </c>
      <c r="F624" s="88" t="s">
        <v>2229</v>
      </c>
      <c r="G624" s="88" t="b">
        <v>0</v>
      </c>
      <c r="H624" s="88" t="b">
        <v>0</v>
      </c>
      <c r="I624" s="88" t="b">
        <v>0</v>
      </c>
      <c r="J624" s="88" t="b">
        <v>0</v>
      </c>
      <c r="K624" s="88" t="b">
        <v>0</v>
      </c>
      <c r="L624" s="88" t="b">
        <v>0</v>
      </c>
    </row>
    <row r="625" spans="1:12" ht="15">
      <c r="A625" s="88" t="s">
        <v>2304</v>
      </c>
      <c r="B625" s="88" t="s">
        <v>2305</v>
      </c>
      <c r="C625" s="88">
        <v>22</v>
      </c>
      <c r="D625" s="120">
        <v>0</v>
      </c>
      <c r="E625" s="120">
        <v>1.1288690302367324</v>
      </c>
      <c r="F625" s="88" t="s">
        <v>2229</v>
      </c>
      <c r="G625" s="88" t="b">
        <v>0</v>
      </c>
      <c r="H625" s="88" t="b">
        <v>0</v>
      </c>
      <c r="I625" s="88" t="b">
        <v>0</v>
      </c>
      <c r="J625" s="88" t="b">
        <v>0</v>
      </c>
      <c r="K625" s="88" t="b">
        <v>0</v>
      </c>
      <c r="L625" s="88" t="b">
        <v>0</v>
      </c>
    </row>
    <row r="626" spans="1:12" ht="15">
      <c r="A626" s="88" t="s">
        <v>2305</v>
      </c>
      <c r="B626" s="88" t="s">
        <v>2306</v>
      </c>
      <c r="C626" s="88">
        <v>22</v>
      </c>
      <c r="D626" s="120">
        <v>0</v>
      </c>
      <c r="E626" s="120">
        <v>1.1288690302367324</v>
      </c>
      <c r="F626" s="88" t="s">
        <v>2229</v>
      </c>
      <c r="G626" s="88" t="b">
        <v>0</v>
      </c>
      <c r="H626" s="88" t="b">
        <v>0</v>
      </c>
      <c r="I626" s="88" t="b">
        <v>0</v>
      </c>
      <c r="J626" s="88" t="b">
        <v>1</v>
      </c>
      <c r="K626" s="88" t="b">
        <v>0</v>
      </c>
      <c r="L626" s="88" t="b">
        <v>0</v>
      </c>
    </row>
    <row r="627" spans="1:12" ht="15">
      <c r="A627" s="88" t="s">
        <v>2306</v>
      </c>
      <c r="B627" s="88" t="s">
        <v>2307</v>
      </c>
      <c r="C627" s="88">
        <v>22</v>
      </c>
      <c r="D627" s="120">
        <v>0</v>
      </c>
      <c r="E627" s="120">
        <v>1.1288690302367324</v>
      </c>
      <c r="F627" s="88" t="s">
        <v>2229</v>
      </c>
      <c r="G627" s="88" t="b">
        <v>1</v>
      </c>
      <c r="H627" s="88" t="b">
        <v>0</v>
      </c>
      <c r="I627" s="88" t="b">
        <v>0</v>
      </c>
      <c r="J627" s="88" t="b">
        <v>0</v>
      </c>
      <c r="K627" s="88" t="b">
        <v>0</v>
      </c>
      <c r="L627" s="88" t="b">
        <v>0</v>
      </c>
    </row>
    <row r="628" spans="1:12" ht="15">
      <c r="A628" s="88" t="s">
        <v>2307</v>
      </c>
      <c r="B628" s="88" t="s">
        <v>2275</v>
      </c>
      <c r="C628" s="88">
        <v>22</v>
      </c>
      <c r="D628" s="120">
        <v>0</v>
      </c>
      <c r="E628" s="120">
        <v>1.1288690302367324</v>
      </c>
      <c r="F628" s="88" t="s">
        <v>2229</v>
      </c>
      <c r="G628" s="88" t="b">
        <v>0</v>
      </c>
      <c r="H628" s="88" t="b">
        <v>0</v>
      </c>
      <c r="I628" s="88" t="b">
        <v>0</v>
      </c>
      <c r="J628" s="88" t="b">
        <v>0</v>
      </c>
      <c r="K628" s="88" t="b">
        <v>0</v>
      </c>
      <c r="L628" s="88" t="b">
        <v>0</v>
      </c>
    </row>
    <row r="629" spans="1:12" ht="15">
      <c r="A629" s="88" t="s">
        <v>2275</v>
      </c>
      <c r="B629" s="88" t="s">
        <v>2271</v>
      </c>
      <c r="C629" s="88">
        <v>22</v>
      </c>
      <c r="D629" s="120">
        <v>0</v>
      </c>
      <c r="E629" s="120">
        <v>1.1288690302367324</v>
      </c>
      <c r="F629" s="88" t="s">
        <v>2229</v>
      </c>
      <c r="G629" s="88" t="b">
        <v>0</v>
      </c>
      <c r="H629" s="88" t="b">
        <v>0</v>
      </c>
      <c r="I629" s="88" t="b">
        <v>0</v>
      </c>
      <c r="J629" s="88" t="b">
        <v>0</v>
      </c>
      <c r="K629" s="88" t="b">
        <v>0</v>
      </c>
      <c r="L629" s="88" t="b">
        <v>0</v>
      </c>
    </row>
    <row r="630" spans="1:12" ht="15">
      <c r="A630" s="88" t="s">
        <v>2271</v>
      </c>
      <c r="B630" s="88" t="s">
        <v>527</v>
      </c>
      <c r="C630" s="88">
        <v>22</v>
      </c>
      <c r="D630" s="120">
        <v>0</v>
      </c>
      <c r="E630" s="120">
        <v>1.1288690302367324</v>
      </c>
      <c r="F630" s="88" t="s">
        <v>2229</v>
      </c>
      <c r="G630" s="88" t="b">
        <v>0</v>
      </c>
      <c r="H630" s="88" t="b">
        <v>0</v>
      </c>
      <c r="I630" s="88" t="b">
        <v>0</v>
      </c>
      <c r="J630" s="88" t="b">
        <v>0</v>
      </c>
      <c r="K630" s="88" t="b">
        <v>0</v>
      </c>
      <c r="L630" s="88" t="b">
        <v>0</v>
      </c>
    </row>
    <row r="631" spans="1:12" ht="15">
      <c r="A631" s="88" t="s">
        <v>527</v>
      </c>
      <c r="B631" s="88" t="s">
        <v>526</v>
      </c>
      <c r="C631" s="88">
        <v>22</v>
      </c>
      <c r="D631" s="120">
        <v>0</v>
      </c>
      <c r="E631" s="120">
        <v>1.1288690302367324</v>
      </c>
      <c r="F631" s="88" t="s">
        <v>2229</v>
      </c>
      <c r="G631" s="88" t="b">
        <v>0</v>
      </c>
      <c r="H631" s="88" t="b">
        <v>0</v>
      </c>
      <c r="I631" s="88" t="b">
        <v>0</v>
      </c>
      <c r="J631" s="88" t="b">
        <v>0</v>
      </c>
      <c r="K631" s="88" t="b">
        <v>0</v>
      </c>
      <c r="L631" s="88" t="b">
        <v>0</v>
      </c>
    </row>
    <row r="632" spans="1:12" ht="15">
      <c r="A632" s="88" t="s">
        <v>2326</v>
      </c>
      <c r="B632" s="88" t="s">
        <v>2333</v>
      </c>
      <c r="C632" s="88">
        <v>12</v>
      </c>
      <c r="D632" s="120">
        <v>0.00993363904809741</v>
      </c>
      <c r="E632" s="120">
        <v>1.3921104650113136</v>
      </c>
      <c r="F632" s="88" t="s">
        <v>2229</v>
      </c>
      <c r="G632" s="88" t="b">
        <v>0</v>
      </c>
      <c r="H632" s="88" t="b">
        <v>0</v>
      </c>
      <c r="I632" s="88" t="b">
        <v>0</v>
      </c>
      <c r="J632" s="88" t="b">
        <v>0</v>
      </c>
      <c r="K632" s="88" t="b">
        <v>0</v>
      </c>
      <c r="L632" s="88" t="b">
        <v>0</v>
      </c>
    </row>
    <row r="633" spans="1:12" ht="15">
      <c r="A633" s="88" t="s">
        <v>2333</v>
      </c>
      <c r="B633" s="88" t="s">
        <v>2300</v>
      </c>
      <c r="C633" s="88">
        <v>12</v>
      </c>
      <c r="D633" s="120">
        <v>0.00993363904809741</v>
      </c>
      <c r="E633" s="120">
        <v>1.3573483587521018</v>
      </c>
      <c r="F633" s="88" t="s">
        <v>2229</v>
      </c>
      <c r="G633" s="88" t="b">
        <v>0</v>
      </c>
      <c r="H633" s="88" t="b">
        <v>0</v>
      </c>
      <c r="I633" s="88" t="b">
        <v>0</v>
      </c>
      <c r="J633" s="88" t="b">
        <v>0</v>
      </c>
      <c r="K633" s="88" t="b">
        <v>0</v>
      </c>
      <c r="L633" s="88" t="b">
        <v>0</v>
      </c>
    </row>
    <row r="634" spans="1:12" ht="15">
      <c r="A634" s="88" t="s">
        <v>2309</v>
      </c>
      <c r="B634" s="88" t="s">
        <v>2310</v>
      </c>
      <c r="C634" s="88">
        <v>20</v>
      </c>
      <c r="D634" s="120">
        <v>0</v>
      </c>
      <c r="E634" s="120">
        <v>1.278753600952829</v>
      </c>
      <c r="F634" s="88" t="s">
        <v>2230</v>
      </c>
      <c r="G634" s="88" t="b">
        <v>0</v>
      </c>
      <c r="H634" s="88" t="b">
        <v>0</v>
      </c>
      <c r="I634" s="88" t="b">
        <v>0</v>
      </c>
      <c r="J634" s="88" t="b">
        <v>0</v>
      </c>
      <c r="K634" s="88" t="b">
        <v>0</v>
      </c>
      <c r="L634" s="88" t="b">
        <v>0</v>
      </c>
    </row>
    <row r="635" spans="1:12" ht="15">
      <c r="A635" s="88" t="s">
        <v>2310</v>
      </c>
      <c r="B635" s="88" t="s">
        <v>2311</v>
      </c>
      <c r="C635" s="88">
        <v>20</v>
      </c>
      <c r="D635" s="120">
        <v>0</v>
      </c>
      <c r="E635" s="120">
        <v>1.278753600952829</v>
      </c>
      <c r="F635" s="88" t="s">
        <v>2230</v>
      </c>
      <c r="G635" s="88" t="b">
        <v>0</v>
      </c>
      <c r="H635" s="88" t="b">
        <v>0</v>
      </c>
      <c r="I635" s="88" t="b">
        <v>0</v>
      </c>
      <c r="J635" s="88" t="b">
        <v>0</v>
      </c>
      <c r="K635" s="88" t="b">
        <v>0</v>
      </c>
      <c r="L635" s="88" t="b">
        <v>0</v>
      </c>
    </row>
    <row r="636" spans="1:12" ht="15">
      <c r="A636" s="88" t="s">
        <v>2311</v>
      </c>
      <c r="B636" s="88" t="s">
        <v>2312</v>
      </c>
      <c r="C636" s="88">
        <v>20</v>
      </c>
      <c r="D636" s="120">
        <v>0</v>
      </c>
      <c r="E636" s="120">
        <v>1.278753600952829</v>
      </c>
      <c r="F636" s="88" t="s">
        <v>2230</v>
      </c>
      <c r="G636" s="88" t="b">
        <v>0</v>
      </c>
      <c r="H636" s="88" t="b">
        <v>0</v>
      </c>
      <c r="I636" s="88" t="b">
        <v>0</v>
      </c>
      <c r="J636" s="88" t="b">
        <v>1</v>
      </c>
      <c r="K636" s="88" t="b">
        <v>0</v>
      </c>
      <c r="L636" s="88" t="b">
        <v>0</v>
      </c>
    </row>
    <row r="637" spans="1:12" ht="15">
      <c r="A637" s="88" t="s">
        <v>2312</v>
      </c>
      <c r="B637" s="88" t="s">
        <v>2297</v>
      </c>
      <c r="C637" s="88">
        <v>20</v>
      </c>
      <c r="D637" s="120">
        <v>0</v>
      </c>
      <c r="E637" s="120">
        <v>1.278753600952829</v>
      </c>
      <c r="F637" s="88" t="s">
        <v>2230</v>
      </c>
      <c r="G637" s="88" t="b">
        <v>1</v>
      </c>
      <c r="H637" s="88" t="b">
        <v>0</v>
      </c>
      <c r="I637" s="88" t="b">
        <v>0</v>
      </c>
      <c r="J637" s="88" t="b">
        <v>0</v>
      </c>
      <c r="K637" s="88" t="b">
        <v>0</v>
      </c>
      <c r="L637" s="88" t="b">
        <v>0</v>
      </c>
    </row>
    <row r="638" spans="1:12" ht="15">
      <c r="A638" s="88" t="s">
        <v>2297</v>
      </c>
      <c r="B638" s="88" t="s">
        <v>2313</v>
      </c>
      <c r="C638" s="88">
        <v>20</v>
      </c>
      <c r="D638" s="120">
        <v>0</v>
      </c>
      <c r="E638" s="120">
        <v>1.278753600952829</v>
      </c>
      <c r="F638" s="88" t="s">
        <v>2230</v>
      </c>
      <c r="G638" s="88" t="b">
        <v>0</v>
      </c>
      <c r="H638" s="88" t="b">
        <v>0</v>
      </c>
      <c r="I638" s="88" t="b">
        <v>0</v>
      </c>
      <c r="J638" s="88" t="b">
        <v>0</v>
      </c>
      <c r="K638" s="88" t="b">
        <v>0</v>
      </c>
      <c r="L638" s="88" t="b">
        <v>0</v>
      </c>
    </row>
    <row r="639" spans="1:12" ht="15">
      <c r="A639" s="88" t="s">
        <v>2313</v>
      </c>
      <c r="B639" s="88" t="s">
        <v>2314</v>
      </c>
      <c r="C639" s="88">
        <v>20</v>
      </c>
      <c r="D639" s="120">
        <v>0</v>
      </c>
      <c r="E639" s="120">
        <v>1.278753600952829</v>
      </c>
      <c r="F639" s="88" t="s">
        <v>2230</v>
      </c>
      <c r="G639" s="88" t="b">
        <v>0</v>
      </c>
      <c r="H639" s="88" t="b">
        <v>0</v>
      </c>
      <c r="I639" s="88" t="b">
        <v>0</v>
      </c>
      <c r="J639" s="88" t="b">
        <v>0</v>
      </c>
      <c r="K639" s="88" t="b">
        <v>0</v>
      </c>
      <c r="L639" s="88" t="b">
        <v>0</v>
      </c>
    </row>
    <row r="640" spans="1:12" ht="15">
      <c r="A640" s="88" t="s">
        <v>2314</v>
      </c>
      <c r="B640" s="88" t="s">
        <v>699</v>
      </c>
      <c r="C640" s="88">
        <v>20</v>
      </c>
      <c r="D640" s="120">
        <v>0</v>
      </c>
      <c r="E640" s="120">
        <v>1.278753600952829</v>
      </c>
      <c r="F640" s="88" t="s">
        <v>2230</v>
      </c>
      <c r="G640" s="88" t="b">
        <v>0</v>
      </c>
      <c r="H640" s="88" t="b">
        <v>0</v>
      </c>
      <c r="I640" s="88" t="b">
        <v>0</v>
      </c>
      <c r="J640" s="88" t="b">
        <v>0</v>
      </c>
      <c r="K640" s="88" t="b">
        <v>0</v>
      </c>
      <c r="L640" s="88" t="b">
        <v>0</v>
      </c>
    </row>
    <row r="641" spans="1:12" ht="15">
      <c r="A641" s="88" t="s">
        <v>699</v>
      </c>
      <c r="B641" s="88" t="s">
        <v>2308</v>
      </c>
      <c r="C641" s="88">
        <v>20</v>
      </c>
      <c r="D641" s="120">
        <v>0</v>
      </c>
      <c r="E641" s="120">
        <v>1.278753600952829</v>
      </c>
      <c r="F641" s="88" t="s">
        <v>2230</v>
      </c>
      <c r="G641" s="88" t="b">
        <v>0</v>
      </c>
      <c r="H641" s="88" t="b">
        <v>0</v>
      </c>
      <c r="I641" s="88" t="b">
        <v>0</v>
      </c>
      <c r="J641" s="88" t="b">
        <v>0</v>
      </c>
      <c r="K641" s="88" t="b">
        <v>0</v>
      </c>
      <c r="L641" s="88" t="b">
        <v>0</v>
      </c>
    </row>
    <row r="642" spans="1:12" ht="15">
      <c r="A642" s="88" t="s">
        <v>2308</v>
      </c>
      <c r="B642" s="88" t="s">
        <v>2315</v>
      </c>
      <c r="C642" s="88">
        <v>20</v>
      </c>
      <c r="D642" s="120">
        <v>0</v>
      </c>
      <c r="E642" s="120">
        <v>1.278753600952829</v>
      </c>
      <c r="F642" s="88" t="s">
        <v>2230</v>
      </c>
      <c r="G642" s="88" t="b">
        <v>0</v>
      </c>
      <c r="H642" s="88" t="b">
        <v>0</v>
      </c>
      <c r="I642" s="88" t="b">
        <v>0</v>
      </c>
      <c r="J642" s="88" t="b">
        <v>0</v>
      </c>
      <c r="K642" s="88" t="b">
        <v>0</v>
      </c>
      <c r="L642" s="88" t="b">
        <v>0</v>
      </c>
    </row>
    <row r="643" spans="1:12" ht="15">
      <c r="A643" s="88" t="s">
        <v>2315</v>
      </c>
      <c r="B643" s="88" t="s">
        <v>2316</v>
      </c>
      <c r="C643" s="88">
        <v>20</v>
      </c>
      <c r="D643" s="120">
        <v>0</v>
      </c>
      <c r="E643" s="120">
        <v>1.278753600952829</v>
      </c>
      <c r="F643" s="88" t="s">
        <v>2230</v>
      </c>
      <c r="G643" s="88" t="b">
        <v>0</v>
      </c>
      <c r="H643" s="88" t="b">
        <v>0</v>
      </c>
      <c r="I643" s="88" t="b">
        <v>0</v>
      </c>
      <c r="J643" s="88" t="b">
        <v>0</v>
      </c>
      <c r="K643" s="88" t="b">
        <v>0</v>
      </c>
      <c r="L643" s="88" t="b">
        <v>0</v>
      </c>
    </row>
    <row r="644" spans="1:12" ht="15">
      <c r="A644" s="88" t="s">
        <v>2316</v>
      </c>
      <c r="B644" s="88" t="s">
        <v>2317</v>
      </c>
      <c r="C644" s="88">
        <v>20</v>
      </c>
      <c r="D644" s="120">
        <v>0</v>
      </c>
      <c r="E644" s="120">
        <v>1.278753600952829</v>
      </c>
      <c r="F644" s="88" t="s">
        <v>2230</v>
      </c>
      <c r="G644" s="88" t="b">
        <v>0</v>
      </c>
      <c r="H644" s="88" t="b">
        <v>0</v>
      </c>
      <c r="I644" s="88" t="b">
        <v>0</v>
      </c>
      <c r="J644" s="88" t="b">
        <v>0</v>
      </c>
      <c r="K644" s="88" t="b">
        <v>0</v>
      </c>
      <c r="L644" s="88" t="b">
        <v>0</v>
      </c>
    </row>
    <row r="645" spans="1:12" ht="15">
      <c r="A645" s="88" t="s">
        <v>2317</v>
      </c>
      <c r="B645" s="88" t="s">
        <v>534</v>
      </c>
      <c r="C645" s="88">
        <v>20</v>
      </c>
      <c r="D645" s="120">
        <v>0</v>
      </c>
      <c r="E645" s="120">
        <v>1.278753600952829</v>
      </c>
      <c r="F645" s="88" t="s">
        <v>2230</v>
      </c>
      <c r="G645" s="88" t="b">
        <v>0</v>
      </c>
      <c r="H645" s="88" t="b">
        <v>0</v>
      </c>
      <c r="I645" s="88" t="b">
        <v>0</v>
      </c>
      <c r="J645" s="88" t="b">
        <v>0</v>
      </c>
      <c r="K645" s="88" t="b">
        <v>0</v>
      </c>
      <c r="L645" s="88" t="b">
        <v>0</v>
      </c>
    </row>
    <row r="646" spans="1:12" ht="15">
      <c r="A646" s="88" t="s">
        <v>534</v>
      </c>
      <c r="B646" s="88" t="s">
        <v>2294</v>
      </c>
      <c r="C646" s="88">
        <v>20</v>
      </c>
      <c r="D646" s="120">
        <v>0</v>
      </c>
      <c r="E646" s="120">
        <v>1.278753600952829</v>
      </c>
      <c r="F646" s="88" t="s">
        <v>2230</v>
      </c>
      <c r="G646" s="88" t="b">
        <v>0</v>
      </c>
      <c r="H646" s="88" t="b">
        <v>0</v>
      </c>
      <c r="I646" s="88" t="b">
        <v>0</v>
      </c>
      <c r="J646" s="88" t="b">
        <v>0</v>
      </c>
      <c r="K646" s="88" t="b">
        <v>0</v>
      </c>
      <c r="L646" s="88" t="b">
        <v>0</v>
      </c>
    </row>
    <row r="647" spans="1:12" ht="15">
      <c r="A647" s="88" t="s">
        <v>2294</v>
      </c>
      <c r="B647" s="88" t="s">
        <v>2318</v>
      </c>
      <c r="C647" s="88">
        <v>20</v>
      </c>
      <c r="D647" s="120">
        <v>0</v>
      </c>
      <c r="E647" s="120">
        <v>1.278753600952829</v>
      </c>
      <c r="F647" s="88" t="s">
        <v>2230</v>
      </c>
      <c r="G647" s="88" t="b">
        <v>0</v>
      </c>
      <c r="H647" s="88" t="b">
        <v>0</v>
      </c>
      <c r="I647" s="88" t="b">
        <v>0</v>
      </c>
      <c r="J647" s="88" t="b">
        <v>0</v>
      </c>
      <c r="K647" s="88" t="b">
        <v>0</v>
      </c>
      <c r="L647" s="88" t="b">
        <v>0</v>
      </c>
    </row>
    <row r="648" spans="1:12" ht="15">
      <c r="A648" s="88" t="s">
        <v>2318</v>
      </c>
      <c r="B648" s="88" t="s">
        <v>2319</v>
      </c>
      <c r="C648" s="88">
        <v>20</v>
      </c>
      <c r="D648" s="120">
        <v>0</v>
      </c>
      <c r="E648" s="120">
        <v>1.278753600952829</v>
      </c>
      <c r="F648" s="88" t="s">
        <v>2230</v>
      </c>
      <c r="G648" s="88" t="b">
        <v>0</v>
      </c>
      <c r="H648" s="88" t="b">
        <v>0</v>
      </c>
      <c r="I648" s="88" t="b">
        <v>0</v>
      </c>
      <c r="J648" s="88" t="b">
        <v>0</v>
      </c>
      <c r="K648" s="88" t="b">
        <v>0</v>
      </c>
      <c r="L648" s="88" t="b">
        <v>0</v>
      </c>
    </row>
    <row r="649" spans="1:12" ht="15">
      <c r="A649" s="88" t="s">
        <v>2319</v>
      </c>
      <c r="B649" s="88" t="s">
        <v>2320</v>
      </c>
      <c r="C649" s="88">
        <v>20</v>
      </c>
      <c r="D649" s="120">
        <v>0</v>
      </c>
      <c r="E649" s="120">
        <v>1.278753600952829</v>
      </c>
      <c r="F649" s="88" t="s">
        <v>2230</v>
      </c>
      <c r="G649" s="88" t="b">
        <v>0</v>
      </c>
      <c r="H649" s="88" t="b">
        <v>0</v>
      </c>
      <c r="I649" s="88" t="b">
        <v>0</v>
      </c>
      <c r="J649" s="88" t="b">
        <v>0</v>
      </c>
      <c r="K649" s="88" t="b">
        <v>0</v>
      </c>
      <c r="L649" s="88" t="b">
        <v>0</v>
      </c>
    </row>
    <row r="650" spans="1:12" ht="15">
      <c r="A650" s="88" t="s">
        <v>2320</v>
      </c>
      <c r="B650" s="88" t="s">
        <v>2321</v>
      </c>
      <c r="C650" s="88">
        <v>20</v>
      </c>
      <c r="D650" s="120">
        <v>0</v>
      </c>
      <c r="E650" s="120">
        <v>1.278753600952829</v>
      </c>
      <c r="F650" s="88" t="s">
        <v>2230</v>
      </c>
      <c r="G650" s="88" t="b">
        <v>0</v>
      </c>
      <c r="H650" s="88" t="b">
        <v>0</v>
      </c>
      <c r="I650" s="88" t="b">
        <v>0</v>
      </c>
      <c r="J650" s="88" t="b">
        <v>0</v>
      </c>
      <c r="K650" s="88" t="b">
        <v>1</v>
      </c>
      <c r="L650" s="88" t="b">
        <v>0</v>
      </c>
    </row>
    <row r="651" spans="1:12" ht="15">
      <c r="A651" s="88" t="s">
        <v>2321</v>
      </c>
      <c r="B651" s="88" t="s">
        <v>2322</v>
      </c>
      <c r="C651" s="88">
        <v>20</v>
      </c>
      <c r="D651" s="120">
        <v>0</v>
      </c>
      <c r="E651" s="120">
        <v>1.278753600952829</v>
      </c>
      <c r="F651" s="88" t="s">
        <v>2230</v>
      </c>
      <c r="G651" s="88" t="b">
        <v>0</v>
      </c>
      <c r="H651" s="88" t="b">
        <v>1</v>
      </c>
      <c r="I651" s="88" t="b">
        <v>0</v>
      </c>
      <c r="J651" s="88" t="b">
        <v>0</v>
      </c>
      <c r="K651" s="88" t="b">
        <v>0</v>
      </c>
      <c r="L651" s="88" t="b">
        <v>0</v>
      </c>
    </row>
    <row r="652" spans="1:12" ht="15">
      <c r="A652" s="88" t="s">
        <v>2322</v>
      </c>
      <c r="B652" s="88" t="s">
        <v>2271</v>
      </c>
      <c r="C652" s="88">
        <v>20</v>
      </c>
      <c r="D652" s="120">
        <v>0</v>
      </c>
      <c r="E652" s="120">
        <v>1.278753600952829</v>
      </c>
      <c r="F652" s="88" t="s">
        <v>2230</v>
      </c>
      <c r="G652" s="88" t="b">
        <v>0</v>
      </c>
      <c r="H652" s="88" t="b">
        <v>0</v>
      </c>
      <c r="I652" s="88" t="b">
        <v>0</v>
      </c>
      <c r="J652" s="88" t="b">
        <v>0</v>
      </c>
      <c r="K652" s="88" t="b">
        <v>0</v>
      </c>
      <c r="L652" s="88" t="b">
        <v>0</v>
      </c>
    </row>
    <row r="653" spans="1:12" ht="15">
      <c r="A653" s="88" t="s">
        <v>2296</v>
      </c>
      <c r="B653" s="88" t="s">
        <v>2342</v>
      </c>
      <c r="C653" s="88">
        <v>9</v>
      </c>
      <c r="D653" s="120">
        <v>0.007332913591299533</v>
      </c>
      <c r="E653" s="120">
        <v>1.553613362256506</v>
      </c>
      <c r="F653" s="88" t="s">
        <v>2231</v>
      </c>
      <c r="G653" s="88" t="b">
        <v>0</v>
      </c>
      <c r="H653" s="88" t="b">
        <v>0</v>
      </c>
      <c r="I653" s="88" t="b">
        <v>0</v>
      </c>
      <c r="J653" s="88" t="b">
        <v>0</v>
      </c>
      <c r="K653" s="88" t="b">
        <v>0</v>
      </c>
      <c r="L653" s="88" t="b">
        <v>0</v>
      </c>
    </row>
    <row r="654" spans="1:12" ht="15">
      <c r="A654" s="88" t="s">
        <v>2379</v>
      </c>
      <c r="B654" s="88" t="s">
        <v>2296</v>
      </c>
      <c r="C654" s="88">
        <v>7</v>
      </c>
      <c r="D654" s="120">
        <v>0.007957097845274689</v>
      </c>
      <c r="E654" s="120">
        <v>1.553613362256506</v>
      </c>
      <c r="F654" s="88" t="s">
        <v>2231</v>
      </c>
      <c r="G654" s="88" t="b">
        <v>1</v>
      </c>
      <c r="H654" s="88" t="b">
        <v>0</v>
      </c>
      <c r="I654" s="88" t="b">
        <v>0</v>
      </c>
      <c r="J654" s="88" t="b">
        <v>0</v>
      </c>
      <c r="K654" s="88" t="b">
        <v>0</v>
      </c>
      <c r="L654" s="88" t="b">
        <v>0</v>
      </c>
    </row>
    <row r="655" spans="1:12" ht="15">
      <c r="A655" s="88" t="s">
        <v>2342</v>
      </c>
      <c r="B655" s="88" t="s">
        <v>2380</v>
      </c>
      <c r="C655" s="88">
        <v>7</v>
      </c>
      <c r="D655" s="120">
        <v>0.007957097845274689</v>
      </c>
      <c r="E655" s="120">
        <v>1.553613362256506</v>
      </c>
      <c r="F655" s="88" t="s">
        <v>2231</v>
      </c>
      <c r="G655" s="88" t="b">
        <v>0</v>
      </c>
      <c r="H655" s="88" t="b">
        <v>0</v>
      </c>
      <c r="I655" s="88" t="b">
        <v>0</v>
      </c>
      <c r="J655" s="88" t="b">
        <v>0</v>
      </c>
      <c r="K655" s="88" t="b">
        <v>0</v>
      </c>
      <c r="L655" s="88" t="b">
        <v>0</v>
      </c>
    </row>
    <row r="656" spans="1:12" ht="15">
      <c r="A656" s="88" t="s">
        <v>2380</v>
      </c>
      <c r="B656" s="88" t="s">
        <v>2332</v>
      </c>
      <c r="C656" s="88">
        <v>7</v>
      </c>
      <c r="D656" s="120">
        <v>0.007957097845274689</v>
      </c>
      <c r="E656" s="120">
        <v>1.3617278360175928</v>
      </c>
      <c r="F656" s="88" t="s">
        <v>2231</v>
      </c>
      <c r="G656" s="88" t="b">
        <v>0</v>
      </c>
      <c r="H656" s="88" t="b">
        <v>0</v>
      </c>
      <c r="I656" s="88" t="b">
        <v>0</v>
      </c>
      <c r="J656" s="88" t="b">
        <v>0</v>
      </c>
      <c r="K656" s="88" t="b">
        <v>0</v>
      </c>
      <c r="L656" s="88" t="b">
        <v>0</v>
      </c>
    </row>
    <row r="657" spans="1:12" ht="15">
      <c r="A657" s="88" t="s">
        <v>2332</v>
      </c>
      <c r="B657" s="88" t="s">
        <v>699</v>
      </c>
      <c r="C657" s="88">
        <v>7</v>
      </c>
      <c r="D657" s="120">
        <v>0.007957097845274689</v>
      </c>
      <c r="E657" s="120">
        <v>1.3617278360175928</v>
      </c>
      <c r="F657" s="88" t="s">
        <v>2231</v>
      </c>
      <c r="G657" s="88" t="b">
        <v>0</v>
      </c>
      <c r="H657" s="88" t="b">
        <v>0</v>
      </c>
      <c r="I657" s="88" t="b">
        <v>0</v>
      </c>
      <c r="J657" s="88" t="b">
        <v>0</v>
      </c>
      <c r="K657" s="88" t="b">
        <v>0</v>
      </c>
      <c r="L657" s="88" t="b">
        <v>0</v>
      </c>
    </row>
    <row r="658" spans="1:12" ht="15">
      <c r="A658" s="88" t="s">
        <v>699</v>
      </c>
      <c r="B658" s="88" t="s">
        <v>2381</v>
      </c>
      <c r="C658" s="88">
        <v>7</v>
      </c>
      <c r="D658" s="120">
        <v>0.007957097845274689</v>
      </c>
      <c r="E658" s="120">
        <v>1.662757831681574</v>
      </c>
      <c r="F658" s="88" t="s">
        <v>2231</v>
      </c>
      <c r="G658" s="88" t="b">
        <v>0</v>
      </c>
      <c r="H658" s="88" t="b">
        <v>0</v>
      </c>
      <c r="I658" s="88" t="b">
        <v>0</v>
      </c>
      <c r="J658" s="88" t="b">
        <v>0</v>
      </c>
      <c r="K658" s="88" t="b">
        <v>0</v>
      </c>
      <c r="L658" s="88" t="b">
        <v>0</v>
      </c>
    </row>
    <row r="659" spans="1:12" ht="15">
      <c r="A659" s="88" t="s">
        <v>2381</v>
      </c>
      <c r="B659" s="88" t="s">
        <v>2382</v>
      </c>
      <c r="C659" s="88">
        <v>7</v>
      </c>
      <c r="D659" s="120">
        <v>0.007957097845274689</v>
      </c>
      <c r="E659" s="120">
        <v>1.662757831681574</v>
      </c>
      <c r="F659" s="88" t="s">
        <v>2231</v>
      </c>
      <c r="G659" s="88" t="b">
        <v>0</v>
      </c>
      <c r="H659" s="88" t="b">
        <v>0</v>
      </c>
      <c r="I659" s="88" t="b">
        <v>0</v>
      </c>
      <c r="J659" s="88" t="b">
        <v>0</v>
      </c>
      <c r="K659" s="88" t="b">
        <v>0</v>
      </c>
      <c r="L659" s="88" t="b">
        <v>0</v>
      </c>
    </row>
    <row r="660" spans="1:12" ht="15">
      <c r="A660" s="88" t="s">
        <v>2382</v>
      </c>
      <c r="B660" s="88" t="s">
        <v>2339</v>
      </c>
      <c r="C660" s="88">
        <v>7</v>
      </c>
      <c r="D660" s="120">
        <v>0.007957097845274689</v>
      </c>
      <c r="E660" s="120">
        <v>1.662757831681574</v>
      </c>
      <c r="F660" s="88" t="s">
        <v>2231</v>
      </c>
      <c r="G660" s="88" t="b">
        <v>0</v>
      </c>
      <c r="H660" s="88" t="b">
        <v>0</v>
      </c>
      <c r="I660" s="88" t="b">
        <v>0</v>
      </c>
      <c r="J660" s="88" t="b">
        <v>0</v>
      </c>
      <c r="K660" s="88" t="b">
        <v>0</v>
      </c>
      <c r="L660" s="88" t="b">
        <v>0</v>
      </c>
    </row>
    <row r="661" spans="1:12" ht="15">
      <c r="A661" s="88" t="s">
        <v>2339</v>
      </c>
      <c r="B661" s="88" t="s">
        <v>2383</v>
      </c>
      <c r="C661" s="88">
        <v>7</v>
      </c>
      <c r="D661" s="120">
        <v>0.007957097845274689</v>
      </c>
      <c r="E661" s="120">
        <v>1.662757831681574</v>
      </c>
      <c r="F661" s="88" t="s">
        <v>2231</v>
      </c>
      <c r="G661" s="88" t="b">
        <v>0</v>
      </c>
      <c r="H661" s="88" t="b">
        <v>0</v>
      </c>
      <c r="I661" s="88" t="b">
        <v>0</v>
      </c>
      <c r="J661" s="88" t="b">
        <v>0</v>
      </c>
      <c r="K661" s="88" t="b">
        <v>0</v>
      </c>
      <c r="L661" s="88" t="b">
        <v>0</v>
      </c>
    </row>
    <row r="662" spans="1:12" ht="15">
      <c r="A662" s="88" t="s">
        <v>2383</v>
      </c>
      <c r="B662" s="88" t="s">
        <v>2384</v>
      </c>
      <c r="C662" s="88">
        <v>7</v>
      </c>
      <c r="D662" s="120">
        <v>0.007957097845274689</v>
      </c>
      <c r="E662" s="120">
        <v>1.662757831681574</v>
      </c>
      <c r="F662" s="88" t="s">
        <v>2231</v>
      </c>
      <c r="G662" s="88" t="b">
        <v>0</v>
      </c>
      <c r="H662" s="88" t="b">
        <v>0</v>
      </c>
      <c r="I662" s="88" t="b">
        <v>0</v>
      </c>
      <c r="J662" s="88" t="b">
        <v>0</v>
      </c>
      <c r="K662" s="88" t="b">
        <v>0</v>
      </c>
      <c r="L662" s="88" t="b">
        <v>0</v>
      </c>
    </row>
    <row r="663" spans="1:12" ht="15">
      <c r="A663" s="88" t="s">
        <v>2384</v>
      </c>
      <c r="B663" s="88" t="s">
        <v>2343</v>
      </c>
      <c r="C663" s="88">
        <v>7</v>
      </c>
      <c r="D663" s="120">
        <v>0.007957097845274689</v>
      </c>
      <c r="E663" s="120">
        <v>1.662757831681574</v>
      </c>
      <c r="F663" s="88" t="s">
        <v>2231</v>
      </c>
      <c r="G663" s="88" t="b">
        <v>0</v>
      </c>
      <c r="H663" s="88" t="b">
        <v>0</v>
      </c>
      <c r="I663" s="88" t="b">
        <v>0</v>
      </c>
      <c r="J663" s="88" t="b">
        <v>0</v>
      </c>
      <c r="K663" s="88" t="b">
        <v>0</v>
      </c>
      <c r="L663" s="88" t="b">
        <v>0</v>
      </c>
    </row>
    <row r="664" spans="1:12" ht="15">
      <c r="A664" s="88" t="s">
        <v>2343</v>
      </c>
      <c r="B664" s="88" t="s">
        <v>2385</v>
      </c>
      <c r="C664" s="88">
        <v>7</v>
      </c>
      <c r="D664" s="120">
        <v>0.007957097845274689</v>
      </c>
      <c r="E664" s="120">
        <v>1.662757831681574</v>
      </c>
      <c r="F664" s="88" t="s">
        <v>2231</v>
      </c>
      <c r="G664" s="88" t="b">
        <v>0</v>
      </c>
      <c r="H664" s="88" t="b">
        <v>0</v>
      </c>
      <c r="I664" s="88" t="b">
        <v>0</v>
      </c>
      <c r="J664" s="88" t="b">
        <v>1</v>
      </c>
      <c r="K664" s="88" t="b">
        <v>0</v>
      </c>
      <c r="L664" s="88" t="b">
        <v>0</v>
      </c>
    </row>
    <row r="665" spans="1:12" ht="15">
      <c r="A665" s="88" t="s">
        <v>2385</v>
      </c>
      <c r="B665" s="88" t="s">
        <v>2386</v>
      </c>
      <c r="C665" s="88">
        <v>7</v>
      </c>
      <c r="D665" s="120">
        <v>0.007957097845274689</v>
      </c>
      <c r="E665" s="120">
        <v>1.662757831681574</v>
      </c>
      <c r="F665" s="88" t="s">
        <v>2231</v>
      </c>
      <c r="G665" s="88" t="b">
        <v>1</v>
      </c>
      <c r="H665" s="88" t="b">
        <v>0</v>
      </c>
      <c r="I665" s="88" t="b">
        <v>0</v>
      </c>
      <c r="J665" s="88" t="b">
        <v>0</v>
      </c>
      <c r="K665" s="88" t="b">
        <v>0</v>
      </c>
      <c r="L665" s="88" t="b">
        <v>0</v>
      </c>
    </row>
    <row r="666" spans="1:12" ht="15">
      <c r="A666" s="88" t="s">
        <v>2386</v>
      </c>
      <c r="B666" s="88" t="s">
        <v>2332</v>
      </c>
      <c r="C666" s="88">
        <v>7</v>
      </c>
      <c r="D666" s="120">
        <v>0.007957097845274689</v>
      </c>
      <c r="E666" s="120">
        <v>1.3617278360175928</v>
      </c>
      <c r="F666" s="88" t="s">
        <v>2231</v>
      </c>
      <c r="G666" s="88" t="b">
        <v>0</v>
      </c>
      <c r="H666" s="88" t="b">
        <v>0</v>
      </c>
      <c r="I666" s="88" t="b">
        <v>0</v>
      </c>
      <c r="J666" s="88" t="b">
        <v>0</v>
      </c>
      <c r="K666" s="88" t="b">
        <v>0</v>
      </c>
      <c r="L666" s="88" t="b">
        <v>0</v>
      </c>
    </row>
    <row r="667" spans="1:12" ht="15">
      <c r="A667" s="88" t="s">
        <v>2332</v>
      </c>
      <c r="B667" s="88" t="s">
        <v>2387</v>
      </c>
      <c r="C667" s="88">
        <v>7</v>
      </c>
      <c r="D667" s="120">
        <v>0.007957097845274689</v>
      </c>
      <c r="E667" s="120">
        <v>1.3617278360175928</v>
      </c>
      <c r="F667" s="88" t="s">
        <v>2231</v>
      </c>
      <c r="G667" s="88" t="b">
        <v>0</v>
      </c>
      <c r="H667" s="88" t="b">
        <v>0</v>
      </c>
      <c r="I667" s="88" t="b">
        <v>0</v>
      </c>
      <c r="J667" s="88" t="b">
        <v>0</v>
      </c>
      <c r="K667" s="88" t="b">
        <v>0</v>
      </c>
      <c r="L667" s="88" t="b">
        <v>0</v>
      </c>
    </row>
    <row r="668" spans="1:12" ht="15">
      <c r="A668" s="88" t="s">
        <v>2387</v>
      </c>
      <c r="B668" s="88" t="s">
        <v>525</v>
      </c>
      <c r="C668" s="88">
        <v>7</v>
      </c>
      <c r="D668" s="120">
        <v>0.007957097845274689</v>
      </c>
      <c r="E668" s="120">
        <v>1.662757831681574</v>
      </c>
      <c r="F668" s="88" t="s">
        <v>2231</v>
      </c>
      <c r="G668" s="88" t="b">
        <v>0</v>
      </c>
      <c r="H668" s="88" t="b">
        <v>0</v>
      </c>
      <c r="I668" s="88" t="b">
        <v>0</v>
      </c>
      <c r="J668" s="88" t="b">
        <v>0</v>
      </c>
      <c r="K668" s="88" t="b">
        <v>0</v>
      </c>
      <c r="L668" s="88" t="b">
        <v>0</v>
      </c>
    </row>
    <row r="669" spans="1:12" ht="15">
      <c r="A669" s="88" t="s">
        <v>525</v>
      </c>
      <c r="B669" s="88" t="s">
        <v>524</v>
      </c>
      <c r="C669" s="88">
        <v>7</v>
      </c>
      <c r="D669" s="120">
        <v>0.007957097845274689</v>
      </c>
      <c r="E669" s="120">
        <v>1.662757831681574</v>
      </c>
      <c r="F669" s="88" t="s">
        <v>2231</v>
      </c>
      <c r="G669" s="88" t="b">
        <v>0</v>
      </c>
      <c r="H669" s="88" t="b">
        <v>0</v>
      </c>
      <c r="I669" s="88" t="b">
        <v>0</v>
      </c>
      <c r="J669" s="88" t="b">
        <v>0</v>
      </c>
      <c r="K669" s="88" t="b">
        <v>0</v>
      </c>
      <c r="L669" s="88" t="b">
        <v>0</v>
      </c>
    </row>
    <row r="670" spans="1:12" ht="15">
      <c r="A670" s="88" t="s">
        <v>524</v>
      </c>
      <c r="B670" s="88" t="s">
        <v>2271</v>
      </c>
      <c r="C670" s="88">
        <v>7</v>
      </c>
      <c r="D670" s="120">
        <v>0.007957097845274689</v>
      </c>
      <c r="E670" s="120">
        <v>1.277406950317557</v>
      </c>
      <c r="F670" s="88" t="s">
        <v>2231</v>
      </c>
      <c r="G670" s="88" t="b">
        <v>0</v>
      </c>
      <c r="H670" s="88" t="b">
        <v>0</v>
      </c>
      <c r="I670" s="88" t="b">
        <v>0</v>
      </c>
      <c r="J670" s="88" t="b">
        <v>0</v>
      </c>
      <c r="K670" s="88" t="b">
        <v>0</v>
      </c>
      <c r="L670" s="88" t="b">
        <v>0</v>
      </c>
    </row>
    <row r="671" spans="1:12" ht="15">
      <c r="A671" s="88" t="s">
        <v>2271</v>
      </c>
      <c r="B671" s="88" t="s">
        <v>2293</v>
      </c>
      <c r="C671" s="88">
        <v>7</v>
      </c>
      <c r="D671" s="120">
        <v>0.007957097845274689</v>
      </c>
      <c r="E671" s="120">
        <v>1.1225049903318138</v>
      </c>
      <c r="F671" s="88" t="s">
        <v>2231</v>
      </c>
      <c r="G671" s="88" t="b">
        <v>0</v>
      </c>
      <c r="H671" s="88" t="b">
        <v>0</v>
      </c>
      <c r="I671" s="88" t="b">
        <v>0</v>
      </c>
      <c r="J671" s="88" t="b">
        <v>0</v>
      </c>
      <c r="K671" s="88" t="b">
        <v>0</v>
      </c>
      <c r="L671" s="88" t="b">
        <v>0</v>
      </c>
    </row>
    <row r="672" spans="1:12" ht="15">
      <c r="A672" s="88" t="s">
        <v>2410</v>
      </c>
      <c r="B672" s="88" t="s">
        <v>2411</v>
      </c>
      <c r="C672" s="88">
        <v>5</v>
      </c>
      <c r="D672" s="120">
        <v>0.00783892208026925</v>
      </c>
      <c r="E672" s="120">
        <v>1.808885867359812</v>
      </c>
      <c r="F672" s="88" t="s">
        <v>2231</v>
      </c>
      <c r="G672" s="88" t="b">
        <v>0</v>
      </c>
      <c r="H672" s="88" t="b">
        <v>0</v>
      </c>
      <c r="I672" s="88" t="b">
        <v>0</v>
      </c>
      <c r="J672" s="88" t="b">
        <v>0</v>
      </c>
      <c r="K672" s="88" t="b">
        <v>0</v>
      </c>
      <c r="L672" s="88" t="b">
        <v>0</v>
      </c>
    </row>
    <row r="673" spans="1:12" ht="15">
      <c r="A673" s="88" t="s">
        <v>2411</v>
      </c>
      <c r="B673" s="88" t="s">
        <v>2388</v>
      </c>
      <c r="C673" s="88">
        <v>5</v>
      </c>
      <c r="D673" s="120">
        <v>0.00783892208026925</v>
      </c>
      <c r="E673" s="120">
        <v>1.808885867359812</v>
      </c>
      <c r="F673" s="88" t="s">
        <v>2231</v>
      </c>
      <c r="G673" s="88" t="b">
        <v>0</v>
      </c>
      <c r="H673" s="88" t="b">
        <v>0</v>
      </c>
      <c r="I673" s="88" t="b">
        <v>0</v>
      </c>
      <c r="J673" s="88" t="b">
        <v>0</v>
      </c>
      <c r="K673" s="88" t="b">
        <v>0</v>
      </c>
      <c r="L673" s="88" t="b">
        <v>0</v>
      </c>
    </row>
    <row r="674" spans="1:12" ht="15">
      <c r="A674" s="88" t="s">
        <v>2388</v>
      </c>
      <c r="B674" s="88" t="s">
        <v>2412</v>
      </c>
      <c r="C674" s="88">
        <v>5</v>
      </c>
      <c r="D674" s="120">
        <v>0.00783892208026925</v>
      </c>
      <c r="E674" s="120">
        <v>1.808885867359812</v>
      </c>
      <c r="F674" s="88" t="s">
        <v>2231</v>
      </c>
      <c r="G674" s="88" t="b">
        <v>0</v>
      </c>
      <c r="H674" s="88" t="b">
        <v>0</v>
      </c>
      <c r="I674" s="88" t="b">
        <v>0</v>
      </c>
      <c r="J674" s="88" t="b">
        <v>0</v>
      </c>
      <c r="K674" s="88" t="b">
        <v>0</v>
      </c>
      <c r="L674" s="88" t="b">
        <v>0</v>
      </c>
    </row>
    <row r="675" spans="1:12" ht="15">
      <c r="A675" s="88" t="s">
        <v>2412</v>
      </c>
      <c r="B675" s="88" t="s">
        <v>2413</v>
      </c>
      <c r="C675" s="88">
        <v>5</v>
      </c>
      <c r="D675" s="120">
        <v>0.00783892208026925</v>
      </c>
      <c r="E675" s="120">
        <v>1.808885867359812</v>
      </c>
      <c r="F675" s="88" t="s">
        <v>2231</v>
      </c>
      <c r="G675" s="88" t="b">
        <v>0</v>
      </c>
      <c r="H675" s="88" t="b">
        <v>0</v>
      </c>
      <c r="I675" s="88" t="b">
        <v>0</v>
      </c>
      <c r="J675" s="88" t="b">
        <v>0</v>
      </c>
      <c r="K675" s="88" t="b">
        <v>0</v>
      </c>
      <c r="L675" s="88" t="b">
        <v>0</v>
      </c>
    </row>
    <row r="676" spans="1:12" ht="15">
      <c r="A676" s="88" t="s">
        <v>2413</v>
      </c>
      <c r="B676" s="88" t="s">
        <v>2294</v>
      </c>
      <c r="C676" s="88">
        <v>5</v>
      </c>
      <c r="D676" s="120">
        <v>0.00783892208026925</v>
      </c>
      <c r="E676" s="120">
        <v>1.662757831681574</v>
      </c>
      <c r="F676" s="88" t="s">
        <v>2231</v>
      </c>
      <c r="G676" s="88" t="b">
        <v>0</v>
      </c>
      <c r="H676" s="88" t="b">
        <v>0</v>
      </c>
      <c r="I676" s="88" t="b">
        <v>0</v>
      </c>
      <c r="J676" s="88" t="b">
        <v>0</v>
      </c>
      <c r="K676" s="88" t="b">
        <v>0</v>
      </c>
      <c r="L676" s="88" t="b">
        <v>0</v>
      </c>
    </row>
    <row r="677" spans="1:12" ht="15">
      <c r="A677" s="88" t="s">
        <v>2294</v>
      </c>
      <c r="B677" s="88" t="s">
        <v>2414</v>
      </c>
      <c r="C677" s="88">
        <v>5</v>
      </c>
      <c r="D677" s="120">
        <v>0.00783892208026925</v>
      </c>
      <c r="E677" s="120">
        <v>1.662757831681574</v>
      </c>
      <c r="F677" s="88" t="s">
        <v>2231</v>
      </c>
      <c r="G677" s="88" t="b">
        <v>0</v>
      </c>
      <c r="H677" s="88" t="b">
        <v>0</v>
      </c>
      <c r="I677" s="88" t="b">
        <v>0</v>
      </c>
      <c r="J677" s="88" t="b">
        <v>0</v>
      </c>
      <c r="K677" s="88" t="b">
        <v>0</v>
      </c>
      <c r="L677" s="88" t="b">
        <v>0</v>
      </c>
    </row>
    <row r="678" spans="1:12" ht="15">
      <c r="A678" s="88" t="s">
        <v>2414</v>
      </c>
      <c r="B678" s="88" t="s">
        <v>2415</v>
      </c>
      <c r="C678" s="88">
        <v>5</v>
      </c>
      <c r="D678" s="120">
        <v>0.00783892208026925</v>
      </c>
      <c r="E678" s="120">
        <v>1.808885867359812</v>
      </c>
      <c r="F678" s="88" t="s">
        <v>2231</v>
      </c>
      <c r="G678" s="88" t="b">
        <v>0</v>
      </c>
      <c r="H678" s="88" t="b">
        <v>0</v>
      </c>
      <c r="I678" s="88" t="b">
        <v>0</v>
      </c>
      <c r="J678" s="88" t="b">
        <v>0</v>
      </c>
      <c r="K678" s="88" t="b">
        <v>0</v>
      </c>
      <c r="L678" s="88" t="b">
        <v>0</v>
      </c>
    </row>
    <row r="679" spans="1:12" ht="15">
      <c r="A679" s="88" t="s">
        <v>2415</v>
      </c>
      <c r="B679" s="88" t="s">
        <v>2293</v>
      </c>
      <c r="C679" s="88">
        <v>5</v>
      </c>
      <c r="D679" s="120">
        <v>0.00783892208026925</v>
      </c>
      <c r="E679" s="120">
        <v>1.277406950317557</v>
      </c>
      <c r="F679" s="88" t="s">
        <v>2231</v>
      </c>
      <c r="G679" s="88" t="b">
        <v>0</v>
      </c>
      <c r="H679" s="88" t="b">
        <v>0</v>
      </c>
      <c r="I679" s="88" t="b">
        <v>0</v>
      </c>
      <c r="J679" s="88" t="b">
        <v>0</v>
      </c>
      <c r="K679" s="88" t="b">
        <v>0</v>
      </c>
      <c r="L679" s="88" t="b">
        <v>0</v>
      </c>
    </row>
    <row r="680" spans="1:12" ht="15">
      <c r="A680" s="88" t="s">
        <v>2293</v>
      </c>
      <c r="B680" s="88" t="s">
        <v>2416</v>
      </c>
      <c r="C680" s="88">
        <v>5</v>
      </c>
      <c r="D680" s="120">
        <v>0.00783892208026925</v>
      </c>
      <c r="E680" s="120">
        <v>1.507855871695831</v>
      </c>
      <c r="F680" s="88" t="s">
        <v>2231</v>
      </c>
      <c r="G680" s="88" t="b">
        <v>0</v>
      </c>
      <c r="H680" s="88" t="b">
        <v>0</v>
      </c>
      <c r="I680" s="88" t="b">
        <v>0</v>
      </c>
      <c r="J680" s="88" t="b">
        <v>0</v>
      </c>
      <c r="K680" s="88" t="b">
        <v>0</v>
      </c>
      <c r="L680" s="88" t="b">
        <v>0</v>
      </c>
    </row>
    <row r="681" spans="1:12" ht="15">
      <c r="A681" s="88" t="s">
        <v>2416</v>
      </c>
      <c r="B681" s="88" t="s">
        <v>2340</v>
      </c>
      <c r="C681" s="88">
        <v>5</v>
      </c>
      <c r="D681" s="120">
        <v>0.00783892208026925</v>
      </c>
      <c r="E681" s="120">
        <v>1.507855871695831</v>
      </c>
      <c r="F681" s="88" t="s">
        <v>2231</v>
      </c>
      <c r="G681" s="88" t="b">
        <v>0</v>
      </c>
      <c r="H681" s="88" t="b">
        <v>0</v>
      </c>
      <c r="I681" s="88" t="b">
        <v>0</v>
      </c>
      <c r="J681" s="88" t="b">
        <v>0</v>
      </c>
      <c r="K681" s="88" t="b">
        <v>0</v>
      </c>
      <c r="L681" s="88" t="b">
        <v>0</v>
      </c>
    </row>
    <row r="682" spans="1:12" ht="15">
      <c r="A682" s="88" t="s">
        <v>2340</v>
      </c>
      <c r="B682" s="88" t="s">
        <v>2417</v>
      </c>
      <c r="C682" s="88">
        <v>5</v>
      </c>
      <c r="D682" s="120">
        <v>0.00783892208026925</v>
      </c>
      <c r="E682" s="120">
        <v>1.507855871695831</v>
      </c>
      <c r="F682" s="88" t="s">
        <v>2231</v>
      </c>
      <c r="G682" s="88" t="b">
        <v>0</v>
      </c>
      <c r="H682" s="88" t="b">
        <v>0</v>
      </c>
      <c r="I682" s="88" t="b">
        <v>0</v>
      </c>
      <c r="J682" s="88" t="b">
        <v>0</v>
      </c>
      <c r="K682" s="88" t="b">
        <v>0</v>
      </c>
      <c r="L682" s="88" t="b">
        <v>0</v>
      </c>
    </row>
    <row r="683" spans="1:12" ht="15">
      <c r="A683" s="88" t="s">
        <v>2417</v>
      </c>
      <c r="B683" s="88" t="s">
        <v>2418</v>
      </c>
      <c r="C683" s="88">
        <v>5</v>
      </c>
      <c r="D683" s="120">
        <v>0.00783892208026925</v>
      </c>
      <c r="E683" s="120">
        <v>1.808885867359812</v>
      </c>
      <c r="F683" s="88" t="s">
        <v>2231</v>
      </c>
      <c r="G683" s="88" t="b">
        <v>0</v>
      </c>
      <c r="H683" s="88" t="b">
        <v>0</v>
      </c>
      <c r="I683" s="88" t="b">
        <v>0</v>
      </c>
      <c r="J683" s="88" t="b">
        <v>1</v>
      </c>
      <c r="K683" s="88" t="b">
        <v>0</v>
      </c>
      <c r="L683" s="88" t="b">
        <v>0</v>
      </c>
    </row>
    <row r="684" spans="1:12" ht="15">
      <c r="A684" s="88" t="s">
        <v>2418</v>
      </c>
      <c r="B684" s="88" t="s">
        <v>2340</v>
      </c>
      <c r="C684" s="88">
        <v>5</v>
      </c>
      <c r="D684" s="120">
        <v>0.00783892208026925</v>
      </c>
      <c r="E684" s="120">
        <v>1.507855871695831</v>
      </c>
      <c r="F684" s="88" t="s">
        <v>2231</v>
      </c>
      <c r="G684" s="88" t="b">
        <v>1</v>
      </c>
      <c r="H684" s="88" t="b">
        <v>0</v>
      </c>
      <c r="I684" s="88" t="b">
        <v>0</v>
      </c>
      <c r="J684" s="88" t="b">
        <v>0</v>
      </c>
      <c r="K684" s="88" t="b">
        <v>0</v>
      </c>
      <c r="L684" s="88" t="b">
        <v>0</v>
      </c>
    </row>
    <row r="685" spans="1:12" ht="15">
      <c r="A685" s="88" t="s">
        <v>2340</v>
      </c>
      <c r="B685" s="88" t="s">
        <v>2419</v>
      </c>
      <c r="C685" s="88">
        <v>5</v>
      </c>
      <c r="D685" s="120">
        <v>0.00783892208026925</v>
      </c>
      <c r="E685" s="120">
        <v>1.507855871695831</v>
      </c>
      <c r="F685" s="88" t="s">
        <v>2231</v>
      </c>
      <c r="G685" s="88" t="b">
        <v>0</v>
      </c>
      <c r="H685" s="88" t="b">
        <v>0</v>
      </c>
      <c r="I685" s="88" t="b">
        <v>0</v>
      </c>
      <c r="J685" s="88" t="b">
        <v>0</v>
      </c>
      <c r="K685" s="88" t="b">
        <v>0</v>
      </c>
      <c r="L685" s="88" t="b">
        <v>0</v>
      </c>
    </row>
    <row r="686" spans="1:12" ht="15">
      <c r="A686" s="88" t="s">
        <v>2419</v>
      </c>
      <c r="B686" s="88" t="s">
        <v>2271</v>
      </c>
      <c r="C686" s="88">
        <v>5</v>
      </c>
      <c r="D686" s="120">
        <v>0.00783892208026925</v>
      </c>
      <c r="E686" s="120">
        <v>1.277406950317557</v>
      </c>
      <c r="F686" s="88" t="s">
        <v>2231</v>
      </c>
      <c r="G686" s="88" t="b">
        <v>0</v>
      </c>
      <c r="H686" s="88" t="b">
        <v>0</v>
      </c>
      <c r="I686" s="88" t="b">
        <v>0</v>
      </c>
      <c r="J686" s="88" t="b">
        <v>0</v>
      </c>
      <c r="K686" s="88" t="b">
        <v>0</v>
      </c>
      <c r="L686" s="88" t="b">
        <v>0</v>
      </c>
    </row>
    <row r="687" spans="1:12" ht="15">
      <c r="A687" s="88" t="s">
        <v>2494</v>
      </c>
      <c r="B687" s="88" t="s">
        <v>2495</v>
      </c>
      <c r="C687" s="88">
        <v>3</v>
      </c>
      <c r="D687" s="120">
        <v>0.006666616519102757</v>
      </c>
      <c r="E687" s="120">
        <v>2.0307346169761686</v>
      </c>
      <c r="F687" s="88" t="s">
        <v>2231</v>
      </c>
      <c r="G687" s="88" t="b">
        <v>0</v>
      </c>
      <c r="H687" s="88" t="b">
        <v>0</v>
      </c>
      <c r="I687" s="88" t="b">
        <v>0</v>
      </c>
      <c r="J687" s="88" t="b">
        <v>0</v>
      </c>
      <c r="K687" s="88" t="b">
        <v>0</v>
      </c>
      <c r="L687" s="88" t="b">
        <v>0</v>
      </c>
    </row>
    <row r="688" spans="1:12" ht="15">
      <c r="A688" s="88" t="s">
        <v>2495</v>
      </c>
      <c r="B688" s="88" t="s">
        <v>2334</v>
      </c>
      <c r="C688" s="88">
        <v>3</v>
      </c>
      <c r="D688" s="120">
        <v>0.006666616519102757</v>
      </c>
      <c r="E688" s="120">
        <v>2.0307346169761686</v>
      </c>
      <c r="F688" s="88" t="s">
        <v>2231</v>
      </c>
      <c r="G688" s="88" t="b">
        <v>0</v>
      </c>
      <c r="H688" s="88" t="b">
        <v>0</v>
      </c>
      <c r="I688" s="88" t="b">
        <v>0</v>
      </c>
      <c r="J688" s="88" t="b">
        <v>0</v>
      </c>
      <c r="K688" s="88" t="b">
        <v>0</v>
      </c>
      <c r="L688" s="88" t="b">
        <v>0</v>
      </c>
    </row>
    <row r="689" spans="1:12" ht="15">
      <c r="A689" s="88" t="s">
        <v>2334</v>
      </c>
      <c r="B689" s="88" t="s">
        <v>2271</v>
      </c>
      <c r="C689" s="88">
        <v>3</v>
      </c>
      <c r="D689" s="120">
        <v>0.006666616519102757</v>
      </c>
      <c r="E689" s="120">
        <v>1.277406950317557</v>
      </c>
      <c r="F689" s="88" t="s">
        <v>2231</v>
      </c>
      <c r="G689" s="88" t="b">
        <v>0</v>
      </c>
      <c r="H689" s="88" t="b">
        <v>0</v>
      </c>
      <c r="I689" s="88" t="b">
        <v>0</v>
      </c>
      <c r="J689" s="88" t="b">
        <v>0</v>
      </c>
      <c r="K689" s="88" t="b">
        <v>0</v>
      </c>
      <c r="L689" s="88" t="b">
        <v>0</v>
      </c>
    </row>
    <row r="690" spans="1:12" ht="15">
      <c r="A690" s="88" t="s">
        <v>2271</v>
      </c>
      <c r="B690" s="88" t="s">
        <v>2393</v>
      </c>
      <c r="C690" s="88">
        <v>3</v>
      </c>
      <c r="D690" s="120">
        <v>0.006666616519102757</v>
      </c>
      <c r="E690" s="120">
        <v>1.2068258760318495</v>
      </c>
      <c r="F690" s="88" t="s">
        <v>2231</v>
      </c>
      <c r="G690" s="88" t="b">
        <v>0</v>
      </c>
      <c r="H690" s="88" t="b">
        <v>0</v>
      </c>
      <c r="I690" s="88" t="b">
        <v>0</v>
      </c>
      <c r="J690" s="88" t="b">
        <v>0</v>
      </c>
      <c r="K690" s="88" t="b">
        <v>0</v>
      </c>
      <c r="L690" s="88" t="b">
        <v>0</v>
      </c>
    </row>
    <row r="691" spans="1:12" ht="15">
      <c r="A691" s="88" t="s">
        <v>2393</v>
      </c>
      <c r="B691" s="88" t="s">
        <v>2496</v>
      </c>
      <c r="C691" s="88">
        <v>3</v>
      </c>
      <c r="D691" s="120">
        <v>0.006666616519102757</v>
      </c>
      <c r="E691" s="120">
        <v>1.7297046213121872</v>
      </c>
      <c r="F691" s="88" t="s">
        <v>2231</v>
      </c>
      <c r="G691" s="88" t="b">
        <v>0</v>
      </c>
      <c r="H691" s="88" t="b">
        <v>0</v>
      </c>
      <c r="I691" s="88" t="b">
        <v>0</v>
      </c>
      <c r="J691" s="88" t="b">
        <v>0</v>
      </c>
      <c r="K691" s="88" t="b">
        <v>0</v>
      </c>
      <c r="L691" s="88" t="b">
        <v>0</v>
      </c>
    </row>
    <row r="692" spans="1:12" ht="15">
      <c r="A692" s="88" t="s">
        <v>2496</v>
      </c>
      <c r="B692" s="88" t="s">
        <v>2497</v>
      </c>
      <c r="C692" s="88">
        <v>3</v>
      </c>
      <c r="D692" s="120">
        <v>0.006666616519102757</v>
      </c>
      <c r="E692" s="120">
        <v>2.0307346169761686</v>
      </c>
      <c r="F692" s="88" t="s">
        <v>2231</v>
      </c>
      <c r="G692" s="88" t="b">
        <v>0</v>
      </c>
      <c r="H692" s="88" t="b">
        <v>0</v>
      </c>
      <c r="I692" s="88" t="b">
        <v>0</v>
      </c>
      <c r="J692" s="88" t="b">
        <v>0</v>
      </c>
      <c r="K692" s="88" t="b">
        <v>0</v>
      </c>
      <c r="L692" s="88" t="b">
        <v>0</v>
      </c>
    </row>
    <row r="693" spans="1:12" ht="15">
      <c r="A693" s="88" t="s">
        <v>2497</v>
      </c>
      <c r="B693" s="88" t="s">
        <v>2498</v>
      </c>
      <c r="C693" s="88">
        <v>3</v>
      </c>
      <c r="D693" s="120">
        <v>0.006666616519102757</v>
      </c>
      <c r="E693" s="120">
        <v>2.0307346169761686</v>
      </c>
      <c r="F693" s="88" t="s">
        <v>2231</v>
      </c>
      <c r="G693" s="88" t="b">
        <v>0</v>
      </c>
      <c r="H693" s="88" t="b">
        <v>0</v>
      </c>
      <c r="I693" s="88" t="b">
        <v>0</v>
      </c>
      <c r="J693" s="88" t="b">
        <v>0</v>
      </c>
      <c r="K693" s="88" t="b">
        <v>0</v>
      </c>
      <c r="L693" s="88" t="b">
        <v>0</v>
      </c>
    </row>
    <row r="694" spans="1:12" ht="15">
      <c r="A694" s="88" t="s">
        <v>2498</v>
      </c>
      <c r="B694" s="88" t="s">
        <v>2499</v>
      </c>
      <c r="C694" s="88">
        <v>3</v>
      </c>
      <c r="D694" s="120">
        <v>0.006666616519102757</v>
      </c>
      <c r="E694" s="120">
        <v>2.0307346169761686</v>
      </c>
      <c r="F694" s="88" t="s">
        <v>2231</v>
      </c>
      <c r="G694" s="88" t="b">
        <v>0</v>
      </c>
      <c r="H694" s="88" t="b">
        <v>0</v>
      </c>
      <c r="I694" s="88" t="b">
        <v>0</v>
      </c>
      <c r="J694" s="88" t="b">
        <v>0</v>
      </c>
      <c r="K694" s="88" t="b">
        <v>0</v>
      </c>
      <c r="L694" s="88" t="b">
        <v>0</v>
      </c>
    </row>
    <row r="695" spans="1:12" ht="15">
      <c r="A695" s="88" t="s">
        <v>2499</v>
      </c>
      <c r="B695" s="88" t="s">
        <v>2500</v>
      </c>
      <c r="C695" s="88">
        <v>3</v>
      </c>
      <c r="D695" s="120">
        <v>0.006666616519102757</v>
      </c>
      <c r="E695" s="120">
        <v>2.0307346169761686</v>
      </c>
      <c r="F695" s="88" t="s">
        <v>2231</v>
      </c>
      <c r="G695" s="88" t="b">
        <v>0</v>
      </c>
      <c r="H695" s="88" t="b">
        <v>0</v>
      </c>
      <c r="I695" s="88" t="b">
        <v>0</v>
      </c>
      <c r="J695" s="88" t="b">
        <v>0</v>
      </c>
      <c r="K695" s="88" t="b">
        <v>0</v>
      </c>
      <c r="L695" s="88" t="b">
        <v>0</v>
      </c>
    </row>
    <row r="696" spans="1:12" ht="15">
      <c r="A696" s="88" t="s">
        <v>2500</v>
      </c>
      <c r="B696" s="88" t="s">
        <v>2501</v>
      </c>
      <c r="C696" s="88">
        <v>3</v>
      </c>
      <c r="D696" s="120">
        <v>0.006666616519102757</v>
      </c>
      <c r="E696" s="120">
        <v>2.0307346169761686</v>
      </c>
      <c r="F696" s="88" t="s">
        <v>2231</v>
      </c>
      <c r="G696" s="88" t="b">
        <v>0</v>
      </c>
      <c r="H696" s="88" t="b">
        <v>0</v>
      </c>
      <c r="I696" s="88" t="b">
        <v>0</v>
      </c>
      <c r="J696" s="88" t="b">
        <v>0</v>
      </c>
      <c r="K696" s="88" t="b">
        <v>0</v>
      </c>
      <c r="L696" s="88" t="b">
        <v>0</v>
      </c>
    </row>
    <row r="697" spans="1:12" ht="15">
      <c r="A697" s="88" t="s">
        <v>2501</v>
      </c>
      <c r="B697" s="88" t="s">
        <v>2502</v>
      </c>
      <c r="C697" s="88">
        <v>3</v>
      </c>
      <c r="D697" s="120">
        <v>0.006666616519102757</v>
      </c>
      <c r="E697" s="120">
        <v>2.0307346169761686</v>
      </c>
      <c r="F697" s="88" t="s">
        <v>2231</v>
      </c>
      <c r="G697" s="88" t="b">
        <v>0</v>
      </c>
      <c r="H697" s="88" t="b">
        <v>0</v>
      </c>
      <c r="I697" s="88" t="b">
        <v>0</v>
      </c>
      <c r="J697" s="88" t="b">
        <v>0</v>
      </c>
      <c r="K697" s="88" t="b">
        <v>0</v>
      </c>
      <c r="L697" s="88" t="b">
        <v>0</v>
      </c>
    </row>
    <row r="698" spans="1:12" ht="15">
      <c r="A698" s="88" t="s">
        <v>2502</v>
      </c>
      <c r="B698" s="88" t="s">
        <v>2503</v>
      </c>
      <c r="C698" s="88">
        <v>3</v>
      </c>
      <c r="D698" s="120">
        <v>0.006666616519102757</v>
      </c>
      <c r="E698" s="120">
        <v>2.0307346169761686</v>
      </c>
      <c r="F698" s="88" t="s">
        <v>2231</v>
      </c>
      <c r="G698" s="88" t="b">
        <v>0</v>
      </c>
      <c r="H698" s="88" t="b">
        <v>0</v>
      </c>
      <c r="I698" s="88" t="b">
        <v>0</v>
      </c>
      <c r="J698" s="88" t="b">
        <v>0</v>
      </c>
      <c r="K698" s="88" t="b">
        <v>0</v>
      </c>
      <c r="L698" s="88" t="b">
        <v>0</v>
      </c>
    </row>
    <row r="699" spans="1:12" ht="15">
      <c r="A699" s="88" t="s">
        <v>2503</v>
      </c>
      <c r="B699" s="88" t="s">
        <v>2504</v>
      </c>
      <c r="C699" s="88">
        <v>3</v>
      </c>
      <c r="D699" s="120">
        <v>0.006666616519102757</v>
      </c>
      <c r="E699" s="120">
        <v>2.0307346169761686</v>
      </c>
      <c r="F699" s="88" t="s">
        <v>2231</v>
      </c>
      <c r="G699" s="88" t="b">
        <v>0</v>
      </c>
      <c r="H699" s="88" t="b">
        <v>0</v>
      </c>
      <c r="I699" s="88" t="b">
        <v>0</v>
      </c>
      <c r="J699" s="88" t="b">
        <v>0</v>
      </c>
      <c r="K699" s="88" t="b">
        <v>0</v>
      </c>
      <c r="L699" s="88" t="b">
        <v>0</v>
      </c>
    </row>
    <row r="700" spans="1:12" ht="15">
      <c r="A700" s="88" t="s">
        <v>2504</v>
      </c>
      <c r="B700" s="88" t="s">
        <v>2505</v>
      </c>
      <c r="C700" s="88">
        <v>3</v>
      </c>
      <c r="D700" s="120">
        <v>0.006666616519102757</v>
      </c>
      <c r="E700" s="120">
        <v>2.0307346169761686</v>
      </c>
      <c r="F700" s="88" t="s">
        <v>2231</v>
      </c>
      <c r="G700" s="88" t="b">
        <v>0</v>
      </c>
      <c r="H700" s="88" t="b">
        <v>0</v>
      </c>
      <c r="I700" s="88" t="b">
        <v>0</v>
      </c>
      <c r="J700" s="88" t="b">
        <v>0</v>
      </c>
      <c r="K700" s="88" t="b">
        <v>0</v>
      </c>
      <c r="L700" s="88" t="b">
        <v>0</v>
      </c>
    </row>
    <row r="701" spans="1:12" ht="15">
      <c r="A701" s="88" t="s">
        <v>2505</v>
      </c>
      <c r="B701" s="88" t="s">
        <v>2293</v>
      </c>
      <c r="C701" s="88">
        <v>3</v>
      </c>
      <c r="D701" s="120">
        <v>0.006666616519102757</v>
      </c>
      <c r="E701" s="120">
        <v>1.277406950317557</v>
      </c>
      <c r="F701" s="88" t="s">
        <v>2231</v>
      </c>
      <c r="G701" s="88" t="b">
        <v>0</v>
      </c>
      <c r="H701" s="88" t="b">
        <v>0</v>
      </c>
      <c r="I701" s="88" t="b">
        <v>0</v>
      </c>
      <c r="J701" s="88" t="b">
        <v>0</v>
      </c>
      <c r="K701" s="88" t="b">
        <v>0</v>
      </c>
      <c r="L701" s="88" t="b">
        <v>0</v>
      </c>
    </row>
    <row r="702" spans="1:12" ht="15">
      <c r="A702" s="88" t="s">
        <v>2293</v>
      </c>
      <c r="B702" s="88" t="s">
        <v>2393</v>
      </c>
      <c r="C702" s="88">
        <v>3</v>
      </c>
      <c r="D702" s="120">
        <v>0.006666616519102757</v>
      </c>
      <c r="E702" s="120">
        <v>1.2068258760318495</v>
      </c>
      <c r="F702" s="88" t="s">
        <v>2231</v>
      </c>
      <c r="G702" s="88" t="b">
        <v>0</v>
      </c>
      <c r="H702" s="88" t="b">
        <v>0</v>
      </c>
      <c r="I702" s="88" t="b">
        <v>0</v>
      </c>
      <c r="J702" s="88" t="b">
        <v>0</v>
      </c>
      <c r="K702" s="88" t="b">
        <v>0</v>
      </c>
      <c r="L702" s="88" t="b">
        <v>0</v>
      </c>
    </row>
    <row r="703" spans="1:12" ht="15">
      <c r="A703" s="88" t="s">
        <v>2393</v>
      </c>
      <c r="B703" s="88" t="s">
        <v>581</v>
      </c>
      <c r="C703" s="88">
        <v>3</v>
      </c>
      <c r="D703" s="120">
        <v>0.006666616519102757</v>
      </c>
      <c r="E703" s="120">
        <v>1.7297046213121872</v>
      </c>
      <c r="F703" s="88" t="s">
        <v>2231</v>
      </c>
      <c r="G703" s="88" t="b">
        <v>0</v>
      </c>
      <c r="H703" s="88" t="b">
        <v>0</v>
      </c>
      <c r="I703" s="88" t="b">
        <v>0</v>
      </c>
      <c r="J703" s="88" t="b">
        <v>0</v>
      </c>
      <c r="K703" s="88" t="b">
        <v>0</v>
      </c>
      <c r="L703" s="88" t="b">
        <v>0</v>
      </c>
    </row>
    <row r="704" spans="1:12" ht="15">
      <c r="A704" s="88" t="s">
        <v>581</v>
      </c>
      <c r="B704" s="88" t="s">
        <v>580</v>
      </c>
      <c r="C704" s="88">
        <v>3</v>
      </c>
      <c r="D704" s="120">
        <v>0.006666616519102757</v>
      </c>
      <c r="E704" s="120">
        <v>2.0307346169761686</v>
      </c>
      <c r="F704" s="88" t="s">
        <v>2231</v>
      </c>
      <c r="G704" s="88" t="b">
        <v>0</v>
      </c>
      <c r="H704" s="88" t="b">
        <v>0</v>
      </c>
      <c r="I704" s="88" t="b">
        <v>0</v>
      </c>
      <c r="J704" s="88" t="b">
        <v>0</v>
      </c>
      <c r="K704" s="88" t="b">
        <v>0</v>
      </c>
      <c r="L704" s="88" t="b">
        <v>0</v>
      </c>
    </row>
    <row r="705" spans="1:12" ht="15">
      <c r="A705" s="88" t="s">
        <v>580</v>
      </c>
      <c r="B705" s="88" t="s">
        <v>484</v>
      </c>
      <c r="C705" s="88">
        <v>3</v>
      </c>
      <c r="D705" s="120">
        <v>0.006666616519102757</v>
      </c>
      <c r="E705" s="120">
        <v>2.0307346169761686</v>
      </c>
      <c r="F705" s="88" t="s">
        <v>2231</v>
      </c>
      <c r="G705" s="88" t="b">
        <v>0</v>
      </c>
      <c r="H705" s="88" t="b">
        <v>0</v>
      </c>
      <c r="I705" s="88" t="b">
        <v>0</v>
      </c>
      <c r="J705" s="88" t="b">
        <v>0</v>
      </c>
      <c r="K705" s="88" t="b">
        <v>0</v>
      </c>
      <c r="L705" s="88" t="b">
        <v>0</v>
      </c>
    </row>
    <row r="706" spans="1:12" ht="15">
      <c r="A706" s="88" t="s">
        <v>484</v>
      </c>
      <c r="B706" s="88" t="s">
        <v>483</v>
      </c>
      <c r="C706" s="88">
        <v>3</v>
      </c>
      <c r="D706" s="120">
        <v>0.006666616519102757</v>
      </c>
      <c r="E706" s="120">
        <v>2.0307346169761686</v>
      </c>
      <c r="F706" s="88" t="s">
        <v>2231</v>
      </c>
      <c r="G706" s="88" t="b">
        <v>0</v>
      </c>
      <c r="H706" s="88" t="b">
        <v>0</v>
      </c>
      <c r="I706" s="88" t="b">
        <v>0</v>
      </c>
      <c r="J706" s="88" t="b">
        <v>0</v>
      </c>
      <c r="K706" s="88" t="b">
        <v>0</v>
      </c>
      <c r="L706" s="88" t="b">
        <v>0</v>
      </c>
    </row>
    <row r="707" spans="1:12" ht="15">
      <c r="A707" s="88" t="s">
        <v>483</v>
      </c>
      <c r="B707" s="88" t="s">
        <v>2371</v>
      </c>
      <c r="C707" s="88">
        <v>3</v>
      </c>
      <c r="D707" s="120">
        <v>0.006666616519102757</v>
      </c>
      <c r="E707" s="120">
        <v>2.0307346169761686</v>
      </c>
      <c r="F707" s="88" t="s">
        <v>2231</v>
      </c>
      <c r="G707" s="88" t="b">
        <v>0</v>
      </c>
      <c r="H707" s="88" t="b">
        <v>0</v>
      </c>
      <c r="I707" s="88" t="b">
        <v>0</v>
      </c>
      <c r="J707" s="88" t="b">
        <v>0</v>
      </c>
      <c r="K707" s="88" t="b">
        <v>0</v>
      </c>
      <c r="L707" s="88" t="b">
        <v>0</v>
      </c>
    </row>
    <row r="708" spans="1:12" ht="15">
      <c r="A708" s="88" t="s">
        <v>2371</v>
      </c>
      <c r="B708" s="88" t="s">
        <v>2506</v>
      </c>
      <c r="C708" s="88">
        <v>3</v>
      </c>
      <c r="D708" s="120">
        <v>0.006666616519102757</v>
      </c>
      <c r="E708" s="120">
        <v>2.0307346169761686</v>
      </c>
      <c r="F708" s="88" t="s">
        <v>2231</v>
      </c>
      <c r="G708" s="88" t="b">
        <v>0</v>
      </c>
      <c r="H708" s="88" t="b">
        <v>0</v>
      </c>
      <c r="I708" s="88" t="b">
        <v>0</v>
      </c>
      <c r="J708" s="88" t="b">
        <v>0</v>
      </c>
      <c r="K708" s="88" t="b">
        <v>0</v>
      </c>
      <c r="L708" s="88" t="b">
        <v>0</v>
      </c>
    </row>
    <row r="709" spans="1:12" ht="15">
      <c r="A709" s="88" t="s">
        <v>2631</v>
      </c>
      <c r="B709" s="88" t="s">
        <v>2296</v>
      </c>
      <c r="C709" s="88">
        <v>2</v>
      </c>
      <c r="D709" s="120">
        <v>0.005483297496839485</v>
      </c>
      <c r="E709" s="120">
        <v>1.553613362256506</v>
      </c>
      <c r="F709" s="88" t="s">
        <v>2231</v>
      </c>
      <c r="G709" s="88" t="b">
        <v>1</v>
      </c>
      <c r="H709" s="88" t="b">
        <v>0</v>
      </c>
      <c r="I709" s="88" t="b">
        <v>0</v>
      </c>
      <c r="J709" s="88" t="b">
        <v>0</v>
      </c>
      <c r="K709" s="88" t="b">
        <v>0</v>
      </c>
      <c r="L709" s="88" t="b">
        <v>0</v>
      </c>
    </row>
    <row r="710" spans="1:12" ht="15">
      <c r="A710" s="88" t="s">
        <v>2342</v>
      </c>
      <c r="B710" s="88" t="s">
        <v>2276</v>
      </c>
      <c r="C710" s="88">
        <v>2</v>
      </c>
      <c r="D710" s="120">
        <v>0.005483297496839485</v>
      </c>
      <c r="E710" s="120">
        <v>1.553613362256506</v>
      </c>
      <c r="F710" s="88" t="s">
        <v>2231</v>
      </c>
      <c r="G710" s="88" t="b">
        <v>0</v>
      </c>
      <c r="H710" s="88" t="b">
        <v>0</v>
      </c>
      <c r="I710" s="88" t="b">
        <v>0</v>
      </c>
      <c r="J710" s="88" t="b">
        <v>0</v>
      </c>
      <c r="K710" s="88" t="b">
        <v>0</v>
      </c>
      <c r="L710" s="88" t="b">
        <v>0</v>
      </c>
    </row>
    <row r="711" spans="1:12" ht="15">
      <c r="A711" s="88" t="s">
        <v>2276</v>
      </c>
      <c r="B711" s="88" t="s">
        <v>2632</v>
      </c>
      <c r="C711" s="88">
        <v>2</v>
      </c>
      <c r="D711" s="120">
        <v>0.005483297496839485</v>
      </c>
      <c r="E711" s="120">
        <v>2.20682587603185</v>
      </c>
      <c r="F711" s="88" t="s">
        <v>2231</v>
      </c>
      <c r="G711" s="88" t="b">
        <v>0</v>
      </c>
      <c r="H711" s="88" t="b">
        <v>0</v>
      </c>
      <c r="I711" s="88" t="b">
        <v>0</v>
      </c>
      <c r="J711" s="88" t="b">
        <v>0</v>
      </c>
      <c r="K711" s="88" t="b">
        <v>0</v>
      </c>
      <c r="L711" s="88" t="b">
        <v>0</v>
      </c>
    </row>
    <row r="712" spans="1:12" ht="15">
      <c r="A712" s="88" t="s">
        <v>2632</v>
      </c>
      <c r="B712" s="88" t="s">
        <v>2633</v>
      </c>
      <c r="C712" s="88">
        <v>2</v>
      </c>
      <c r="D712" s="120">
        <v>0.005483297496839485</v>
      </c>
      <c r="E712" s="120">
        <v>2.20682587603185</v>
      </c>
      <c r="F712" s="88" t="s">
        <v>2231</v>
      </c>
      <c r="G712" s="88" t="b">
        <v>0</v>
      </c>
      <c r="H712" s="88" t="b">
        <v>0</v>
      </c>
      <c r="I712" s="88" t="b">
        <v>0</v>
      </c>
      <c r="J712" s="88" t="b">
        <v>0</v>
      </c>
      <c r="K712" s="88" t="b">
        <v>0</v>
      </c>
      <c r="L712" s="88" t="b">
        <v>0</v>
      </c>
    </row>
    <row r="713" spans="1:12" ht="15">
      <c r="A713" s="88" t="s">
        <v>2633</v>
      </c>
      <c r="B713" s="88" t="s">
        <v>2294</v>
      </c>
      <c r="C713" s="88">
        <v>2</v>
      </c>
      <c r="D713" s="120">
        <v>0.005483297496839485</v>
      </c>
      <c r="E713" s="120">
        <v>1.662757831681574</v>
      </c>
      <c r="F713" s="88" t="s">
        <v>2231</v>
      </c>
      <c r="G713" s="88" t="b">
        <v>0</v>
      </c>
      <c r="H713" s="88" t="b">
        <v>0</v>
      </c>
      <c r="I713" s="88" t="b">
        <v>0</v>
      </c>
      <c r="J713" s="88" t="b">
        <v>0</v>
      </c>
      <c r="K713" s="88" t="b">
        <v>0</v>
      </c>
      <c r="L713" s="88" t="b">
        <v>0</v>
      </c>
    </row>
    <row r="714" spans="1:12" ht="15">
      <c r="A714" s="88" t="s">
        <v>2294</v>
      </c>
      <c r="B714" s="88" t="s">
        <v>2634</v>
      </c>
      <c r="C714" s="88">
        <v>2</v>
      </c>
      <c r="D714" s="120">
        <v>0.005483297496839485</v>
      </c>
      <c r="E714" s="120">
        <v>1.662757831681574</v>
      </c>
      <c r="F714" s="88" t="s">
        <v>2231</v>
      </c>
      <c r="G714" s="88" t="b">
        <v>0</v>
      </c>
      <c r="H714" s="88" t="b">
        <v>0</v>
      </c>
      <c r="I714" s="88" t="b">
        <v>0</v>
      </c>
      <c r="J714" s="88" t="b">
        <v>0</v>
      </c>
      <c r="K714" s="88" t="b">
        <v>0</v>
      </c>
      <c r="L714" s="88" t="b">
        <v>0</v>
      </c>
    </row>
    <row r="715" spans="1:12" ht="15">
      <c r="A715" s="88" t="s">
        <v>2634</v>
      </c>
      <c r="B715" s="88" t="s">
        <v>522</v>
      </c>
      <c r="C715" s="88">
        <v>2</v>
      </c>
      <c r="D715" s="120">
        <v>0.005483297496839485</v>
      </c>
      <c r="E715" s="120">
        <v>2.20682587603185</v>
      </c>
      <c r="F715" s="88" t="s">
        <v>2231</v>
      </c>
      <c r="G715" s="88" t="b">
        <v>0</v>
      </c>
      <c r="H715" s="88" t="b">
        <v>0</v>
      </c>
      <c r="I715" s="88" t="b">
        <v>0</v>
      </c>
      <c r="J715" s="88" t="b">
        <v>0</v>
      </c>
      <c r="K715" s="88" t="b">
        <v>0</v>
      </c>
      <c r="L715" s="88" t="b">
        <v>0</v>
      </c>
    </row>
    <row r="716" spans="1:12" ht="15">
      <c r="A716" s="88" t="s">
        <v>522</v>
      </c>
      <c r="B716" s="88" t="s">
        <v>2635</v>
      </c>
      <c r="C716" s="88">
        <v>2</v>
      </c>
      <c r="D716" s="120">
        <v>0.005483297496839485</v>
      </c>
      <c r="E716" s="120">
        <v>2.20682587603185</v>
      </c>
      <c r="F716" s="88" t="s">
        <v>2231</v>
      </c>
      <c r="G716" s="88" t="b">
        <v>0</v>
      </c>
      <c r="H716" s="88" t="b">
        <v>0</v>
      </c>
      <c r="I716" s="88" t="b">
        <v>0</v>
      </c>
      <c r="J716" s="88" t="b">
        <v>0</v>
      </c>
      <c r="K716" s="88" t="b">
        <v>0</v>
      </c>
      <c r="L716" s="88" t="b">
        <v>0</v>
      </c>
    </row>
    <row r="717" spans="1:12" ht="15">
      <c r="A717" s="88" t="s">
        <v>2635</v>
      </c>
      <c r="B717" s="88" t="s">
        <v>2636</v>
      </c>
      <c r="C717" s="88">
        <v>2</v>
      </c>
      <c r="D717" s="120">
        <v>0.005483297496839485</v>
      </c>
      <c r="E717" s="120">
        <v>2.20682587603185</v>
      </c>
      <c r="F717" s="88" t="s">
        <v>2231</v>
      </c>
      <c r="G717" s="88" t="b">
        <v>0</v>
      </c>
      <c r="H717" s="88" t="b">
        <v>0</v>
      </c>
      <c r="I717" s="88" t="b">
        <v>0</v>
      </c>
      <c r="J717" s="88" t="b">
        <v>0</v>
      </c>
      <c r="K717" s="88" t="b">
        <v>0</v>
      </c>
      <c r="L717" s="88" t="b">
        <v>0</v>
      </c>
    </row>
    <row r="718" spans="1:12" ht="15">
      <c r="A718" s="88" t="s">
        <v>2636</v>
      </c>
      <c r="B718" s="88" t="s">
        <v>2637</v>
      </c>
      <c r="C718" s="88">
        <v>2</v>
      </c>
      <c r="D718" s="120">
        <v>0.005483297496839485</v>
      </c>
      <c r="E718" s="120">
        <v>2.20682587603185</v>
      </c>
      <c r="F718" s="88" t="s">
        <v>2231</v>
      </c>
      <c r="G718" s="88" t="b">
        <v>0</v>
      </c>
      <c r="H718" s="88" t="b">
        <v>0</v>
      </c>
      <c r="I718" s="88" t="b">
        <v>0</v>
      </c>
      <c r="J718" s="88" t="b">
        <v>0</v>
      </c>
      <c r="K718" s="88" t="b">
        <v>0</v>
      </c>
      <c r="L718" s="88" t="b">
        <v>0</v>
      </c>
    </row>
    <row r="719" spans="1:12" ht="15">
      <c r="A719" s="88" t="s">
        <v>2637</v>
      </c>
      <c r="B719" s="88" t="s">
        <v>2638</v>
      </c>
      <c r="C719" s="88">
        <v>2</v>
      </c>
      <c r="D719" s="120">
        <v>0.005483297496839485</v>
      </c>
      <c r="E719" s="120">
        <v>2.20682587603185</v>
      </c>
      <c r="F719" s="88" t="s">
        <v>2231</v>
      </c>
      <c r="G719" s="88" t="b">
        <v>0</v>
      </c>
      <c r="H719" s="88" t="b">
        <v>0</v>
      </c>
      <c r="I719" s="88" t="b">
        <v>0</v>
      </c>
      <c r="J719" s="88" t="b">
        <v>0</v>
      </c>
      <c r="K719" s="88" t="b">
        <v>0</v>
      </c>
      <c r="L719" s="88" t="b">
        <v>0</v>
      </c>
    </row>
    <row r="720" spans="1:12" ht="15">
      <c r="A720" s="88" t="s">
        <v>2638</v>
      </c>
      <c r="B720" s="88" t="s">
        <v>2639</v>
      </c>
      <c r="C720" s="88">
        <v>2</v>
      </c>
      <c r="D720" s="120">
        <v>0.005483297496839485</v>
      </c>
      <c r="E720" s="120">
        <v>2.20682587603185</v>
      </c>
      <c r="F720" s="88" t="s">
        <v>2231</v>
      </c>
      <c r="G720" s="88" t="b">
        <v>0</v>
      </c>
      <c r="H720" s="88" t="b">
        <v>0</v>
      </c>
      <c r="I720" s="88" t="b">
        <v>0</v>
      </c>
      <c r="J720" s="88" t="b">
        <v>1</v>
      </c>
      <c r="K720" s="88" t="b">
        <v>0</v>
      </c>
      <c r="L720" s="88" t="b">
        <v>0</v>
      </c>
    </row>
    <row r="721" spans="1:12" ht="15">
      <c r="A721" s="88" t="s">
        <v>2639</v>
      </c>
      <c r="B721" s="88" t="s">
        <v>2640</v>
      </c>
      <c r="C721" s="88">
        <v>2</v>
      </c>
      <c r="D721" s="120">
        <v>0.005483297496839485</v>
      </c>
      <c r="E721" s="120">
        <v>2.20682587603185</v>
      </c>
      <c r="F721" s="88" t="s">
        <v>2231</v>
      </c>
      <c r="G721" s="88" t="b">
        <v>1</v>
      </c>
      <c r="H721" s="88" t="b">
        <v>0</v>
      </c>
      <c r="I721" s="88" t="b">
        <v>0</v>
      </c>
      <c r="J721" s="88" t="b">
        <v>0</v>
      </c>
      <c r="K721" s="88" t="b">
        <v>0</v>
      </c>
      <c r="L721" s="88" t="b">
        <v>0</v>
      </c>
    </row>
    <row r="722" spans="1:12" ht="15">
      <c r="A722" s="88" t="s">
        <v>2640</v>
      </c>
      <c r="B722" s="88" t="s">
        <v>2641</v>
      </c>
      <c r="C722" s="88">
        <v>2</v>
      </c>
      <c r="D722" s="120">
        <v>0.005483297496839485</v>
      </c>
      <c r="E722" s="120">
        <v>2.20682587603185</v>
      </c>
      <c r="F722" s="88" t="s">
        <v>2231</v>
      </c>
      <c r="G722" s="88" t="b">
        <v>0</v>
      </c>
      <c r="H722" s="88" t="b">
        <v>0</v>
      </c>
      <c r="I722" s="88" t="b">
        <v>0</v>
      </c>
      <c r="J722" s="88" t="b">
        <v>0</v>
      </c>
      <c r="K722" s="88" t="b">
        <v>0</v>
      </c>
      <c r="L722" s="88" t="b">
        <v>0</v>
      </c>
    </row>
    <row r="723" spans="1:12" ht="15">
      <c r="A723" s="88" t="s">
        <v>2641</v>
      </c>
      <c r="B723" s="88" t="s">
        <v>2642</v>
      </c>
      <c r="C723" s="88">
        <v>2</v>
      </c>
      <c r="D723" s="120">
        <v>0.005483297496839485</v>
      </c>
      <c r="E723" s="120">
        <v>2.20682587603185</v>
      </c>
      <c r="F723" s="88" t="s">
        <v>2231</v>
      </c>
      <c r="G723" s="88" t="b">
        <v>0</v>
      </c>
      <c r="H723" s="88" t="b">
        <v>0</v>
      </c>
      <c r="I723" s="88" t="b">
        <v>0</v>
      </c>
      <c r="J723" s="88" t="b">
        <v>0</v>
      </c>
      <c r="K723" s="88" t="b">
        <v>0</v>
      </c>
      <c r="L723" s="88" t="b">
        <v>0</v>
      </c>
    </row>
    <row r="724" spans="1:12" ht="15">
      <c r="A724" s="88" t="s">
        <v>2642</v>
      </c>
      <c r="B724" s="88" t="s">
        <v>2643</v>
      </c>
      <c r="C724" s="88">
        <v>2</v>
      </c>
      <c r="D724" s="120">
        <v>0.005483297496839485</v>
      </c>
      <c r="E724" s="120">
        <v>2.20682587603185</v>
      </c>
      <c r="F724" s="88" t="s">
        <v>2231</v>
      </c>
      <c r="G724" s="88" t="b">
        <v>0</v>
      </c>
      <c r="H724" s="88" t="b">
        <v>0</v>
      </c>
      <c r="I724" s="88" t="b">
        <v>0</v>
      </c>
      <c r="J724" s="88" t="b">
        <v>0</v>
      </c>
      <c r="K724" s="88" t="b">
        <v>0</v>
      </c>
      <c r="L724" s="88" t="b">
        <v>0</v>
      </c>
    </row>
    <row r="725" spans="1:12" ht="15">
      <c r="A725" s="88" t="s">
        <v>2643</v>
      </c>
      <c r="B725" s="88" t="s">
        <v>2644</v>
      </c>
      <c r="C725" s="88">
        <v>2</v>
      </c>
      <c r="D725" s="120">
        <v>0.005483297496839485</v>
      </c>
      <c r="E725" s="120">
        <v>2.20682587603185</v>
      </c>
      <c r="F725" s="88" t="s">
        <v>2231</v>
      </c>
      <c r="G725" s="88" t="b">
        <v>0</v>
      </c>
      <c r="H725" s="88" t="b">
        <v>0</v>
      </c>
      <c r="I725" s="88" t="b">
        <v>0</v>
      </c>
      <c r="J725" s="88" t="b">
        <v>0</v>
      </c>
      <c r="K725" s="88" t="b">
        <v>0</v>
      </c>
      <c r="L725" s="88" t="b">
        <v>0</v>
      </c>
    </row>
    <row r="726" spans="1:12" ht="15">
      <c r="A726" s="88" t="s">
        <v>2644</v>
      </c>
      <c r="B726" s="88" t="s">
        <v>2645</v>
      </c>
      <c r="C726" s="88">
        <v>2</v>
      </c>
      <c r="D726" s="120">
        <v>0.005483297496839485</v>
      </c>
      <c r="E726" s="120">
        <v>2.20682587603185</v>
      </c>
      <c r="F726" s="88" t="s">
        <v>2231</v>
      </c>
      <c r="G726" s="88" t="b">
        <v>0</v>
      </c>
      <c r="H726" s="88" t="b">
        <v>0</v>
      </c>
      <c r="I726" s="88" t="b">
        <v>0</v>
      </c>
      <c r="J726" s="88" t="b">
        <v>0</v>
      </c>
      <c r="K726" s="88" t="b">
        <v>0</v>
      </c>
      <c r="L726" s="88" t="b">
        <v>0</v>
      </c>
    </row>
    <row r="727" spans="1:12" ht="15">
      <c r="A727" s="88" t="s">
        <v>2645</v>
      </c>
      <c r="B727" s="88" t="s">
        <v>2646</v>
      </c>
      <c r="C727" s="88">
        <v>2</v>
      </c>
      <c r="D727" s="120">
        <v>0.005483297496839485</v>
      </c>
      <c r="E727" s="120">
        <v>2.20682587603185</v>
      </c>
      <c r="F727" s="88" t="s">
        <v>2231</v>
      </c>
      <c r="G727" s="88" t="b">
        <v>0</v>
      </c>
      <c r="H727" s="88" t="b">
        <v>0</v>
      </c>
      <c r="I727" s="88" t="b">
        <v>0</v>
      </c>
      <c r="J727" s="88" t="b">
        <v>0</v>
      </c>
      <c r="K727" s="88" t="b">
        <v>0</v>
      </c>
      <c r="L727" s="88" t="b">
        <v>0</v>
      </c>
    </row>
    <row r="728" spans="1:12" ht="15">
      <c r="A728" s="88" t="s">
        <v>2646</v>
      </c>
      <c r="B728" s="88" t="s">
        <v>2647</v>
      </c>
      <c r="C728" s="88">
        <v>2</v>
      </c>
      <c r="D728" s="120">
        <v>0.005483297496839485</v>
      </c>
      <c r="E728" s="120">
        <v>2.20682587603185</v>
      </c>
      <c r="F728" s="88" t="s">
        <v>2231</v>
      </c>
      <c r="G728" s="88" t="b">
        <v>0</v>
      </c>
      <c r="H728" s="88" t="b">
        <v>0</v>
      </c>
      <c r="I728" s="88" t="b">
        <v>0</v>
      </c>
      <c r="J728" s="88" t="b">
        <v>0</v>
      </c>
      <c r="K728" s="88" t="b">
        <v>0</v>
      </c>
      <c r="L728" s="88" t="b">
        <v>0</v>
      </c>
    </row>
    <row r="729" spans="1:12" ht="15">
      <c r="A729" s="88" t="s">
        <v>2647</v>
      </c>
      <c r="B729" s="88" t="s">
        <v>2293</v>
      </c>
      <c r="C729" s="88">
        <v>2</v>
      </c>
      <c r="D729" s="120">
        <v>0.005483297496839485</v>
      </c>
      <c r="E729" s="120">
        <v>1.277406950317557</v>
      </c>
      <c r="F729" s="88" t="s">
        <v>2231</v>
      </c>
      <c r="G729" s="88" t="b">
        <v>0</v>
      </c>
      <c r="H729" s="88" t="b">
        <v>0</v>
      </c>
      <c r="I729" s="88" t="b">
        <v>0</v>
      </c>
      <c r="J729" s="88" t="b">
        <v>0</v>
      </c>
      <c r="K729" s="88" t="b">
        <v>0</v>
      </c>
      <c r="L729" s="88" t="b">
        <v>0</v>
      </c>
    </row>
    <row r="730" spans="1:12" ht="15">
      <c r="A730" s="88" t="s">
        <v>2293</v>
      </c>
      <c r="B730" s="88" t="s">
        <v>521</v>
      </c>
      <c r="C730" s="88">
        <v>2</v>
      </c>
      <c r="D730" s="120">
        <v>0.005483297496839485</v>
      </c>
      <c r="E730" s="120">
        <v>1.507855871695831</v>
      </c>
      <c r="F730" s="88" t="s">
        <v>2231</v>
      </c>
      <c r="G730" s="88" t="b">
        <v>0</v>
      </c>
      <c r="H730" s="88" t="b">
        <v>0</v>
      </c>
      <c r="I730" s="88" t="b">
        <v>0</v>
      </c>
      <c r="J730" s="88" t="b">
        <v>0</v>
      </c>
      <c r="K730" s="88" t="b">
        <v>0</v>
      </c>
      <c r="L730" s="88" t="b">
        <v>0</v>
      </c>
    </row>
    <row r="731" spans="1:12" ht="15">
      <c r="A731" s="88" t="s">
        <v>521</v>
      </c>
      <c r="B731" s="88" t="s">
        <v>2271</v>
      </c>
      <c r="C731" s="88">
        <v>2</v>
      </c>
      <c r="D731" s="120">
        <v>0.005483297496839485</v>
      </c>
      <c r="E731" s="120">
        <v>1.277406950317557</v>
      </c>
      <c r="F731" s="88" t="s">
        <v>2231</v>
      </c>
      <c r="G731" s="88" t="b">
        <v>0</v>
      </c>
      <c r="H731" s="88" t="b">
        <v>0</v>
      </c>
      <c r="I731" s="88" t="b">
        <v>0</v>
      </c>
      <c r="J731" s="88" t="b">
        <v>0</v>
      </c>
      <c r="K731" s="88" t="b">
        <v>0</v>
      </c>
      <c r="L731" s="88" t="b">
        <v>0</v>
      </c>
    </row>
    <row r="732" spans="1:12" ht="15">
      <c r="A732" s="88" t="s">
        <v>2347</v>
      </c>
      <c r="B732" s="88" t="s">
        <v>2348</v>
      </c>
      <c r="C732" s="88">
        <v>9</v>
      </c>
      <c r="D732" s="120">
        <v>0</v>
      </c>
      <c r="E732" s="120">
        <v>1.462397997898956</v>
      </c>
      <c r="F732" s="88" t="s">
        <v>2232</v>
      </c>
      <c r="G732" s="88" t="b">
        <v>0</v>
      </c>
      <c r="H732" s="88" t="b">
        <v>0</v>
      </c>
      <c r="I732" s="88" t="b">
        <v>0</v>
      </c>
      <c r="J732" s="88" t="b">
        <v>0</v>
      </c>
      <c r="K732" s="88" t="b">
        <v>0</v>
      </c>
      <c r="L732" s="88" t="b">
        <v>0</v>
      </c>
    </row>
    <row r="733" spans="1:12" ht="15">
      <c r="A733" s="88" t="s">
        <v>2348</v>
      </c>
      <c r="B733" s="88" t="s">
        <v>2349</v>
      </c>
      <c r="C733" s="88">
        <v>9</v>
      </c>
      <c r="D733" s="120">
        <v>0</v>
      </c>
      <c r="E733" s="120">
        <v>1.462397997898956</v>
      </c>
      <c r="F733" s="88" t="s">
        <v>2232</v>
      </c>
      <c r="G733" s="88" t="b">
        <v>0</v>
      </c>
      <c r="H733" s="88" t="b">
        <v>0</v>
      </c>
      <c r="I733" s="88" t="b">
        <v>0</v>
      </c>
      <c r="J733" s="88" t="b">
        <v>0</v>
      </c>
      <c r="K733" s="88" t="b">
        <v>0</v>
      </c>
      <c r="L733" s="88" t="b">
        <v>0</v>
      </c>
    </row>
    <row r="734" spans="1:12" ht="15">
      <c r="A734" s="88" t="s">
        <v>2349</v>
      </c>
      <c r="B734" s="88" t="s">
        <v>2275</v>
      </c>
      <c r="C734" s="88">
        <v>9</v>
      </c>
      <c r="D734" s="120">
        <v>0</v>
      </c>
      <c r="E734" s="120">
        <v>1.462397997898956</v>
      </c>
      <c r="F734" s="88" t="s">
        <v>2232</v>
      </c>
      <c r="G734" s="88" t="b">
        <v>0</v>
      </c>
      <c r="H734" s="88" t="b">
        <v>0</v>
      </c>
      <c r="I734" s="88" t="b">
        <v>0</v>
      </c>
      <c r="J734" s="88" t="b">
        <v>0</v>
      </c>
      <c r="K734" s="88" t="b">
        <v>0</v>
      </c>
      <c r="L734" s="88" t="b">
        <v>0</v>
      </c>
    </row>
    <row r="735" spans="1:12" ht="15">
      <c r="A735" s="88" t="s">
        <v>2275</v>
      </c>
      <c r="B735" s="88" t="s">
        <v>2350</v>
      </c>
      <c r="C735" s="88">
        <v>9</v>
      </c>
      <c r="D735" s="120">
        <v>0</v>
      </c>
      <c r="E735" s="120">
        <v>1.462397997898956</v>
      </c>
      <c r="F735" s="88" t="s">
        <v>2232</v>
      </c>
      <c r="G735" s="88" t="b">
        <v>0</v>
      </c>
      <c r="H735" s="88" t="b">
        <v>0</v>
      </c>
      <c r="I735" s="88" t="b">
        <v>0</v>
      </c>
      <c r="J735" s="88" t="b">
        <v>1</v>
      </c>
      <c r="K735" s="88" t="b">
        <v>0</v>
      </c>
      <c r="L735" s="88" t="b">
        <v>0</v>
      </c>
    </row>
    <row r="736" spans="1:12" ht="15">
      <c r="A736" s="88" t="s">
        <v>2350</v>
      </c>
      <c r="B736" s="88" t="s">
        <v>2351</v>
      </c>
      <c r="C736" s="88">
        <v>9</v>
      </c>
      <c r="D736" s="120">
        <v>0</v>
      </c>
      <c r="E736" s="120">
        <v>1.462397997898956</v>
      </c>
      <c r="F736" s="88" t="s">
        <v>2232</v>
      </c>
      <c r="G736" s="88" t="b">
        <v>1</v>
      </c>
      <c r="H736" s="88" t="b">
        <v>0</v>
      </c>
      <c r="I736" s="88" t="b">
        <v>0</v>
      </c>
      <c r="J736" s="88" t="b">
        <v>0</v>
      </c>
      <c r="K736" s="88" t="b">
        <v>0</v>
      </c>
      <c r="L736" s="88" t="b">
        <v>0</v>
      </c>
    </row>
    <row r="737" spans="1:12" ht="15">
      <c r="A737" s="88" t="s">
        <v>2351</v>
      </c>
      <c r="B737" s="88" t="s">
        <v>2352</v>
      </c>
      <c r="C737" s="88">
        <v>9</v>
      </c>
      <c r="D737" s="120">
        <v>0</v>
      </c>
      <c r="E737" s="120">
        <v>1.462397997898956</v>
      </c>
      <c r="F737" s="88" t="s">
        <v>2232</v>
      </c>
      <c r="G737" s="88" t="b">
        <v>0</v>
      </c>
      <c r="H737" s="88" t="b">
        <v>0</v>
      </c>
      <c r="I737" s="88" t="b">
        <v>0</v>
      </c>
      <c r="J737" s="88" t="b">
        <v>0</v>
      </c>
      <c r="K737" s="88" t="b">
        <v>0</v>
      </c>
      <c r="L737" s="88" t="b">
        <v>0</v>
      </c>
    </row>
    <row r="738" spans="1:12" ht="15">
      <c r="A738" s="88" t="s">
        <v>2352</v>
      </c>
      <c r="B738" s="88" t="s">
        <v>2296</v>
      </c>
      <c r="C738" s="88">
        <v>9</v>
      </c>
      <c r="D738" s="120">
        <v>0</v>
      </c>
      <c r="E738" s="120">
        <v>1.462397997898956</v>
      </c>
      <c r="F738" s="88" t="s">
        <v>2232</v>
      </c>
      <c r="G738" s="88" t="b">
        <v>0</v>
      </c>
      <c r="H738" s="88" t="b">
        <v>0</v>
      </c>
      <c r="I738" s="88" t="b">
        <v>0</v>
      </c>
      <c r="J738" s="88" t="b">
        <v>0</v>
      </c>
      <c r="K738" s="88" t="b">
        <v>0</v>
      </c>
      <c r="L738" s="88" t="b">
        <v>0</v>
      </c>
    </row>
    <row r="739" spans="1:12" ht="15">
      <c r="A739" s="88" t="s">
        <v>2296</v>
      </c>
      <c r="B739" s="88" t="s">
        <v>2353</v>
      </c>
      <c r="C739" s="88">
        <v>9</v>
      </c>
      <c r="D739" s="120">
        <v>0</v>
      </c>
      <c r="E739" s="120">
        <v>1.462397997898956</v>
      </c>
      <c r="F739" s="88" t="s">
        <v>2232</v>
      </c>
      <c r="G739" s="88" t="b">
        <v>0</v>
      </c>
      <c r="H739" s="88" t="b">
        <v>0</v>
      </c>
      <c r="I739" s="88" t="b">
        <v>0</v>
      </c>
      <c r="J739" s="88" t="b">
        <v>0</v>
      </c>
      <c r="K739" s="88" t="b">
        <v>0</v>
      </c>
      <c r="L739" s="88" t="b">
        <v>0</v>
      </c>
    </row>
    <row r="740" spans="1:12" ht="15">
      <c r="A740" s="88" t="s">
        <v>2353</v>
      </c>
      <c r="B740" s="88" t="s">
        <v>2354</v>
      </c>
      <c r="C740" s="88">
        <v>9</v>
      </c>
      <c r="D740" s="120">
        <v>0</v>
      </c>
      <c r="E740" s="120">
        <v>1.462397997898956</v>
      </c>
      <c r="F740" s="88" t="s">
        <v>2232</v>
      </c>
      <c r="G740" s="88" t="b">
        <v>0</v>
      </c>
      <c r="H740" s="88" t="b">
        <v>0</v>
      </c>
      <c r="I740" s="88" t="b">
        <v>0</v>
      </c>
      <c r="J740" s="88" t="b">
        <v>0</v>
      </c>
      <c r="K740" s="88" t="b">
        <v>0</v>
      </c>
      <c r="L740" s="88" t="b">
        <v>0</v>
      </c>
    </row>
    <row r="741" spans="1:12" ht="15">
      <c r="A741" s="88" t="s">
        <v>2354</v>
      </c>
      <c r="B741" s="88" t="s">
        <v>2355</v>
      </c>
      <c r="C741" s="88">
        <v>9</v>
      </c>
      <c r="D741" s="120">
        <v>0</v>
      </c>
      <c r="E741" s="120">
        <v>1.462397997898956</v>
      </c>
      <c r="F741" s="88" t="s">
        <v>2232</v>
      </c>
      <c r="G741" s="88" t="b">
        <v>0</v>
      </c>
      <c r="H741" s="88" t="b">
        <v>0</v>
      </c>
      <c r="I741" s="88" t="b">
        <v>0</v>
      </c>
      <c r="J741" s="88" t="b">
        <v>0</v>
      </c>
      <c r="K741" s="88" t="b">
        <v>0</v>
      </c>
      <c r="L741" s="88" t="b">
        <v>0</v>
      </c>
    </row>
    <row r="742" spans="1:12" ht="15">
      <c r="A742" s="88" t="s">
        <v>2355</v>
      </c>
      <c r="B742" s="88" t="s">
        <v>2331</v>
      </c>
      <c r="C742" s="88">
        <v>9</v>
      </c>
      <c r="D742" s="120">
        <v>0</v>
      </c>
      <c r="E742" s="120">
        <v>1.462397997898956</v>
      </c>
      <c r="F742" s="88" t="s">
        <v>2232</v>
      </c>
      <c r="G742" s="88" t="b">
        <v>0</v>
      </c>
      <c r="H742" s="88" t="b">
        <v>0</v>
      </c>
      <c r="I742" s="88" t="b">
        <v>0</v>
      </c>
      <c r="J742" s="88" t="b">
        <v>0</v>
      </c>
      <c r="K742" s="88" t="b">
        <v>0</v>
      </c>
      <c r="L742" s="88" t="b">
        <v>0</v>
      </c>
    </row>
    <row r="743" spans="1:12" ht="15">
      <c r="A743" s="88" t="s">
        <v>2331</v>
      </c>
      <c r="B743" s="88" t="s">
        <v>2356</v>
      </c>
      <c r="C743" s="88">
        <v>9</v>
      </c>
      <c r="D743" s="120">
        <v>0</v>
      </c>
      <c r="E743" s="120">
        <v>1.462397997898956</v>
      </c>
      <c r="F743" s="88" t="s">
        <v>2232</v>
      </c>
      <c r="G743" s="88" t="b">
        <v>0</v>
      </c>
      <c r="H743" s="88" t="b">
        <v>0</v>
      </c>
      <c r="I743" s="88" t="b">
        <v>0</v>
      </c>
      <c r="J743" s="88" t="b">
        <v>0</v>
      </c>
      <c r="K743" s="88" t="b">
        <v>0</v>
      </c>
      <c r="L743" s="88" t="b">
        <v>0</v>
      </c>
    </row>
    <row r="744" spans="1:12" ht="15">
      <c r="A744" s="88" t="s">
        <v>2356</v>
      </c>
      <c r="B744" s="88" t="s">
        <v>2357</v>
      </c>
      <c r="C744" s="88">
        <v>9</v>
      </c>
      <c r="D744" s="120">
        <v>0</v>
      </c>
      <c r="E744" s="120">
        <v>1.462397997898956</v>
      </c>
      <c r="F744" s="88" t="s">
        <v>2232</v>
      </c>
      <c r="G744" s="88" t="b">
        <v>0</v>
      </c>
      <c r="H744" s="88" t="b">
        <v>0</v>
      </c>
      <c r="I744" s="88" t="b">
        <v>0</v>
      </c>
      <c r="J744" s="88" t="b">
        <v>0</v>
      </c>
      <c r="K744" s="88" t="b">
        <v>0</v>
      </c>
      <c r="L744" s="88" t="b">
        <v>0</v>
      </c>
    </row>
    <row r="745" spans="1:12" ht="15">
      <c r="A745" s="88" t="s">
        <v>2357</v>
      </c>
      <c r="B745" s="88" t="s">
        <v>2358</v>
      </c>
      <c r="C745" s="88">
        <v>9</v>
      </c>
      <c r="D745" s="120">
        <v>0</v>
      </c>
      <c r="E745" s="120">
        <v>1.462397997898956</v>
      </c>
      <c r="F745" s="88" t="s">
        <v>2232</v>
      </c>
      <c r="G745" s="88" t="b">
        <v>0</v>
      </c>
      <c r="H745" s="88" t="b">
        <v>0</v>
      </c>
      <c r="I745" s="88" t="b">
        <v>0</v>
      </c>
      <c r="J745" s="88" t="b">
        <v>0</v>
      </c>
      <c r="K745" s="88" t="b">
        <v>0</v>
      </c>
      <c r="L745" s="88" t="b">
        <v>0</v>
      </c>
    </row>
    <row r="746" spans="1:12" ht="15">
      <c r="A746" s="88" t="s">
        <v>2358</v>
      </c>
      <c r="B746" s="88" t="s">
        <v>2271</v>
      </c>
      <c r="C746" s="88">
        <v>9</v>
      </c>
      <c r="D746" s="120">
        <v>0</v>
      </c>
      <c r="E746" s="120">
        <v>1.462397997898956</v>
      </c>
      <c r="F746" s="88" t="s">
        <v>2232</v>
      </c>
      <c r="G746" s="88" t="b">
        <v>0</v>
      </c>
      <c r="H746" s="88" t="b">
        <v>0</v>
      </c>
      <c r="I746" s="88" t="b">
        <v>0</v>
      </c>
      <c r="J746" s="88" t="b">
        <v>0</v>
      </c>
      <c r="K746" s="88" t="b">
        <v>0</v>
      </c>
      <c r="L746" s="88" t="b">
        <v>0</v>
      </c>
    </row>
    <row r="747" spans="1:12" ht="15">
      <c r="A747" s="88" t="s">
        <v>2271</v>
      </c>
      <c r="B747" s="88" t="s">
        <v>2359</v>
      </c>
      <c r="C747" s="88">
        <v>9</v>
      </c>
      <c r="D747" s="120">
        <v>0</v>
      </c>
      <c r="E747" s="120">
        <v>1.462397997898956</v>
      </c>
      <c r="F747" s="88" t="s">
        <v>2232</v>
      </c>
      <c r="G747" s="88" t="b">
        <v>0</v>
      </c>
      <c r="H747" s="88" t="b">
        <v>0</v>
      </c>
      <c r="I747" s="88" t="b">
        <v>0</v>
      </c>
      <c r="J747" s="88" t="b">
        <v>0</v>
      </c>
      <c r="K747" s="88" t="b">
        <v>0</v>
      </c>
      <c r="L747" s="88" t="b">
        <v>0</v>
      </c>
    </row>
    <row r="748" spans="1:12" ht="15">
      <c r="A748" s="88" t="s">
        <v>2359</v>
      </c>
      <c r="B748" s="88" t="s">
        <v>2293</v>
      </c>
      <c r="C748" s="88">
        <v>9</v>
      </c>
      <c r="D748" s="120">
        <v>0</v>
      </c>
      <c r="E748" s="120">
        <v>1.462397997898956</v>
      </c>
      <c r="F748" s="88" t="s">
        <v>2232</v>
      </c>
      <c r="G748" s="88" t="b">
        <v>0</v>
      </c>
      <c r="H748" s="88" t="b">
        <v>0</v>
      </c>
      <c r="I748" s="88" t="b">
        <v>0</v>
      </c>
      <c r="J748" s="88" t="b">
        <v>0</v>
      </c>
      <c r="K748" s="88" t="b">
        <v>0</v>
      </c>
      <c r="L748" s="88" t="b">
        <v>0</v>
      </c>
    </row>
    <row r="749" spans="1:12" ht="15">
      <c r="A749" s="88" t="s">
        <v>2293</v>
      </c>
      <c r="B749" s="88" t="s">
        <v>2360</v>
      </c>
      <c r="C749" s="88">
        <v>9</v>
      </c>
      <c r="D749" s="120">
        <v>0</v>
      </c>
      <c r="E749" s="120">
        <v>1.462397997898956</v>
      </c>
      <c r="F749" s="88" t="s">
        <v>2232</v>
      </c>
      <c r="G749" s="88" t="b">
        <v>0</v>
      </c>
      <c r="H749" s="88" t="b">
        <v>0</v>
      </c>
      <c r="I749" s="88" t="b">
        <v>0</v>
      </c>
      <c r="J749" s="88" t="b">
        <v>0</v>
      </c>
      <c r="K749" s="88" t="b">
        <v>0</v>
      </c>
      <c r="L749" s="88" t="b">
        <v>0</v>
      </c>
    </row>
    <row r="750" spans="1:12" ht="15">
      <c r="A750" s="88" t="s">
        <v>2360</v>
      </c>
      <c r="B750" s="88" t="s">
        <v>2361</v>
      </c>
      <c r="C750" s="88">
        <v>9</v>
      </c>
      <c r="D750" s="120">
        <v>0</v>
      </c>
      <c r="E750" s="120">
        <v>1.462397997898956</v>
      </c>
      <c r="F750" s="88" t="s">
        <v>2232</v>
      </c>
      <c r="G750" s="88" t="b">
        <v>0</v>
      </c>
      <c r="H750" s="88" t="b">
        <v>0</v>
      </c>
      <c r="I750" s="88" t="b">
        <v>0</v>
      </c>
      <c r="J750" s="88" t="b">
        <v>0</v>
      </c>
      <c r="K750" s="88" t="b">
        <v>0</v>
      </c>
      <c r="L750" s="88" t="b">
        <v>0</v>
      </c>
    </row>
    <row r="751" spans="1:12" ht="15">
      <c r="A751" s="88" t="s">
        <v>2361</v>
      </c>
      <c r="B751" s="88" t="s">
        <v>2362</v>
      </c>
      <c r="C751" s="88">
        <v>9</v>
      </c>
      <c r="D751" s="120">
        <v>0</v>
      </c>
      <c r="E751" s="120">
        <v>1.462397997898956</v>
      </c>
      <c r="F751" s="88" t="s">
        <v>2232</v>
      </c>
      <c r="G751" s="88" t="b">
        <v>0</v>
      </c>
      <c r="H751" s="88" t="b">
        <v>0</v>
      </c>
      <c r="I751" s="88" t="b">
        <v>0</v>
      </c>
      <c r="J751" s="88" t="b">
        <v>0</v>
      </c>
      <c r="K751" s="88" t="b">
        <v>0</v>
      </c>
      <c r="L751" s="88" t="b">
        <v>0</v>
      </c>
    </row>
    <row r="752" spans="1:12" ht="15">
      <c r="A752" s="88" t="s">
        <v>2362</v>
      </c>
      <c r="B752" s="88" t="s">
        <v>2363</v>
      </c>
      <c r="C752" s="88">
        <v>9</v>
      </c>
      <c r="D752" s="120">
        <v>0</v>
      </c>
      <c r="E752" s="120">
        <v>1.462397997898956</v>
      </c>
      <c r="F752" s="88" t="s">
        <v>2232</v>
      </c>
      <c r="G752" s="88" t="b">
        <v>0</v>
      </c>
      <c r="H752" s="88" t="b">
        <v>0</v>
      </c>
      <c r="I752" s="88" t="b">
        <v>0</v>
      </c>
      <c r="J752" s="88" t="b">
        <v>0</v>
      </c>
      <c r="K752" s="88" t="b">
        <v>0</v>
      </c>
      <c r="L752" s="88" t="b">
        <v>0</v>
      </c>
    </row>
    <row r="753" spans="1:12" ht="15">
      <c r="A753" s="88" t="s">
        <v>2363</v>
      </c>
      <c r="B753" s="88" t="s">
        <v>2364</v>
      </c>
      <c r="C753" s="88">
        <v>9</v>
      </c>
      <c r="D753" s="120">
        <v>0</v>
      </c>
      <c r="E753" s="120">
        <v>1.462397997898956</v>
      </c>
      <c r="F753" s="88" t="s">
        <v>2232</v>
      </c>
      <c r="G753" s="88" t="b">
        <v>0</v>
      </c>
      <c r="H753" s="88" t="b">
        <v>0</v>
      </c>
      <c r="I753" s="88" t="b">
        <v>0</v>
      </c>
      <c r="J753" s="88" t="b">
        <v>0</v>
      </c>
      <c r="K753" s="88" t="b">
        <v>0</v>
      </c>
      <c r="L753" s="88" t="b">
        <v>0</v>
      </c>
    </row>
    <row r="754" spans="1:12" ht="15">
      <c r="A754" s="88" t="s">
        <v>2364</v>
      </c>
      <c r="B754" s="88" t="s">
        <v>2365</v>
      </c>
      <c r="C754" s="88">
        <v>9</v>
      </c>
      <c r="D754" s="120">
        <v>0</v>
      </c>
      <c r="E754" s="120">
        <v>1.462397997898956</v>
      </c>
      <c r="F754" s="88" t="s">
        <v>2232</v>
      </c>
      <c r="G754" s="88" t="b">
        <v>0</v>
      </c>
      <c r="H754" s="88" t="b">
        <v>0</v>
      </c>
      <c r="I754" s="88" t="b">
        <v>0</v>
      </c>
      <c r="J754" s="88" t="b">
        <v>0</v>
      </c>
      <c r="K754" s="88" t="b">
        <v>0</v>
      </c>
      <c r="L754" s="88" t="b">
        <v>0</v>
      </c>
    </row>
    <row r="755" spans="1:12" ht="15">
      <c r="A755" s="88" t="s">
        <v>2365</v>
      </c>
      <c r="B755" s="88" t="s">
        <v>2323</v>
      </c>
      <c r="C755" s="88">
        <v>9</v>
      </c>
      <c r="D755" s="120">
        <v>0</v>
      </c>
      <c r="E755" s="120">
        <v>1.161368002234975</v>
      </c>
      <c r="F755" s="88" t="s">
        <v>2232</v>
      </c>
      <c r="G755" s="88" t="b">
        <v>0</v>
      </c>
      <c r="H755" s="88" t="b">
        <v>0</v>
      </c>
      <c r="I755" s="88" t="b">
        <v>0</v>
      </c>
      <c r="J755" s="88" t="b">
        <v>0</v>
      </c>
      <c r="K755" s="88" t="b">
        <v>0</v>
      </c>
      <c r="L755" s="88" t="b">
        <v>0</v>
      </c>
    </row>
    <row r="756" spans="1:12" ht="15">
      <c r="A756" s="88" t="s">
        <v>2323</v>
      </c>
      <c r="B756" s="88" t="s">
        <v>2366</v>
      </c>
      <c r="C756" s="88">
        <v>9</v>
      </c>
      <c r="D756" s="120">
        <v>0</v>
      </c>
      <c r="E756" s="120">
        <v>1.462397997898956</v>
      </c>
      <c r="F756" s="88" t="s">
        <v>2232</v>
      </c>
      <c r="G756" s="88" t="b">
        <v>0</v>
      </c>
      <c r="H756" s="88" t="b">
        <v>0</v>
      </c>
      <c r="I756" s="88" t="b">
        <v>0</v>
      </c>
      <c r="J756" s="88" t="b">
        <v>0</v>
      </c>
      <c r="K756" s="88" t="b">
        <v>0</v>
      </c>
      <c r="L756" s="88" t="b">
        <v>0</v>
      </c>
    </row>
    <row r="757" spans="1:12" ht="15">
      <c r="A757" s="88" t="s">
        <v>2366</v>
      </c>
      <c r="B757" s="88" t="s">
        <v>2367</v>
      </c>
      <c r="C757" s="88">
        <v>9</v>
      </c>
      <c r="D757" s="120">
        <v>0</v>
      </c>
      <c r="E757" s="120">
        <v>1.462397997898956</v>
      </c>
      <c r="F757" s="88" t="s">
        <v>2232</v>
      </c>
      <c r="G757" s="88" t="b">
        <v>0</v>
      </c>
      <c r="H757" s="88" t="b">
        <v>0</v>
      </c>
      <c r="I757" s="88" t="b">
        <v>0</v>
      </c>
      <c r="J757" s="88" t="b">
        <v>0</v>
      </c>
      <c r="K757" s="88" t="b">
        <v>0</v>
      </c>
      <c r="L757" s="88" t="b">
        <v>0</v>
      </c>
    </row>
    <row r="758" spans="1:12" ht="15">
      <c r="A758" s="88" t="s">
        <v>2367</v>
      </c>
      <c r="B758" s="88" t="s">
        <v>2368</v>
      </c>
      <c r="C758" s="88">
        <v>9</v>
      </c>
      <c r="D758" s="120">
        <v>0</v>
      </c>
      <c r="E758" s="120">
        <v>1.462397997898956</v>
      </c>
      <c r="F758" s="88" t="s">
        <v>2232</v>
      </c>
      <c r="G758" s="88" t="b">
        <v>0</v>
      </c>
      <c r="H758" s="88" t="b">
        <v>0</v>
      </c>
      <c r="I758" s="88" t="b">
        <v>0</v>
      </c>
      <c r="J758" s="88" t="b">
        <v>0</v>
      </c>
      <c r="K758" s="88" t="b">
        <v>0</v>
      </c>
      <c r="L758" s="88" t="b">
        <v>0</v>
      </c>
    </row>
    <row r="759" spans="1:12" ht="15">
      <c r="A759" s="88" t="s">
        <v>2368</v>
      </c>
      <c r="B759" s="88" t="s">
        <v>2369</v>
      </c>
      <c r="C759" s="88">
        <v>9</v>
      </c>
      <c r="D759" s="120">
        <v>0</v>
      </c>
      <c r="E759" s="120">
        <v>1.462397997898956</v>
      </c>
      <c r="F759" s="88" t="s">
        <v>2232</v>
      </c>
      <c r="G759" s="88" t="b">
        <v>0</v>
      </c>
      <c r="H759" s="88" t="b">
        <v>0</v>
      </c>
      <c r="I759" s="88" t="b">
        <v>0</v>
      </c>
      <c r="J759" s="88" t="b">
        <v>0</v>
      </c>
      <c r="K759" s="88" t="b">
        <v>0</v>
      </c>
      <c r="L759" s="88" t="b">
        <v>0</v>
      </c>
    </row>
    <row r="760" spans="1:12" ht="15">
      <c r="A760" s="88" t="s">
        <v>2369</v>
      </c>
      <c r="B760" s="88" t="s">
        <v>2323</v>
      </c>
      <c r="C760" s="88">
        <v>9</v>
      </c>
      <c r="D760" s="120">
        <v>0</v>
      </c>
      <c r="E760" s="120">
        <v>1.161368002234975</v>
      </c>
      <c r="F760" s="88" t="s">
        <v>2232</v>
      </c>
      <c r="G760" s="88" t="b">
        <v>0</v>
      </c>
      <c r="H760" s="88" t="b">
        <v>0</v>
      </c>
      <c r="I760" s="88" t="b">
        <v>0</v>
      </c>
      <c r="J760" s="88" t="b">
        <v>0</v>
      </c>
      <c r="K760" s="88" t="b">
        <v>0</v>
      </c>
      <c r="L760" s="88" t="b">
        <v>0</v>
      </c>
    </row>
    <row r="761" spans="1:12" ht="15">
      <c r="A761" s="88" t="s">
        <v>2394</v>
      </c>
      <c r="B761" s="88" t="s">
        <v>2395</v>
      </c>
      <c r="C761" s="88">
        <v>6</v>
      </c>
      <c r="D761" s="120">
        <v>0</v>
      </c>
      <c r="E761" s="120">
        <v>1.3222192947339193</v>
      </c>
      <c r="F761" s="88" t="s">
        <v>2233</v>
      </c>
      <c r="G761" s="88" t="b">
        <v>0</v>
      </c>
      <c r="H761" s="88" t="b">
        <v>0</v>
      </c>
      <c r="I761" s="88" t="b">
        <v>0</v>
      </c>
      <c r="J761" s="88" t="b">
        <v>0</v>
      </c>
      <c r="K761" s="88" t="b">
        <v>0</v>
      </c>
      <c r="L761" s="88" t="b">
        <v>0</v>
      </c>
    </row>
    <row r="762" spans="1:12" ht="15">
      <c r="A762" s="88" t="s">
        <v>2395</v>
      </c>
      <c r="B762" s="88" t="s">
        <v>2396</v>
      </c>
      <c r="C762" s="88">
        <v>6</v>
      </c>
      <c r="D762" s="120">
        <v>0</v>
      </c>
      <c r="E762" s="120">
        <v>1.3222192947339193</v>
      </c>
      <c r="F762" s="88" t="s">
        <v>2233</v>
      </c>
      <c r="G762" s="88" t="b">
        <v>0</v>
      </c>
      <c r="H762" s="88" t="b">
        <v>0</v>
      </c>
      <c r="I762" s="88" t="b">
        <v>0</v>
      </c>
      <c r="J762" s="88" t="b">
        <v>0</v>
      </c>
      <c r="K762" s="88" t="b">
        <v>0</v>
      </c>
      <c r="L762" s="88" t="b">
        <v>0</v>
      </c>
    </row>
    <row r="763" spans="1:12" ht="15">
      <c r="A763" s="88" t="s">
        <v>2396</v>
      </c>
      <c r="B763" s="88" t="s">
        <v>2397</v>
      </c>
      <c r="C763" s="88">
        <v>6</v>
      </c>
      <c r="D763" s="120">
        <v>0</v>
      </c>
      <c r="E763" s="120">
        <v>1.3222192947339193</v>
      </c>
      <c r="F763" s="88" t="s">
        <v>2233</v>
      </c>
      <c r="G763" s="88" t="b">
        <v>0</v>
      </c>
      <c r="H763" s="88" t="b">
        <v>0</v>
      </c>
      <c r="I763" s="88" t="b">
        <v>0</v>
      </c>
      <c r="J763" s="88" t="b">
        <v>0</v>
      </c>
      <c r="K763" s="88" t="b">
        <v>0</v>
      </c>
      <c r="L763" s="88" t="b">
        <v>0</v>
      </c>
    </row>
    <row r="764" spans="1:12" ht="15">
      <c r="A764" s="88" t="s">
        <v>2397</v>
      </c>
      <c r="B764" s="88" t="s">
        <v>2398</v>
      </c>
      <c r="C764" s="88">
        <v>6</v>
      </c>
      <c r="D764" s="120">
        <v>0</v>
      </c>
      <c r="E764" s="120">
        <v>1.3222192947339193</v>
      </c>
      <c r="F764" s="88" t="s">
        <v>2233</v>
      </c>
      <c r="G764" s="88" t="b">
        <v>0</v>
      </c>
      <c r="H764" s="88" t="b">
        <v>0</v>
      </c>
      <c r="I764" s="88" t="b">
        <v>0</v>
      </c>
      <c r="J764" s="88" t="b">
        <v>0</v>
      </c>
      <c r="K764" s="88" t="b">
        <v>0</v>
      </c>
      <c r="L764" s="88" t="b">
        <v>0</v>
      </c>
    </row>
    <row r="765" spans="1:12" ht="15">
      <c r="A765" s="88" t="s">
        <v>2398</v>
      </c>
      <c r="B765" s="88" t="s">
        <v>2399</v>
      </c>
      <c r="C765" s="88">
        <v>6</v>
      </c>
      <c r="D765" s="120">
        <v>0</v>
      </c>
      <c r="E765" s="120">
        <v>1.3222192947339193</v>
      </c>
      <c r="F765" s="88" t="s">
        <v>2233</v>
      </c>
      <c r="G765" s="88" t="b">
        <v>0</v>
      </c>
      <c r="H765" s="88" t="b">
        <v>0</v>
      </c>
      <c r="I765" s="88" t="b">
        <v>0</v>
      </c>
      <c r="J765" s="88" t="b">
        <v>0</v>
      </c>
      <c r="K765" s="88" t="b">
        <v>0</v>
      </c>
      <c r="L765" s="88" t="b">
        <v>0</v>
      </c>
    </row>
    <row r="766" spans="1:12" ht="15">
      <c r="A766" s="88" t="s">
        <v>2399</v>
      </c>
      <c r="B766" s="88" t="s">
        <v>2400</v>
      </c>
      <c r="C766" s="88">
        <v>6</v>
      </c>
      <c r="D766" s="120">
        <v>0</v>
      </c>
      <c r="E766" s="120">
        <v>1.3222192947339193</v>
      </c>
      <c r="F766" s="88" t="s">
        <v>2233</v>
      </c>
      <c r="G766" s="88" t="b">
        <v>0</v>
      </c>
      <c r="H766" s="88" t="b">
        <v>0</v>
      </c>
      <c r="I766" s="88" t="b">
        <v>0</v>
      </c>
      <c r="J766" s="88" t="b">
        <v>0</v>
      </c>
      <c r="K766" s="88" t="b">
        <v>0</v>
      </c>
      <c r="L766" s="88" t="b">
        <v>0</v>
      </c>
    </row>
    <row r="767" spans="1:12" ht="15">
      <c r="A767" s="88" t="s">
        <v>2400</v>
      </c>
      <c r="B767" s="88" t="s">
        <v>699</v>
      </c>
      <c r="C767" s="88">
        <v>6</v>
      </c>
      <c r="D767" s="120">
        <v>0</v>
      </c>
      <c r="E767" s="120">
        <v>1.3222192947339193</v>
      </c>
      <c r="F767" s="88" t="s">
        <v>2233</v>
      </c>
      <c r="G767" s="88" t="b">
        <v>0</v>
      </c>
      <c r="H767" s="88" t="b">
        <v>0</v>
      </c>
      <c r="I767" s="88" t="b">
        <v>0</v>
      </c>
      <c r="J767" s="88" t="b">
        <v>0</v>
      </c>
      <c r="K767" s="88" t="b">
        <v>0</v>
      </c>
      <c r="L767" s="88" t="b">
        <v>0</v>
      </c>
    </row>
    <row r="768" spans="1:12" ht="15">
      <c r="A768" s="88" t="s">
        <v>699</v>
      </c>
      <c r="B768" s="88" t="s">
        <v>2401</v>
      </c>
      <c r="C768" s="88">
        <v>6</v>
      </c>
      <c r="D768" s="120">
        <v>0</v>
      </c>
      <c r="E768" s="120">
        <v>1.3222192947339193</v>
      </c>
      <c r="F768" s="88" t="s">
        <v>2233</v>
      </c>
      <c r="G768" s="88" t="b">
        <v>0</v>
      </c>
      <c r="H768" s="88" t="b">
        <v>0</v>
      </c>
      <c r="I768" s="88" t="b">
        <v>0</v>
      </c>
      <c r="J768" s="88" t="b">
        <v>0</v>
      </c>
      <c r="K768" s="88" t="b">
        <v>0</v>
      </c>
      <c r="L768" s="88" t="b">
        <v>0</v>
      </c>
    </row>
    <row r="769" spans="1:12" ht="15">
      <c r="A769" s="88" t="s">
        <v>2401</v>
      </c>
      <c r="B769" s="88" t="s">
        <v>2402</v>
      </c>
      <c r="C769" s="88">
        <v>6</v>
      </c>
      <c r="D769" s="120">
        <v>0</v>
      </c>
      <c r="E769" s="120">
        <v>1.3222192947339193</v>
      </c>
      <c r="F769" s="88" t="s">
        <v>2233</v>
      </c>
      <c r="G769" s="88" t="b">
        <v>0</v>
      </c>
      <c r="H769" s="88" t="b">
        <v>0</v>
      </c>
      <c r="I769" s="88" t="b">
        <v>0</v>
      </c>
      <c r="J769" s="88" t="b">
        <v>0</v>
      </c>
      <c r="K769" s="88" t="b">
        <v>0</v>
      </c>
      <c r="L769" s="88" t="b">
        <v>0</v>
      </c>
    </row>
    <row r="770" spans="1:12" ht="15">
      <c r="A770" s="88" t="s">
        <v>2402</v>
      </c>
      <c r="B770" s="88" t="s">
        <v>532</v>
      </c>
      <c r="C770" s="88">
        <v>6</v>
      </c>
      <c r="D770" s="120">
        <v>0</v>
      </c>
      <c r="E770" s="120">
        <v>1.3222192947339193</v>
      </c>
      <c r="F770" s="88" t="s">
        <v>2233</v>
      </c>
      <c r="G770" s="88" t="b">
        <v>0</v>
      </c>
      <c r="H770" s="88" t="b">
        <v>0</v>
      </c>
      <c r="I770" s="88" t="b">
        <v>0</v>
      </c>
      <c r="J770" s="88" t="b">
        <v>0</v>
      </c>
      <c r="K770" s="88" t="b">
        <v>0</v>
      </c>
      <c r="L770" s="88" t="b">
        <v>0</v>
      </c>
    </row>
    <row r="771" spans="1:12" ht="15">
      <c r="A771" s="88" t="s">
        <v>532</v>
      </c>
      <c r="B771" s="88" t="s">
        <v>2403</v>
      </c>
      <c r="C771" s="88">
        <v>6</v>
      </c>
      <c r="D771" s="120">
        <v>0</v>
      </c>
      <c r="E771" s="120">
        <v>1.3222192947339193</v>
      </c>
      <c r="F771" s="88" t="s">
        <v>2233</v>
      </c>
      <c r="G771" s="88" t="b">
        <v>0</v>
      </c>
      <c r="H771" s="88" t="b">
        <v>0</v>
      </c>
      <c r="I771" s="88" t="b">
        <v>0</v>
      </c>
      <c r="J771" s="88" t="b">
        <v>0</v>
      </c>
      <c r="K771" s="88" t="b">
        <v>0</v>
      </c>
      <c r="L771" s="88" t="b">
        <v>0</v>
      </c>
    </row>
    <row r="772" spans="1:12" ht="15">
      <c r="A772" s="88" t="s">
        <v>2403</v>
      </c>
      <c r="B772" s="88" t="s">
        <v>2271</v>
      </c>
      <c r="C772" s="88">
        <v>6</v>
      </c>
      <c r="D772" s="120">
        <v>0</v>
      </c>
      <c r="E772" s="120">
        <v>1.3222192947339193</v>
      </c>
      <c r="F772" s="88" t="s">
        <v>2233</v>
      </c>
      <c r="G772" s="88" t="b">
        <v>0</v>
      </c>
      <c r="H772" s="88" t="b">
        <v>0</v>
      </c>
      <c r="I772" s="88" t="b">
        <v>0</v>
      </c>
      <c r="J772" s="88" t="b">
        <v>0</v>
      </c>
      <c r="K772" s="88" t="b">
        <v>0</v>
      </c>
      <c r="L772" s="88" t="b">
        <v>0</v>
      </c>
    </row>
    <row r="773" spans="1:12" ht="15">
      <c r="A773" s="88" t="s">
        <v>2271</v>
      </c>
      <c r="B773" s="88" t="s">
        <v>2404</v>
      </c>
      <c r="C773" s="88">
        <v>6</v>
      </c>
      <c r="D773" s="120">
        <v>0</v>
      </c>
      <c r="E773" s="120">
        <v>1.3222192947339193</v>
      </c>
      <c r="F773" s="88" t="s">
        <v>2233</v>
      </c>
      <c r="G773" s="88" t="b">
        <v>0</v>
      </c>
      <c r="H773" s="88" t="b">
        <v>0</v>
      </c>
      <c r="I773" s="88" t="b">
        <v>0</v>
      </c>
      <c r="J773" s="88" t="b">
        <v>0</v>
      </c>
      <c r="K773" s="88" t="b">
        <v>0</v>
      </c>
      <c r="L773" s="88" t="b">
        <v>0</v>
      </c>
    </row>
    <row r="774" spans="1:12" ht="15">
      <c r="A774" s="88" t="s">
        <v>2404</v>
      </c>
      <c r="B774" s="88" t="s">
        <v>2405</v>
      </c>
      <c r="C774" s="88">
        <v>6</v>
      </c>
      <c r="D774" s="120">
        <v>0</v>
      </c>
      <c r="E774" s="120">
        <v>1.3222192947339193</v>
      </c>
      <c r="F774" s="88" t="s">
        <v>2233</v>
      </c>
      <c r="G774" s="88" t="b">
        <v>0</v>
      </c>
      <c r="H774" s="88" t="b">
        <v>0</v>
      </c>
      <c r="I774" s="88" t="b">
        <v>0</v>
      </c>
      <c r="J774" s="88" t="b">
        <v>0</v>
      </c>
      <c r="K774" s="88" t="b">
        <v>1</v>
      </c>
      <c r="L774" s="88" t="b">
        <v>0</v>
      </c>
    </row>
    <row r="775" spans="1:12" ht="15">
      <c r="A775" s="88" t="s">
        <v>2405</v>
      </c>
      <c r="B775" s="88" t="s">
        <v>2406</v>
      </c>
      <c r="C775" s="88">
        <v>6</v>
      </c>
      <c r="D775" s="120">
        <v>0</v>
      </c>
      <c r="E775" s="120">
        <v>1.3222192947339193</v>
      </c>
      <c r="F775" s="88" t="s">
        <v>2233</v>
      </c>
      <c r="G775" s="88" t="b">
        <v>0</v>
      </c>
      <c r="H775" s="88" t="b">
        <v>1</v>
      </c>
      <c r="I775" s="88" t="b">
        <v>0</v>
      </c>
      <c r="J775" s="88" t="b">
        <v>0</v>
      </c>
      <c r="K775" s="88" t="b">
        <v>0</v>
      </c>
      <c r="L775" s="88" t="b">
        <v>0</v>
      </c>
    </row>
    <row r="776" spans="1:12" ht="15">
      <c r="A776" s="88" t="s">
        <v>2406</v>
      </c>
      <c r="B776" s="88" t="s">
        <v>2334</v>
      </c>
      <c r="C776" s="88">
        <v>6</v>
      </c>
      <c r="D776" s="120">
        <v>0</v>
      </c>
      <c r="E776" s="120">
        <v>1.3222192947339193</v>
      </c>
      <c r="F776" s="88" t="s">
        <v>2233</v>
      </c>
      <c r="G776" s="88" t="b">
        <v>0</v>
      </c>
      <c r="H776" s="88" t="b">
        <v>0</v>
      </c>
      <c r="I776" s="88" t="b">
        <v>0</v>
      </c>
      <c r="J776" s="88" t="b">
        <v>0</v>
      </c>
      <c r="K776" s="88" t="b">
        <v>0</v>
      </c>
      <c r="L776" s="88" t="b">
        <v>0</v>
      </c>
    </row>
    <row r="777" spans="1:12" ht="15">
      <c r="A777" s="88" t="s">
        <v>2334</v>
      </c>
      <c r="B777" s="88" t="s">
        <v>2372</v>
      </c>
      <c r="C777" s="88">
        <v>6</v>
      </c>
      <c r="D777" s="120">
        <v>0</v>
      </c>
      <c r="E777" s="120">
        <v>1.3222192947339193</v>
      </c>
      <c r="F777" s="88" t="s">
        <v>2233</v>
      </c>
      <c r="G777" s="88" t="b">
        <v>0</v>
      </c>
      <c r="H777" s="88" t="b">
        <v>0</v>
      </c>
      <c r="I777" s="88" t="b">
        <v>0</v>
      </c>
      <c r="J777" s="88" t="b">
        <v>1</v>
      </c>
      <c r="K777" s="88" t="b">
        <v>0</v>
      </c>
      <c r="L777" s="88" t="b">
        <v>0</v>
      </c>
    </row>
    <row r="778" spans="1:12" ht="15">
      <c r="A778" s="88" t="s">
        <v>2372</v>
      </c>
      <c r="B778" s="88" t="s">
        <v>2407</v>
      </c>
      <c r="C778" s="88">
        <v>6</v>
      </c>
      <c r="D778" s="120">
        <v>0</v>
      </c>
      <c r="E778" s="120">
        <v>1.3222192947339193</v>
      </c>
      <c r="F778" s="88" t="s">
        <v>2233</v>
      </c>
      <c r="G778" s="88" t="b">
        <v>1</v>
      </c>
      <c r="H778" s="88" t="b">
        <v>0</v>
      </c>
      <c r="I778" s="88" t="b">
        <v>0</v>
      </c>
      <c r="J778" s="88" t="b">
        <v>0</v>
      </c>
      <c r="K778" s="88" t="b">
        <v>0</v>
      </c>
      <c r="L778" s="88" t="b">
        <v>0</v>
      </c>
    </row>
    <row r="779" spans="1:12" ht="15">
      <c r="A779" s="88" t="s">
        <v>2407</v>
      </c>
      <c r="B779" s="88" t="s">
        <v>531</v>
      </c>
      <c r="C779" s="88">
        <v>6</v>
      </c>
      <c r="D779" s="120">
        <v>0</v>
      </c>
      <c r="E779" s="120">
        <v>1.3222192947339193</v>
      </c>
      <c r="F779" s="88" t="s">
        <v>2233</v>
      </c>
      <c r="G779" s="88" t="b">
        <v>0</v>
      </c>
      <c r="H779" s="88" t="b">
        <v>0</v>
      </c>
      <c r="I779" s="88" t="b">
        <v>0</v>
      </c>
      <c r="J779" s="88" t="b">
        <v>0</v>
      </c>
      <c r="K779" s="88" t="b">
        <v>0</v>
      </c>
      <c r="L779" s="88" t="b">
        <v>0</v>
      </c>
    </row>
    <row r="780" spans="1:12" ht="15">
      <c r="A780" s="88" t="s">
        <v>531</v>
      </c>
      <c r="B780" s="88" t="s">
        <v>2408</v>
      </c>
      <c r="C780" s="88">
        <v>6</v>
      </c>
      <c r="D780" s="120">
        <v>0</v>
      </c>
      <c r="E780" s="120">
        <v>1.3222192947339193</v>
      </c>
      <c r="F780" s="88" t="s">
        <v>2233</v>
      </c>
      <c r="G780" s="88" t="b">
        <v>0</v>
      </c>
      <c r="H780" s="88" t="b">
        <v>0</v>
      </c>
      <c r="I780" s="88" t="b">
        <v>0</v>
      </c>
      <c r="J780" s="88" t="b">
        <v>1</v>
      </c>
      <c r="K780" s="88" t="b">
        <v>0</v>
      </c>
      <c r="L780" s="88" t="b">
        <v>0</v>
      </c>
    </row>
    <row r="781" spans="1:12" ht="15">
      <c r="A781" s="88" t="s">
        <v>2408</v>
      </c>
      <c r="B781" s="88" t="s">
        <v>2409</v>
      </c>
      <c r="C781" s="88">
        <v>6</v>
      </c>
      <c r="D781" s="120">
        <v>0</v>
      </c>
      <c r="E781" s="120">
        <v>1.3222192947339193</v>
      </c>
      <c r="F781" s="88" t="s">
        <v>2233</v>
      </c>
      <c r="G781" s="88" t="b">
        <v>1</v>
      </c>
      <c r="H781" s="88" t="b">
        <v>0</v>
      </c>
      <c r="I781" s="88" t="b">
        <v>0</v>
      </c>
      <c r="J781" s="88" t="b">
        <v>0</v>
      </c>
      <c r="K781" s="88" t="b">
        <v>0</v>
      </c>
      <c r="L781" s="88" t="b">
        <v>0</v>
      </c>
    </row>
    <row r="782" spans="1:12" ht="15">
      <c r="A782" s="88" t="s">
        <v>2444</v>
      </c>
      <c r="B782" s="88" t="s">
        <v>2583</v>
      </c>
      <c r="C782" s="88">
        <v>2</v>
      </c>
      <c r="D782" s="120">
        <v>0.008191292399019896</v>
      </c>
      <c r="E782" s="120">
        <v>1.5409548089261327</v>
      </c>
      <c r="F782" s="88" t="s">
        <v>2234</v>
      </c>
      <c r="G782" s="88" t="b">
        <v>0</v>
      </c>
      <c r="H782" s="88" t="b">
        <v>0</v>
      </c>
      <c r="I782" s="88" t="b">
        <v>0</v>
      </c>
      <c r="J782" s="88" t="b">
        <v>0</v>
      </c>
      <c r="K782" s="88" t="b">
        <v>0</v>
      </c>
      <c r="L782" s="88" t="b">
        <v>0</v>
      </c>
    </row>
    <row r="783" spans="1:12" ht="15">
      <c r="A783" s="88" t="s">
        <v>2583</v>
      </c>
      <c r="B783" s="88" t="s">
        <v>2492</v>
      </c>
      <c r="C783" s="88">
        <v>2</v>
      </c>
      <c r="D783" s="120">
        <v>0.008191292399019896</v>
      </c>
      <c r="E783" s="120">
        <v>1.6658935455344326</v>
      </c>
      <c r="F783" s="88" t="s">
        <v>2234</v>
      </c>
      <c r="G783" s="88" t="b">
        <v>0</v>
      </c>
      <c r="H783" s="88" t="b">
        <v>0</v>
      </c>
      <c r="I783" s="88" t="b">
        <v>0</v>
      </c>
      <c r="J783" s="88" t="b">
        <v>0</v>
      </c>
      <c r="K783" s="88" t="b">
        <v>0</v>
      </c>
      <c r="L783" s="88" t="b">
        <v>0</v>
      </c>
    </row>
    <row r="784" spans="1:12" ht="15">
      <c r="A784" s="88" t="s">
        <v>2492</v>
      </c>
      <c r="B784" s="88" t="s">
        <v>2584</v>
      </c>
      <c r="C784" s="88">
        <v>2</v>
      </c>
      <c r="D784" s="120">
        <v>0.008191292399019896</v>
      </c>
      <c r="E784" s="120">
        <v>1.6658935455344326</v>
      </c>
      <c r="F784" s="88" t="s">
        <v>2234</v>
      </c>
      <c r="G784" s="88" t="b">
        <v>0</v>
      </c>
      <c r="H784" s="88" t="b">
        <v>0</v>
      </c>
      <c r="I784" s="88" t="b">
        <v>0</v>
      </c>
      <c r="J784" s="88" t="b">
        <v>0</v>
      </c>
      <c r="K784" s="88" t="b">
        <v>0</v>
      </c>
      <c r="L784" s="88" t="b">
        <v>0</v>
      </c>
    </row>
    <row r="785" spans="1:12" ht="15">
      <c r="A785" s="88" t="s">
        <v>2584</v>
      </c>
      <c r="B785" s="88" t="s">
        <v>2585</v>
      </c>
      <c r="C785" s="88">
        <v>2</v>
      </c>
      <c r="D785" s="120">
        <v>0.008191292399019896</v>
      </c>
      <c r="E785" s="120">
        <v>1.841984804590114</v>
      </c>
      <c r="F785" s="88" t="s">
        <v>2234</v>
      </c>
      <c r="G785" s="88" t="b">
        <v>0</v>
      </c>
      <c r="H785" s="88" t="b">
        <v>0</v>
      </c>
      <c r="I785" s="88" t="b">
        <v>0</v>
      </c>
      <c r="J785" s="88" t="b">
        <v>0</v>
      </c>
      <c r="K785" s="88" t="b">
        <v>0</v>
      </c>
      <c r="L785" s="88" t="b">
        <v>0</v>
      </c>
    </row>
    <row r="786" spans="1:12" ht="15">
      <c r="A786" s="88" t="s">
        <v>2585</v>
      </c>
      <c r="B786" s="88" t="s">
        <v>2586</v>
      </c>
      <c r="C786" s="88">
        <v>2</v>
      </c>
      <c r="D786" s="120">
        <v>0.008191292399019896</v>
      </c>
      <c r="E786" s="120">
        <v>1.841984804590114</v>
      </c>
      <c r="F786" s="88" t="s">
        <v>2234</v>
      </c>
      <c r="G786" s="88" t="b">
        <v>0</v>
      </c>
      <c r="H786" s="88" t="b">
        <v>0</v>
      </c>
      <c r="I786" s="88" t="b">
        <v>0</v>
      </c>
      <c r="J786" s="88" t="b">
        <v>0</v>
      </c>
      <c r="K786" s="88" t="b">
        <v>0</v>
      </c>
      <c r="L786" s="88" t="b">
        <v>0</v>
      </c>
    </row>
    <row r="787" spans="1:12" ht="15">
      <c r="A787" s="88" t="s">
        <v>2586</v>
      </c>
      <c r="B787" s="88" t="s">
        <v>2587</v>
      </c>
      <c r="C787" s="88">
        <v>2</v>
      </c>
      <c r="D787" s="120">
        <v>0.008191292399019896</v>
      </c>
      <c r="E787" s="120">
        <v>1.841984804590114</v>
      </c>
      <c r="F787" s="88" t="s">
        <v>2234</v>
      </c>
      <c r="G787" s="88" t="b">
        <v>0</v>
      </c>
      <c r="H787" s="88" t="b">
        <v>0</v>
      </c>
      <c r="I787" s="88" t="b">
        <v>0</v>
      </c>
      <c r="J787" s="88" t="b">
        <v>0</v>
      </c>
      <c r="K787" s="88" t="b">
        <v>0</v>
      </c>
      <c r="L787" s="88" t="b">
        <v>0</v>
      </c>
    </row>
    <row r="788" spans="1:12" ht="15">
      <c r="A788" s="88" t="s">
        <v>2587</v>
      </c>
      <c r="B788" s="88" t="s">
        <v>2588</v>
      </c>
      <c r="C788" s="88">
        <v>2</v>
      </c>
      <c r="D788" s="120">
        <v>0.008191292399019896</v>
      </c>
      <c r="E788" s="120">
        <v>1.841984804590114</v>
      </c>
      <c r="F788" s="88" t="s">
        <v>2234</v>
      </c>
      <c r="G788" s="88" t="b">
        <v>0</v>
      </c>
      <c r="H788" s="88" t="b">
        <v>0</v>
      </c>
      <c r="I788" s="88" t="b">
        <v>0</v>
      </c>
      <c r="J788" s="88" t="b">
        <v>0</v>
      </c>
      <c r="K788" s="88" t="b">
        <v>0</v>
      </c>
      <c r="L788" s="88" t="b">
        <v>0</v>
      </c>
    </row>
    <row r="789" spans="1:12" ht="15">
      <c r="A789" s="88" t="s">
        <v>2588</v>
      </c>
      <c r="B789" s="88" t="s">
        <v>2589</v>
      </c>
      <c r="C789" s="88">
        <v>2</v>
      </c>
      <c r="D789" s="120">
        <v>0.008191292399019896</v>
      </c>
      <c r="E789" s="120">
        <v>1.841984804590114</v>
      </c>
      <c r="F789" s="88" t="s">
        <v>2234</v>
      </c>
      <c r="G789" s="88" t="b">
        <v>0</v>
      </c>
      <c r="H789" s="88" t="b">
        <v>0</v>
      </c>
      <c r="I789" s="88" t="b">
        <v>0</v>
      </c>
      <c r="J789" s="88" t="b">
        <v>0</v>
      </c>
      <c r="K789" s="88" t="b">
        <v>0</v>
      </c>
      <c r="L789" s="88" t="b">
        <v>0</v>
      </c>
    </row>
    <row r="790" spans="1:12" ht="15">
      <c r="A790" s="88" t="s">
        <v>2589</v>
      </c>
      <c r="B790" s="88" t="s">
        <v>2590</v>
      </c>
      <c r="C790" s="88">
        <v>2</v>
      </c>
      <c r="D790" s="120">
        <v>0.008191292399019896</v>
      </c>
      <c r="E790" s="120">
        <v>1.841984804590114</v>
      </c>
      <c r="F790" s="88" t="s">
        <v>2234</v>
      </c>
      <c r="G790" s="88" t="b">
        <v>0</v>
      </c>
      <c r="H790" s="88" t="b">
        <v>0</v>
      </c>
      <c r="I790" s="88" t="b">
        <v>0</v>
      </c>
      <c r="J790" s="88" t="b">
        <v>0</v>
      </c>
      <c r="K790" s="88" t="b">
        <v>0</v>
      </c>
      <c r="L790" s="88" t="b">
        <v>0</v>
      </c>
    </row>
    <row r="791" spans="1:12" ht="15">
      <c r="A791" s="88" t="s">
        <v>2590</v>
      </c>
      <c r="B791" s="88" t="s">
        <v>2420</v>
      </c>
      <c r="C791" s="88">
        <v>2</v>
      </c>
      <c r="D791" s="120">
        <v>0.008191292399019896</v>
      </c>
      <c r="E791" s="120">
        <v>1.5409548089261327</v>
      </c>
      <c r="F791" s="88" t="s">
        <v>2234</v>
      </c>
      <c r="G791" s="88" t="b">
        <v>0</v>
      </c>
      <c r="H791" s="88" t="b">
        <v>0</v>
      </c>
      <c r="I791" s="88" t="b">
        <v>0</v>
      </c>
      <c r="J791" s="88" t="b">
        <v>0</v>
      </c>
      <c r="K791" s="88" t="b">
        <v>0</v>
      </c>
      <c r="L791" s="88" t="b">
        <v>0</v>
      </c>
    </row>
    <row r="792" spans="1:12" ht="15">
      <c r="A792" s="88" t="s">
        <v>2420</v>
      </c>
      <c r="B792" s="88" t="s">
        <v>2445</v>
      </c>
      <c r="C792" s="88">
        <v>2</v>
      </c>
      <c r="D792" s="120">
        <v>0.008191292399019896</v>
      </c>
      <c r="E792" s="120">
        <v>1.1430148002540952</v>
      </c>
      <c r="F792" s="88" t="s">
        <v>2234</v>
      </c>
      <c r="G792" s="88" t="b">
        <v>0</v>
      </c>
      <c r="H792" s="88" t="b">
        <v>0</v>
      </c>
      <c r="I792" s="88" t="b">
        <v>0</v>
      </c>
      <c r="J792" s="88" t="b">
        <v>0</v>
      </c>
      <c r="K792" s="88" t="b">
        <v>0</v>
      </c>
      <c r="L792" s="88" t="b">
        <v>0</v>
      </c>
    </row>
    <row r="793" spans="1:12" ht="15">
      <c r="A793" s="88" t="s">
        <v>2445</v>
      </c>
      <c r="B793" s="88" t="s">
        <v>2591</v>
      </c>
      <c r="C793" s="88">
        <v>2</v>
      </c>
      <c r="D793" s="120">
        <v>0.008191292399019896</v>
      </c>
      <c r="E793" s="120">
        <v>1.5409548089261327</v>
      </c>
      <c r="F793" s="88" t="s">
        <v>2234</v>
      </c>
      <c r="G793" s="88" t="b">
        <v>0</v>
      </c>
      <c r="H793" s="88" t="b">
        <v>0</v>
      </c>
      <c r="I793" s="88" t="b">
        <v>0</v>
      </c>
      <c r="J793" s="88" t="b">
        <v>0</v>
      </c>
      <c r="K793" s="88" t="b">
        <v>0</v>
      </c>
      <c r="L793" s="88" t="b">
        <v>0</v>
      </c>
    </row>
    <row r="794" spans="1:12" ht="15">
      <c r="A794" s="88" t="s">
        <v>2591</v>
      </c>
      <c r="B794" s="88" t="s">
        <v>2493</v>
      </c>
      <c r="C794" s="88">
        <v>2</v>
      </c>
      <c r="D794" s="120">
        <v>0.008191292399019896</v>
      </c>
      <c r="E794" s="120">
        <v>1.6658935455344326</v>
      </c>
      <c r="F794" s="88" t="s">
        <v>2234</v>
      </c>
      <c r="G794" s="88" t="b">
        <v>0</v>
      </c>
      <c r="H794" s="88" t="b">
        <v>0</v>
      </c>
      <c r="I794" s="88" t="b">
        <v>0</v>
      </c>
      <c r="J794" s="88" t="b">
        <v>0</v>
      </c>
      <c r="K794" s="88" t="b">
        <v>0</v>
      </c>
      <c r="L794" s="88" t="b">
        <v>0</v>
      </c>
    </row>
    <row r="795" spans="1:12" ht="15">
      <c r="A795" s="88" t="s">
        <v>2493</v>
      </c>
      <c r="B795" s="88" t="s">
        <v>2592</v>
      </c>
      <c r="C795" s="88">
        <v>2</v>
      </c>
      <c r="D795" s="120">
        <v>0.008191292399019896</v>
      </c>
      <c r="E795" s="120">
        <v>1.6658935455344326</v>
      </c>
      <c r="F795" s="88" t="s">
        <v>2234</v>
      </c>
      <c r="G795" s="88" t="b">
        <v>0</v>
      </c>
      <c r="H795" s="88" t="b">
        <v>0</v>
      </c>
      <c r="I795" s="88" t="b">
        <v>0</v>
      </c>
      <c r="J795" s="88" t="b">
        <v>0</v>
      </c>
      <c r="K795" s="88" t="b">
        <v>0</v>
      </c>
      <c r="L795" s="88" t="b">
        <v>0</v>
      </c>
    </row>
    <row r="796" spans="1:12" ht="15">
      <c r="A796" s="88" t="s">
        <v>2592</v>
      </c>
      <c r="B796" s="88" t="s">
        <v>2271</v>
      </c>
      <c r="C796" s="88">
        <v>2</v>
      </c>
      <c r="D796" s="120">
        <v>0.008191292399019896</v>
      </c>
      <c r="E796" s="120">
        <v>1.2399248132621514</v>
      </c>
      <c r="F796" s="88" t="s">
        <v>2234</v>
      </c>
      <c r="G796" s="88" t="b">
        <v>0</v>
      </c>
      <c r="H796" s="88" t="b">
        <v>0</v>
      </c>
      <c r="I796" s="88" t="b">
        <v>0</v>
      </c>
      <c r="J796" s="88" t="b">
        <v>0</v>
      </c>
      <c r="K796" s="88" t="b">
        <v>0</v>
      </c>
      <c r="L796" s="88" t="b">
        <v>0</v>
      </c>
    </row>
    <row r="797" spans="1:12" ht="15">
      <c r="A797" s="88" t="s">
        <v>2271</v>
      </c>
      <c r="B797" s="88" t="s">
        <v>2593</v>
      </c>
      <c r="C797" s="88">
        <v>2</v>
      </c>
      <c r="D797" s="120">
        <v>0.008191292399019896</v>
      </c>
      <c r="E797" s="120">
        <v>1.2979167602398383</v>
      </c>
      <c r="F797" s="88" t="s">
        <v>2234</v>
      </c>
      <c r="G797" s="88" t="b">
        <v>0</v>
      </c>
      <c r="H797" s="88" t="b">
        <v>0</v>
      </c>
      <c r="I797" s="88" t="b">
        <v>0</v>
      </c>
      <c r="J797" s="88" t="b">
        <v>0</v>
      </c>
      <c r="K797" s="88" t="b">
        <v>0</v>
      </c>
      <c r="L797" s="88" t="b">
        <v>0</v>
      </c>
    </row>
    <row r="798" spans="1:12" ht="15">
      <c r="A798" s="88" t="s">
        <v>2391</v>
      </c>
      <c r="B798" s="88" t="s">
        <v>2392</v>
      </c>
      <c r="C798" s="88">
        <v>6</v>
      </c>
      <c r="D798" s="120">
        <v>0</v>
      </c>
      <c r="E798" s="120">
        <v>0.6020599913279624</v>
      </c>
      <c r="F798" s="88" t="s">
        <v>2235</v>
      </c>
      <c r="G798" s="88" t="b">
        <v>0</v>
      </c>
      <c r="H798" s="88" t="b">
        <v>0</v>
      </c>
      <c r="I798" s="88" t="b">
        <v>0</v>
      </c>
      <c r="J798" s="88" t="b">
        <v>1</v>
      </c>
      <c r="K798" s="88" t="b">
        <v>0</v>
      </c>
      <c r="L798" s="88" t="b">
        <v>0</v>
      </c>
    </row>
    <row r="799" spans="1:12" ht="15">
      <c r="A799" s="88" t="s">
        <v>2392</v>
      </c>
      <c r="B799" s="88" t="s">
        <v>2275</v>
      </c>
      <c r="C799" s="88">
        <v>6</v>
      </c>
      <c r="D799" s="120">
        <v>0</v>
      </c>
      <c r="E799" s="120">
        <v>0.6020599913279624</v>
      </c>
      <c r="F799" s="88" t="s">
        <v>2235</v>
      </c>
      <c r="G799" s="88" t="b">
        <v>1</v>
      </c>
      <c r="H799" s="88" t="b">
        <v>0</v>
      </c>
      <c r="I799" s="88" t="b">
        <v>0</v>
      </c>
      <c r="J799" s="88" t="b">
        <v>0</v>
      </c>
      <c r="K799" s="88" t="b">
        <v>0</v>
      </c>
      <c r="L799" s="88" t="b">
        <v>0</v>
      </c>
    </row>
    <row r="800" spans="1:12" ht="15">
      <c r="A800" s="88" t="s">
        <v>2275</v>
      </c>
      <c r="B800" s="88" t="s">
        <v>2331</v>
      </c>
      <c r="C800" s="88">
        <v>6</v>
      </c>
      <c r="D800" s="120">
        <v>0</v>
      </c>
      <c r="E800" s="120">
        <v>0.6020599913279624</v>
      </c>
      <c r="F800" s="88" t="s">
        <v>2235</v>
      </c>
      <c r="G800" s="88" t="b">
        <v>0</v>
      </c>
      <c r="H800" s="88" t="b">
        <v>0</v>
      </c>
      <c r="I800" s="88" t="b">
        <v>0</v>
      </c>
      <c r="J800" s="88" t="b">
        <v>0</v>
      </c>
      <c r="K800" s="88" t="b">
        <v>0</v>
      </c>
      <c r="L800" s="88" t="b">
        <v>0</v>
      </c>
    </row>
    <row r="801" spans="1:12" ht="15">
      <c r="A801" s="88" t="s">
        <v>2331</v>
      </c>
      <c r="B801" s="88" t="s">
        <v>2271</v>
      </c>
      <c r="C801" s="88">
        <v>6</v>
      </c>
      <c r="D801" s="120">
        <v>0</v>
      </c>
      <c r="E801" s="120">
        <v>0.6020599913279624</v>
      </c>
      <c r="F801" s="88" t="s">
        <v>2235</v>
      </c>
      <c r="G801" s="88" t="b">
        <v>0</v>
      </c>
      <c r="H801" s="88" t="b">
        <v>0</v>
      </c>
      <c r="I801" s="88" t="b">
        <v>0</v>
      </c>
      <c r="J801" s="88" t="b">
        <v>0</v>
      </c>
      <c r="K801" s="88" t="b">
        <v>0</v>
      </c>
      <c r="L801" s="88" t="b">
        <v>0</v>
      </c>
    </row>
    <row r="802" spans="1:12" ht="15">
      <c r="A802" s="88" t="s">
        <v>2422</v>
      </c>
      <c r="B802" s="88" t="s">
        <v>2423</v>
      </c>
      <c r="C802" s="88">
        <v>4</v>
      </c>
      <c r="D802" s="120">
        <v>0</v>
      </c>
      <c r="E802" s="120">
        <v>1.3424226808222062</v>
      </c>
      <c r="F802" s="88" t="s">
        <v>2236</v>
      </c>
      <c r="G802" s="88" t="b">
        <v>0</v>
      </c>
      <c r="H802" s="88" t="b">
        <v>0</v>
      </c>
      <c r="I802" s="88" t="b">
        <v>0</v>
      </c>
      <c r="J802" s="88" t="b">
        <v>0</v>
      </c>
      <c r="K802" s="88" t="b">
        <v>0</v>
      </c>
      <c r="L802" s="88" t="b">
        <v>0</v>
      </c>
    </row>
    <row r="803" spans="1:12" ht="15">
      <c r="A803" s="88" t="s">
        <v>2423</v>
      </c>
      <c r="B803" s="88" t="s">
        <v>2424</v>
      </c>
      <c r="C803" s="88">
        <v>4</v>
      </c>
      <c r="D803" s="120">
        <v>0</v>
      </c>
      <c r="E803" s="120">
        <v>1.3424226808222062</v>
      </c>
      <c r="F803" s="88" t="s">
        <v>2236</v>
      </c>
      <c r="G803" s="88" t="b">
        <v>0</v>
      </c>
      <c r="H803" s="88" t="b">
        <v>0</v>
      </c>
      <c r="I803" s="88" t="b">
        <v>0</v>
      </c>
      <c r="J803" s="88" t="b">
        <v>0</v>
      </c>
      <c r="K803" s="88" t="b">
        <v>0</v>
      </c>
      <c r="L803" s="88" t="b">
        <v>0</v>
      </c>
    </row>
    <row r="804" spans="1:12" ht="15">
      <c r="A804" s="88" t="s">
        <v>2424</v>
      </c>
      <c r="B804" s="88" t="s">
        <v>2425</v>
      </c>
      <c r="C804" s="88">
        <v>4</v>
      </c>
      <c r="D804" s="120">
        <v>0</v>
      </c>
      <c r="E804" s="120">
        <v>1.3424226808222062</v>
      </c>
      <c r="F804" s="88" t="s">
        <v>2236</v>
      </c>
      <c r="G804" s="88" t="b">
        <v>0</v>
      </c>
      <c r="H804" s="88" t="b">
        <v>0</v>
      </c>
      <c r="I804" s="88" t="b">
        <v>0</v>
      </c>
      <c r="J804" s="88" t="b">
        <v>0</v>
      </c>
      <c r="K804" s="88" t="b">
        <v>0</v>
      </c>
      <c r="L804" s="88" t="b">
        <v>0</v>
      </c>
    </row>
    <row r="805" spans="1:12" ht="15">
      <c r="A805" s="88" t="s">
        <v>2425</v>
      </c>
      <c r="B805" s="88" t="s">
        <v>2426</v>
      </c>
      <c r="C805" s="88">
        <v>4</v>
      </c>
      <c r="D805" s="120">
        <v>0</v>
      </c>
      <c r="E805" s="120">
        <v>1.3424226808222062</v>
      </c>
      <c r="F805" s="88" t="s">
        <v>2236</v>
      </c>
      <c r="G805" s="88" t="b">
        <v>0</v>
      </c>
      <c r="H805" s="88" t="b">
        <v>0</v>
      </c>
      <c r="I805" s="88" t="b">
        <v>0</v>
      </c>
      <c r="J805" s="88" t="b">
        <v>0</v>
      </c>
      <c r="K805" s="88" t="b">
        <v>0</v>
      </c>
      <c r="L805" s="88" t="b">
        <v>0</v>
      </c>
    </row>
    <row r="806" spans="1:12" ht="15">
      <c r="A806" s="88" t="s">
        <v>2426</v>
      </c>
      <c r="B806" s="88" t="s">
        <v>2427</v>
      </c>
      <c r="C806" s="88">
        <v>4</v>
      </c>
      <c r="D806" s="120">
        <v>0</v>
      </c>
      <c r="E806" s="120">
        <v>1.3424226808222062</v>
      </c>
      <c r="F806" s="88" t="s">
        <v>2236</v>
      </c>
      <c r="G806" s="88" t="b">
        <v>0</v>
      </c>
      <c r="H806" s="88" t="b">
        <v>0</v>
      </c>
      <c r="I806" s="88" t="b">
        <v>0</v>
      </c>
      <c r="J806" s="88" t="b">
        <v>0</v>
      </c>
      <c r="K806" s="88" t="b">
        <v>0</v>
      </c>
      <c r="L806" s="88" t="b">
        <v>0</v>
      </c>
    </row>
    <row r="807" spans="1:12" ht="15">
      <c r="A807" s="88" t="s">
        <v>2427</v>
      </c>
      <c r="B807" s="88" t="s">
        <v>2370</v>
      </c>
      <c r="C807" s="88">
        <v>4</v>
      </c>
      <c r="D807" s="120">
        <v>0</v>
      </c>
      <c r="E807" s="120">
        <v>1.0413926851582251</v>
      </c>
      <c r="F807" s="88" t="s">
        <v>2236</v>
      </c>
      <c r="G807" s="88" t="b">
        <v>0</v>
      </c>
      <c r="H807" s="88" t="b">
        <v>0</v>
      </c>
      <c r="I807" s="88" t="b">
        <v>0</v>
      </c>
      <c r="J807" s="88" t="b">
        <v>0</v>
      </c>
      <c r="K807" s="88" t="b">
        <v>1</v>
      </c>
      <c r="L807" s="88" t="b">
        <v>0</v>
      </c>
    </row>
    <row r="808" spans="1:12" ht="15">
      <c r="A808" s="88" t="s">
        <v>2370</v>
      </c>
      <c r="B808" s="88" t="s">
        <v>2428</v>
      </c>
      <c r="C808" s="88">
        <v>4</v>
      </c>
      <c r="D808" s="120">
        <v>0</v>
      </c>
      <c r="E808" s="120">
        <v>1.0413926851582251</v>
      </c>
      <c r="F808" s="88" t="s">
        <v>2236</v>
      </c>
      <c r="G808" s="88" t="b">
        <v>0</v>
      </c>
      <c r="H808" s="88" t="b">
        <v>1</v>
      </c>
      <c r="I808" s="88" t="b">
        <v>0</v>
      </c>
      <c r="J808" s="88" t="b">
        <v>0</v>
      </c>
      <c r="K808" s="88" t="b">
        <v>0</v>
      </c>
      <c r="L808" s="88" t="b">
        <v>0</v>
      </c>
    </row>
    <row r="809" spans="1:12" ht="15">
      <c r="A809" s="88" t="s">
        <v>2428</v>
      </c>
      <c r="B809" s="88" t="s">
        <v>2429</v>
      </c>
      <c r="C809" s="88">
        <v>4</v>
      </c>
      <c r="D809" s="120">
        <v>0</v>
      </c>
      <c r="E809" s="120">
        <v>1.3424226808222062</v>
      </c>
      <c r="F809" s="88" t="s">
        <v>2236</v>
      </c>
      <c r="G809" s="88" t="b">
        <v>0</v>
      </c>
      <c r="H809" s="88" t="b">
        <v>0</v>
      </c>
      <c r="I809" s="88" t="b">
        <v>0</v>
      </c>
      <c r="J809" s="88" t="b">
        <v>0</v>
      </c>
      <c r="K809" s="88" t="b">
        <v>0</v>
      </c>
      <c r="L809" s="88" t="b">
        <v>0</v>
      </c>
    </row>
    <row r="810" spans="1:12" ht="15">
      <c r="A810" s="88" t="s">
        <v>2429</v>
      </c>
      <c r="B810" s="88" t="s">
        <v>2430</v>
      </c>
      <c r="C810" s="88">
        <v>4</v>
      </c>
      <c r="D810" s="120">
        <v>0</v>
      </c>
      <c r="E810" s="120">
        <v>1.3424226808222062</v>
      </c>
      <c r="F810" s="88" t="s">
        <v>2236</v>
      </c>
      <c r="G810" s="88" t="b">
        <v>0</v>
      </c>
      <c r="H810" s="88" t="b">
        <v>0</v>
      </c>
      <c r="I810" s="88" t="b">
        <v>0</v>
      </c>
      <c r="J810" s="88" t="b">
        <v>0</v>
      </c>
      <c r="K810" s="88" t="b">
        <v>0</v>
      </c>
      <c r="L810" s="88" t="b">
        <v>0</v>
      </c>
    </row>
    <row r="811" spans="1:12" ht="15">
      <c r="A811" s="88" t="s">
        <v>2430</v>
      </c>
      <c r="B811" s="88" t="s">
        <v>2431</v>
      </c>
      <c r="C811" s="88">
        <v>4</v>
      </c>
      <c r="D811" s="120">
        <v>0</v>
      </c>
      <c r="E811" s="120">
        <v>1.3424226808222062</v>
      </c>
      <c r="F811" s="88" t="s">
        <v>2236</v>
      </c>
      <c r="G811" s="88" t="b">
        <v>0</v>
      </c>
      <c r="H811" s="88" t="b">
        <v>0</v>
      </c>
      <c r="I811" s="88" t="b">
        <v>0</v>
      </c>
      <c r="J811" s="88" t="b">
        <v>0</v>
      </c>
      <c r="K811" s="88" t="b">
        <v>0</v>
      </c>
      <c r="L811" s="88" t="b">
        <v>0</v>
      </c>
    </row>
    <row r="812" spans="1:12" ht="15">
      <c r="A812" s="88" t="s">
        <v>2431</v>
      </c>
      <c r="B812" s="88" t="s">
        <v>2432</v>
      </c>
      <c r="C812" s="88">
        <v>4</v>
      </c>
      <c r="D812" s="120">
        <v>0</v>
      </c>
      <c r="E812" s="120">
        <v>1.3424226808222062</v>
      </c>
      <c r="F812" s="88" t="s">
        <v>2236</v>
      </c>
      <c r="G812" s="88" t="b">
        <v>0</v>
      </c>
      <c r="H812" s="88" t="b">
        <v>0</v>
      </c>
      <c r="I812" s="88" t="b">
        <v>0</v>
      </c>
      <c r="J812" s="88" t="b">
        <v>0</v>
      </c>
      <c r="K812" s="88" t="b">
        <v>0</v>
      </c>
      <c r="L812" s="88" t="b">
        <v>0</v>
      </c>
    </row>
    <row r="813" spans="1:12" ht="15">
      <c r="A813" s="88" t="s">
        <v>2432</v>
      </c>
      <c r="B813" s="88" t="s">
        <v>2433</v>
      </c>
      <c r="C813" s="88">
        <v>4</v>
      </c>
      <c r="D813" s="120">
        <v>0</v>
      </c>
      <c r="E813" s="120">
        <v>1.3424226808222062</v>
      </c>
      <c r="F813" s="88" t="s">
        <v>2236</v>
      </c>
      <c r="G813" s="88" t="b">
        <v>0</v>
      </c>
      <c r="H813" s="88" t="b">
        <v>0</v>
      </c>
      <c r="I813" s="88" t="b">
        <v>0</v>
      </c>
      <c r="J813" s="88" t="b">
        <v>0</v>
      </c>
      <c r="K813" s="88" t="b">
        <v>0</v>
      </c>
      <c r="L813" s="88" t="b">
        <v>0</v>
      </c>
    </row>
    <row r="814" spans="1:12" ht="15">
      <c r="A814" s="88" t="s">
        <v>2433</v>
      </c>
      <c r="B814" s="88" t="s">
        <v>2370</v>
      </c>
      <c r="C814" s="88">
        <v>4</v>
      </c>
      <c r="D814" s="120">
        <v>0</v>
      </c>
      <c r="E814" s="120">
        <v>1.0413926851582251</v>
      </c>
      <c r="F814" s="88" t="s">
        <v>2236</v>
      </c>
      <c r="G814" s="88" t="b">
        <v>0</v>
      </c>
      <c r="H814" s="88" t="b">
        <v>0</v>
      </c>
      <c r="I814" s="88" t="b">
        <v>0</v>
      </c>
      <c r="J814" s="88" t="b">
        <v>0</v>
      </c>
      <c r="K814" s="88" t="b">
        <v>1</v>
      </c>
      <c r="L814" s="88" t="b">
        <v>0</v>
      </c>
    </row>
    <row r="815" spans="1:12" ht="15">
      <c r="A815" s="88" t="s">
        <v>2370</v>
      </c>
      <c r="B815" s="88" t="s">
        <v>2434</v>
      </c>
      <c r="C815" s="88">
        <v>4</v>
      </c>
      <c r="D815" s="120">
        <v>0</v>
      </c>
      <c r="E815" s="120">
        <v>1.0413926851582251</v>
      </c>
      <c r="F815" s="88" t="s">
        <v>2236</v>
      </c>
      <c r="G815" s="88" t="b">
        <v>0</v>
      </c>
      <c r="H815" s="88" t="b">
        <v>1</v>
      </c>
      <c r="I815" s="88" t="b">
        <v>0</v>
      </c>
      <c r="J815" s="88" t="b">
        <v>0</v>
      </c>
      <c r="K815" s="88" t="b">
        <v>0</v>
      </c>
      <c r="L815" s="88" t="b">
        <v>0</v>
      </c>
    </row>
    <row r="816" spans="1:12" ht="15">
      <c r="A816" s="88" t="s">
        <v>2434</v>
      </c>
      <c r="B816" s="88" t="s">
        <v>2435</v>
      </c>
      <c r="C816" s="88">
        <v>4</v>
      </c>
      <c r="D816" s="120">
        <v>0</v>
      </c>
      <c r="E816" s="120">
        <v>1.3424226808222062</v>
      </c>
      <c r="F816" s="88" t="s">
        <v>2236</v>
      </c>
      <c r="G816" s="88" t="b">
        <v>0</v>
      </c>
      <c r="H816" s="88" t="b">
        <v>0</v>
      </c>
      <c r="I816" s="88" t="b">
        <v>0</v>
      </c>
      <c r="J816" s="88" t="b">
        <v>0</v>
      </c>
      <c r="K816" s="88" t="b">
        <v>0</v>
      </c>
      <c r="L816" s="88" t="b">
        <v>0</v>
      </c>
    </row>
    <row r="817" spans="1:12" ht="15">
      <c r="A817" s="88" t="s">
        <v>2435</v>
      </c>
      <c r="B817" s="88" t="s">
        <v>2436</v>
      </c>
      <c r="C817" s="88">
        <v>4</v>
      </c>
      <c r="D817" s="120">
        <v>0</v>
      </c>
      <c r="E817" s="120">
        <v>1.3424226808222062</v>
      </c>
      <c r="F817" s="88" t="s">
        <v>2236</v>
      </c>
      <c r="G817" s="88" t="b">
        <v>0</v>
      </c>
      <c r="H817" s="88" t="b">
        <v>0</v>
      </c>
      <c r="I817" s="88" t="b">
        <v>0</v>
      </c>
      <c r="J817" s="88" t="b">
        <v>0</v>
      </c>
      <c r="K817" s="88" t="b">
        <v>0</v>
      </c>
      <c r="L817" s="88" t="b">
        <v>0</v>
      </c>
    </row>
    <row r="818" spans="1:12" ht="15">
      <c r="A818" s="88" t="s">
        <v>2436</v>
      </c>
      <c r="B818" s="88" t="s">
        <v>2437</v>
      </c>
      <c r="C818" s="88">
        <v>4</v>
      </c>
      <c r="D818" s="120">
        <v>0</v>
      </c>
      <c r="E818" s="120">
        <v>1.3424226808222062</v>
      </c>
      <c r="F818" s="88" t="s">
        <v>2236</v>
      </c>
      <c r="G818" s="88" t="b">
        <v>0</v>
      </c>
      <c r="H818" s="88" t="b">
        <v>0</v>
      </c>
      <c r="I818" s="88" t="b">
        <v>0</v>
      </c>
      <c r="J818" s="88" t="b">
        <v>0</v>
      </c>
      <c r="K818" s="88" t="b">
        <v>0</v>
      </c>
      <c r="L818" s="88" t="b">
        <v>0</v>
      </c>
    </row>
    <row r="819" spans="1:12" ht="15">
      <c r="A819" s="88" t="s">
        <v>2437</v>
      </c>
      <c r="B819" s="88" t="s">
        <v>2371</v>
      </c>
      <c r="C819" s="88">
        <v>4</v>
      </c>
      <c r="D819" s="120">
        <v>0</v>
      </c>
      <c r="E819" s="120">
        <v>1.3424226808222062</v>
      </c>
      <c r="F819" s="88" t="s">
        <v>2236</v>
      </c>
      <c r="G819" s="88" t="b">
        <v>0</v>
      </c>
      <c r="H819" s="88" t="b">
        <v>0</v>
      </c>
      <c r="I819" s="88" t="b">
        <v>0</v>
      </c>
      <c r="J819" s="88" t="b">
        <v>0</v>
      </c>
      <c r="K819" s="88" t="b">
        <v>0</v>
      </c>
      <c r="L819" s="88" t="b">
        <v>0</v>
      </c>
    </row>
    <row r="820" spans="1:12" ht="15">
      <c r="A820" s="88" t="s">
        <v>2371</v>
      </c>
      <c r="B820" s="88" t="s">
        <v>2438</v>
      </c>
      <c r="C820" s="88">
        <v>4</v>
      </c>
      <c r="D820" s="120">
        <v>0</v>
      </c>
      <c r="E820" s="120">
        <v>1.3424226808222062</v>
      </c>
      <c r="F820" s="88" t="s">
        <v>2236</v>
      </c>
      <c r="G820" s="88" t="b">
        <v>0</v>
      </c>
      <c r="H820" s="88" t="b">
        <v>0</v>
      </c>
      <c r="I820" s="88" t="b">
        <v>0</v>
      </c>
      <c r="J820" s="88" t="b">
        <v>0</v>
      </c>
      <c r="K820" s="88" t="b">
        <v>0</v>
      </c>
      <c r="L820" s="88" t="b">
        <v>0</v>
      </c>
    </row>
    <row r="821" spans="1:12" ht="15">
      <c r="A821" s="88" t="s">
        <v>2438</v>
      </c>
      <c r="B821" s="88" t="s">
        <v>528</v>
      </c>
      <c r="C821" s="88">
        <v>4</v>
      </c>
      <c r="D821" s="120">
        <v>0</v>
      </c>
      <c r="E821" s="120">
        <v>1.3424226808222062</v>
      </c>
      <c r="F821" s="88" t="s">
        <v>2236</v>
      </c>
      <c r="G821" s="88" t="b">
        <v>0</v>
      </c>
      <c r="H821" s="88" t="b">
        <v>0</v>
      </c>
      <c r="I821" s="88" t="b">
        <v>0</v>
      </c>
      <c r="J821" s="88" t="b">
        <v>0</v>
      </c>
      <c r="K821" s="88" t="b">
        <v>0</v>
      </c>
      <c r="L821" s="88" t="b">
        <v>0</v>
      </c>
    </row>
    <row r="822" spans="1:12" ht="15">
      <c r="A822" s="88" t="s">
        <v>528</v>
      </c>
      <c r="B822" s="88" t="s">
        <v>2439</v>
      </c>
      <c r="C822" s="88">
        <v>4</v>
      </c>
      <c r="D822" s="120">
        <v>0</v>
      </c>
      <c r="E822" s="120">
        <v>1.3424226808222062</v>
      </c>
      <c r="F822" s="88" t="s">
        <v>2236</v>
      </c>
      <c r="G822" s="88" t="b">
        <v>0</v>
      </c>
      <c r="H822" s="88" t="b">
        <v>0</v>
      </c>
      <c r="I822" s="88" t="b">
        <v>0</v>
      </c>
      <c r="J822" s="88" t="b">
        <v>0</v>
      </c>
      <c r="K822" s="88" t="b">
        <v>0</v>
      </c>
      <c r="L822" s="88" t="b">
        <v>0</v>
      </c>
    </row>
    <row r="823" spans="1:12" ht="15">
      <c r="A823" s="88" t="s">
        <v>2439</v>
      </c>
      <c r="B823" s="88" t="s">
        <v>2271</v>
      </c>
      <c r="C823" s="88">
        <v>4</v>
      </c>
      <c r="D823" s="120">
        <v>0</v>
      </c>
      <c r="E823" s="120">
        <v>1.3424226808222062</v>
      </c>
      <c r="F823" s="88" t="s">
        <v>2236</v>
      </c>
      <c r="G823" s="88" t="b">
        <v>0</v>
      </c>
      <c r="H823" s="88" t="b">
        <v>0</v>
      </c>
      <c r="I823" s="88" t="b">
        <v>0</v>
      </c>
      <c r="J823" s="88" t="b">
        <v>0</v>
      </c>
      <c r="K823" s="88" t="b">
        <v>0</v>
      </c>
      <c r="L823" s="88" t="b">
        <v>0</v>
      </c>
    </row>
    <row r="824" spans="1:12" ht="15">
      <c r="A824" s="88" t="s">
        <v>2446</v>
      </c>
      <c r="B824" s="88" t="s">
        <v>2447</v>
      </c>
      <c r="C824" s="88">
        <v>4</v>
      </c>
      <c r="D824" s="120">
        <v>0</v>
      </c>
      <c r="E824" s="120">
        <v>1.3424226808222062</v>
      </c>
      <c r="F824" s="88" t="s">
        <v>2237</v>
      </c>
      <c r="G824" s="88" t="b">
        <v>0</v>
      </c>
      <c r="H824" s="88" t="b">
        <v>0</v>
      </c>
      <c r="I824" s="88" t="b">
        <v>0</v>
      </c>
      <c r="J824" s="88" t="b">
        <v>0</v>
      </c>
      <c r="K824" s="88" t="b">
        <v>0</v>
      </c>
      <c r="L824" s="88" t="b">
        <v>0</v>
      </c>
    </row>
    <row r="825" spans="1:12" ht="15">
      <c r="A825" s="88" t="s">
        <v>2447</v>
      </c>
      <c r="B825" s="88" t="s">
        <v>2448</v>
      </c>
      <c r="C825" s="88">
        <v>4</v>
      </c>
      <c r="D825" s="120">
        <v>0</v>
      </c>
      <c r="E825" s="120">
        <v>1.3424226808222062</v>
      </c>
      <c r="F825" s="88" t="s">
        <v>2237</v>
      </c>
      <c r="G825" s="88" t="b">
        <v>0</v>
      </c>
      <c r="H825" s="88" t="b">
        <v>0</v>
      </c>
      <c r="I825" s="88" t="b">
        <v>0</v>
      </c>
      <c r="J825" s="88" t="b">
        <v>0</v>
      </c>
      <c r="K825" s="88" t="b">
        <v>0</v>
      </c>
      <c r="L825" s="88" t="b">
        <v>0</v>
      </c>
    </row>
    <row r="826" spans="1:12" ht="15">
      <c r="A826" s="88" t="s">
        <v>2448</v>
      </c>
      <c r="B826" s="88" t="s">
        <v>2449</v>
      </c>
      <c r="C826" s="88">
        <v>4</v>
      </c>
      <c r="D826" s="120">
        <v>0</v>
      </c>
      <c r="E826" s="120">
        <v>1.3424226808222062</v>
      </c>
      <c r="F826" s="88" t="s">
        <v>2237</v>
      </c>
      <c r="G826" s="88" t="b">
        <v>0</v>
      </c>
      <c r="H826" s="88" t="b">
        <v>0</v>
      </c>
      <c r="I826" s="88" t="b">
        <v>0</v>
      </c>
      <c r="J826" s="88" t="b">
        <v>0</v>
      </c>
      <c r="K826" s="88" t="b">
        <v>0</v>
      </c>
      <c r="L826" s="88" t="b">
        <v>0</v>
      </c>
    </row>
    <row r="827" spans="1:12" ht="15">
      <c r="A827" s="88" t="s">
        <v>2449</v>
      </c>
      <c r="B827" s="88" t="s">
        <v>2450</v>
      </c>
      <c r="C827" s="88">
        <v>4</v>
      </c>
      <c r="D827" s="120">
        <v>0</v>
      </c>
      <c r="E827" s="120">
        <v>1.3424226808222062</v>
      </c>
      <c r="F827" s="88" t="s">
        <v>2237</v>
      </c>
      <c r="G827" s="88" t="b">
        <v>0</v>
      </c>
      <c r="H827" s="88" t="b">
        <v>0</v>
      </c>
      <c r="I827" s="88" t="b">
        <v>0</v>
      </c>
      <c r="J827" s="88" t="b">
        <v>0</v>
      </c>
      <c r="K827" s="88" t="b">
        <v>0</v>
      </c>
      <c r="L827" s="88" t="b">
        <v>0</v>
      </c>
    </row>
    <row r="828" spans="1:12" ht="15">
      <c r="A828" s="88" t="s">
        <v>2450</v>
      </c>
      <c r="B828" s="88" t="s">
        <v>2451</v>
      </c>
      <c r="C828" s="88">
        <v>4</v>
      </c>
      <c r="D828" s="120">
        <v>0</v>
      </c>
      <c r="E828" s="120">
        <v>1.3424226808222062</v>
      </c>
      <c r="F828" s="88" t="s">
        <v>2237</v>
      </c>
      <c r="G828" s="88" t="b">
        <v>0</v>
      </c>
      <c r="H828" s="88" t="b">
        <v>0</v>
      </c>
      <c r="I828" s="88" t="b">
        <v>0</v>
      </c>
      <c r="J828" s="88" t="b">
        <v>0</v>
      </c>
      <c r="K828" s="88" t="b">
        <v>0</v>
      </c>
      <c r="L828" s="88" t="b">
        <v>0</v>
      </c>
    </row>
    <row r="829" spans="1:12" ht="15">
      <c r="A829" s="88" t="s">
        <v>2451</v>
      </c>
      <c r="B829" s="88" t="s">
        <v>2452</v>
      </c>
      <c r="C829" s="88">
        <v>4</v>
      </c>
      <c r="D829" s="120">
        <v>0</v>
      </c>
      <c r="E829" s="120">
        <v>1.3424226808222062</v>
      </c>
      <c r="F829" s="88" t="s">
        <v>2237</v>
      </c>
      <c r="G829" s="88" t="b">
        <v>0</v>
      </c>
      <c r="H829" s="88" t="b">
        <v>0</v>
      </c>
      <c r="I829" s="88" t="b">
        <v>0</v>
      </c>
      <c r="J829" s="88" t="b">
        <v>0</v>
      </c>
      <c r="K829" s="88" t="b">
        <v>0</v>
      </c>
      <c r="L829" s="88" t="b">
        <v>0</v>
      </c>
    </row>
    <row r="830" spans="1:12" ht="15">
      <c r="A830" s="88" t="s">
        <v>2452</v>
      </c>
      <c r="B830" s="88" t="s">
        <v>2453</v>
      </c>
      <c r="C830" s="88">
        <v>4</v>
      </c>
      <c r="D830" s="120">
        <v>0</v>
      </c>
      <c r="E830" s="120">
        <v>1.3424226808222062</v>
      </c>
      <c r="F830" s="88" t="s">
        <v>2237</v>
      </c>
      <c r="G830" s="88" t="b">
        <v>0</v>
      </c>
      <c r="H830" s="88" t="b">
        <v>0</v>
      </c>
      <c r="I830" s="88" t="b">
        <v>0</v>
      </c>
      <c r="J830" s="88" t="b">
        <v>0</v>
      </c>
      <c r="K830" s="88" t="b">
        <v>0</v>
      </c>
      <c r="L830" s="88" t="b">
        <v>0</v>
      </c>
    </row>
    <row r="831" spans="1:12" ht="15">
      <c r="A831" s="88" t="s">
        <v>2453</v>
      </c>
      <c r="B831" s="88" t="s">
        <v>2454</v>
      </c>
      <c r="C831" s="88">
        <v>4</v>
      </c>
      <c r="D831" s="120">
        <v>0</v>
      </c>
      <c r="E831" s="120">
        <v>1.3424226808222062</v>
      </c>
      <c r="F831" s="88" t="s">
        <v>2237</v>
      </c>
      <c r="G831" s="88" t="b">
        <v>0</v>
      </c>
      <c r="H831" s="88" t="b">
        <v>0</v>
      </c>
      <c r="I831" s="88" t="b">
        <v>0</v>
      </c>
      <c r="J831" s="88" t="b">
        <v>0</v>
      </c>
      <c r="K831" s="88" t="b">
        <v>0</v>
      </c>
      <c r="L831" s="88" t="b">
        <v>0</v>
      </c>
    </row>
    <row r="832" spans="1:12" ht="15">
      <c r="A832" s="88" t="s">
        <v>2454</v>
      </c>
      <c r="B832" s="88" t="s">
        <v>2455</v>
      </c>
      <c r="C832" s="88">
        <v>4</v>
      </c>
      <c r="D832" s="120">
        <v>0</v>
      </c>
      <c r="E832" s="120">
        <v>1.3424226808222062</v>
      </c>
      <c r="F832" s="88" t="s">
        <v>2237</v>
      </c>
      <c r="G832" s="88" t="b">
        <v>0</v>
      </c>
      <c r="H832" s="88" t="b">
        <v>0</v>
      </c>
      <c r="I832" s="88" t="b">
        <v>0</v>
      </c>
      <c r="J832" s="88" t="b">
        <v>0</v>
      </c>
      <c r="K832" s="88" t="b">
        <v>0</v>
      </c>
      <c r="L832" s="88" t="b">
        <v>0</v>
      </c>
    </row>
    <row r="833" spans="1:12" ht="15">
      <c r="A833" s="88" t="s">
        <v>2455</v>
      </c>
      <c r="B833" s="88" t="s">
        <v>2456</v>
      </c>
      <c r="C833" s="88">
        <v>4</v>
      </c>
      <c r="D833" s="120">
        <v>0</v>
      </c>
      <c r="E833" s="120">
        <v>1.3424226808222062</v>
      </c>
      <c r="F833" s="88" t="s">
        <v>2237</v>
      </c>
      <c r="G833" s="88" t="b">
        <v>0</v>
      </c>
      <c r="H833" s="88" t="b">
        <v>0</v>
      </c>
      <c r="I833" s="88" t="b">
        <v>0</v>
      </c>
      <c r="J833" s="88" t="b">
        <v>0</v>
      </c>
      <c r="K833" s="88" t="b">
        <v>0</v>
      </c>
      <c r="L833" s="88" t="b">
        <v>0</v>
      </c>
    </row>
    <row r="834" spans="1:12" ht="15">
      <c r="A834" s="88" t="s">
        <v>2456</v>
      </c>
      <c r="B834" s="88" t="s">
        <v>2457</v>
      </c>
      <c r="C834" s="88">
        <v>4</v>
      </c>
      <c r="D834" s="120">
        <v>0</v>
      </c>
      <c r="E834" s="120">
        <v>1.3424226808222062</v>
      </c>
      <c r="F834" s="88" t="s">
        <v>2237</v>
      </c>
      <c r="G834" s="88" t="b">
        <v>0</v>
      </c>
      <c r="H834" s="88" t="b">
        <v>0</v>
      </c>
      <c r="I834" s="88" t="b">
        <v>0</v>
      </c>
      <c r="J834" s="88" t="b">
        <v>0</v>
      </c>
      <c r="K834" s="88" t="b">
        <v>0</v>
      </c>
      <c r="L834" s="88" t="b">
        <v>0</v>
      </c>
    </row>
    <row r="835" spans="1:12" ht="15">
      <c r="A835" s="88" t="s">
        <v>2457</v>
      </c>
      <c r="B835" s="88" t="s">
        <v>2458</v>
      </c>
      <c r="C835" s="88">
        <v>4</v>
      </c>
      <c r="D835" s="120">
        <v>0</v>
      </c>
      <c r="E835" s="120">
        <v>1.3424226808222062</v>
      </c>
      <c r="F835" s="88" t="s">
        <v>2237</v>
      </c>
      <c r="G835" s="88" t="b">
        <v>0</v>
      </c>
      <c r="H835" s="88" t="b">
        <v>0</v>
      </c>
      <c r="I835" s="88" t="b">
        <v>0</v>
      </c>
      <c r="J835" s="88" t="b">
        <v>0</v>
      </c>
      <c r="K835" s="88" t="b">
        <v>0</v>
      </c>
      <c r="L835" s="88" t="b">
        <v>0</v>
      </c>
    </row>
    <row r="836" spans="1:12" ht="15">
      <c r="A836" s="88" t="s">
        <v>2458</v>
      </c>
      <c r="B836" s="88" t="s">
        <v>2326</v>
      </c>
      <c r="C836" s="88">
        <v>4</v>
      </c>
      <c r="D836" s="120">
        <v>0</v>
      </c>
      <c r="E836" s="120">
        <v>1.3424226808222062</v>
      </c>
      <c r="F836" s="88" t="s">
        <v>2237</v>
      </c>
      <c r="G836" s="88" t="b">
        <v>0</v>
      </c>
      <c r="H836" s="88" t="b">
        <v>0</v>
      </c>
      <c r="I836" s="88" t="b">
        <v>0</v>
      </c>
      <c r="J836" s="88" t="b">
        <v>0</v>
      </c>
      <c r="K836" s="88" t="b">
        <v>0</v>
      </c>
      <c r="L836" s="88" t="b">
        <v>0</v>
      </c>
    </row>
    <row r="837" spans="1:12" ht="15">
      <c r="A837" s="88" t="s">
        <v>2326</v>
      </c>
      <c r="B837" s="88" t="s">
        <v>2459</v>
      </c>
      <c r="C837" s="88">
        <v>4</v>
      </c>
      <c r="D837" s="120">
        <v>0</v>
      </c>
      <c r="E837" s="120">
        <v>1.3424226808222062</v>
      </c>
      <c r="F837" s="88" t="s">
        <v>2237</v>
      </c>
      <c r="G837" s="88" t="b">
        <v>0</v>
      </c>
      <c r="H837" s="88" t="b">
        <v>0</v>
      </c>
      <c r="I837" s="88" t="b">
        <v>0</v>
      </c>
      <c r="J837" s="88" t="b">
        <v>0</v>
      </c>
      <c r="K837" s="88" t="b">
        <v>0</v>
      </c>
      <c r="L837" s="88" t="b">
        <v>0</v>
      </c>
    </row>
    <row r="838" spans="1:12" ht="15">
      <c r="A838" s="88" t="s">
        <v>2459</v>
      </c>
      <c r="B838" s="88" t="s">
        <v>2460</v>
      </c>
      <c r="C838" s="88">
        <v>4</v>
      </c>
      <c r="D838" s="120">
        <v>0</v>
      </c>
      <c r="E838" s="120">
        <v>1.3424226808222062</v>
      </c>
      <c r="F838" s="88" t="s">
        <v>2237</v>
      </c>
      <c r="G838" s="88" t="b">
        <v>0</v>
      </c>
      <c r="H838" s="88" t="b">
        <v>0</v>
      </c>
      <c r="I838" s="88" t="b">
        <v>0</v>
      </c>
      <c r="J838" s="88" t="b">
        <v>0</v>
      </c>
      <c r="K838" s="88" t="b">
        <v>0</v>
      </c>
      <c r="L838" s="88" t="b">
        <v>0</v>
      </c>
    </row>
    <row r="839" spans="1:12" ht="15">
      <c r="A839" s="88" t="s">
        <v>2460</v>
      </c>
      <c r="B839" s="88" t="s">
        <v>2461</v>
      </c>
      <c r="C839" s="88">
        <v>4</v>
      </c>
      <c r="D839" s="120">
        <v>0</v>
      </c>
      <c r="E839" s="120">
        <v>1.3424226808222062</v>
      </c>
      <c r="F839" s="88" t="s">
        <v>2237</v>
      </c>
      <c r="G839" s="88" t="b">
        <v>0</v>
      </c>
      <c r="H839" s="88" t="b">
        <v>0</v>
      </c>
      <c r="I839" s="88" t="b">
        <v>0</v>
      </c>
      <c r="J839" s="88" t="b">
        <v>0</v>
      </c>
      <c r="K839" s="88" t="b">
        <v>0</v>
      </c>
      <c r="L839" s="88" t="b">
        <v>0</v>
      </c>
    </row>
    <row r="840" spans="1:12" ht="15">
      <c r="A840" s="88" t="s">
        <v>2461</v>
      </c>
      <c r="B840" s="88" t="s">
        <v>2462</v>
      </c>
      <c r="C840" s="88">
        <v>4</v>
      </c>
      <c r="D840" s="120">
        <v>0</v>
      </c>
      <c r="E840" s="120">
        <v>1.3424226808222062</v>
      </c>
      <c r="F840" s="88" t="s">
        <v>2237</v>
      </c>
      <c r="G840" s="88" t="b">
        <v>0</v>
      </c>
      <c r="H840" s="88" t="b">
        <v>0</v>
      </c>
      <c r="I840" s="88" t="b">
        <v>0</v>
      </c>
      <c r="J840" s="88" t="b">
        <v>0</v>
      </c>
      <c r="K840" s="88" t="b">
        <v>0</v>
      </c>
      <c r="L840" s="88" t="b">
        <v>0</v>
      </c>
    </row>
    <row r="841" spans="1:12" ht="15">
      <c r="A841" s="88" t="s">
        <v>2462</v>
      </c>
      <c r="B841" s="88" t="s">
        <v>2463</v>
      </c>
      <c r="C841" s="88">
        <v>4</v>
      </c>
      <c r="D841" s="120">
        <v>0</v>
      </c>
      <c r="E841" s="120">
        <v>1.3424226808222062</v>
      </c>
      <c r="F841" s="88" t="s">
        <v>2237</v>
      </c>
      <c r="G841" s="88" t="b">
        <v>0</v>
      </c>
      <c r="H841" s="88" t="b">
        <v>0</v>
      </c>
      <c r="I841" s="88" t="b">
        <v>0</v>
      </c>
      <c r="J841" s="88" t="b">
        <v>0</v>
      </c>
      <c r="K841" s="88" t="b">
        <v>0</v>
      </c>
      <c r="L841" s="88" t="b">
        <v>0</v>
      </c>
    </row>
    <row r="842" spans="1:12" ht="15">
      <c r="A842" s="88" t="s">
        <v>2463</v>
      </c>
      <c r="B842" s="88" t="s">
        <v>2464</v>
      </c>
      <c r="C842" s="88">
        <v>4</v>
      </c>
      <c r="D842" s="120">
        <v>0</v>
      </c>
      <c r="E842" s="120">
        <v>1.3424226808222062</v>
      </c>
      <c r="F842" s="88" t="s">
        <v>2237</v>
      </c>
      <c r="G842" s="88" t="b">
        <v>0</v>
      </c>
      <c r="H842" s="88" t="b">
        <v>0</v>
      </c>
      <c r="I842" s="88" t="b">
        <v>0</v>
      </c>
      <c r="J842" s="88" t="b">
        <v>0</v>
      </c>
      <c r="K842" s="88" t="b">
        <v>0</v>
      </c>
      <c r="L842" s="88" t="b">
        <v>0</v>
      </c>
    </row>
    <row r="843" spans="1:12" ht="15">
      <c r="A843" s="88" t="s">
        <v>2464</v>
      </c>
      <c r="B843" s="88" t="s">
        <v>529</v>
      </c>
      <c r="C843" s="88">
        <v>4</v>
      </c>
      <c r="D843" s="120">
        <v>0</v>
      </c>
      <c r="E843" s="120">
        <v>1.3424226808222062</v>
      </c>
      <c r="F843" s="88" t="s">
        <v>2237</v>
      </c>
      <c r="G843" s="88" t="b">
        <v>0</v>
      </c>
      <c r="H843" s="88" t="b">
        <v>0</v>
      </c>
      <c r="I843" s="88" t="b">
        <v>0</v>
      </c>
      <c r="J843" s="88" t="b">
        <v>0</v>
      </c>
      <c r="K843" s="88" t="b">
        <v>0</v>
      </c>
      <c r="L843" s="88" t="b">
        <v>0</v>
      </c>
    </row>
    <row r="844" spans="1:12" ht="15">
      <c r="A844" s="88" t="s">
        <v>529</v>
      </c>
      <c r="B844" s="88" t="s">
        <v>2271</v>
      </c>
      <c r="C844" s="88">
        <v>4</v>
      </c>
      <c r="D844" s="120">
        <v>0</v>
      </c>
      <c r="E844" s="120">
        <v>1.3424226808222062</v>
      </c>
      <c r="F844" s="88" t="s">
        <v>2237</v>
      </c>
      <c r="G844" s="88" t="b">
        <v>0</v>
      </c>
      <c r="H844" s="88" t="b">
        <v>0</v>
      </c>
      <c r="I844" s="88" t="b">
        <v>0</v>
      </c>
      <c r="J844" s="88" t="b">
        <v>0</v>
      </c>
      <c r="K844" s="88" t="b">
        <v>0</v>
      </c>
      <c r="L844" s="88" t="b">
        <v>0</v>
      </c>
    </row>
    <row r="845" spans="1:12" ht="15">
      <c r="A845" s="88" t="s">
        <v>2271</v>
      </c>
      <c r="B845" s="88" t="s">
        <v>2338</v>
      </c>
      <c r="C845" s="88">
        <v>4</v>
      </c>
      <c r="D845" s="120">
        <v>0</v>
      </c>
      <c r="E845" s="120">
        <v>1.3424226808222062</v>
      </c>
      <c r="F845" s="88" t="s">
        <v>2237</v>
      </c>
      <c r="G845" s="88" t="b">
        <v>0</v>
      </c>
      <c r="H845" s="88" t="b">
        <v>0</v>
      </c>
      <c r="I845" s="88" t="b">
        <v>0</v>
      </c>
      <c r="J845" s="88" t="b">
        <v>0</v>
      </c>
      <c r="K845" s="88" t="b">
        <v>0</v>
      </c>
      <c r="L845" s="88" t="b">
        <v>0</v>
      </c>
    </row>
    <row r="846" spans="1:12" ht="15">
      <c r="A846" s="88" t="s">
        <v>2275</v>
      </c>
      <c r="B846" s="88" t="s">
        <v>2297</v>
      </c>
      <c r="C846" s="88">
        <v>4</v>
      </c>
      <c r="D846" s="120">
        <v>0</v>
      </c>
      <c r="E846" s="120">
        <v>1.3222192947339193</v>
      </c>
      <c r="F846" s="88" t="s">
        <v>2238</v>
      </c>
      <c r="G846" s="88" t="b">
        <v>0</v>
      </c>
      <c r="H846" s="88" t="b">
        <v>0</v>
      </c>
      <c r="I846" s="88" t="b">
        <v>0</v>
      </c>
      <c r="J846" s="88" t="b">
        <v>0</v>
      </c>
      <c r="K846" s="88" t="b">
        <v>0</v>
      </c>
      <c r="L846" s="88" t="b">
        <v>0</v>
      </c>
    </row>
    <row r="847" spans="1:12" ht="15">
      <c r="A847" s="88" t="s">
        <v>2297</v>
      </c>
      <c r="B847" s="88" t="s">
        <v>2477</v>
      </c>
      <c r="C847" s="88">
        <v>4</v>
      </c>
      <c r="D847" s="120">
        <v>0</v>
      </c>
      <c r="E847" s="120">
        <v>1.3222192947339193</v>
      </c>
      <c r="F847" s="88" t="s">
        <v>2238</v>
      </c>
      <c r="G847" s="88" t="b">
        <v>0</v>
      </c>
      <c r="H847" s="88" t="b">
        <v>0</v>
      </c>
      <c r="I847" s="88" t="b">
        <v>0</v>
      </c>
      <c r="J847" s="88" t="b">
        <v>0</v>
      </c>
      <c r="K847" s="88" t="b">
        <v>0</v>
      </c>
      <c r="L847" s="88" t="b">
        <v>0</v>
      </c>
    </row>
    <row r="848" spans="1:12" ht="15">
      <c r="A848" s="88" t="s">
        <v>2477</v>
      </c>
      <c r="B848" s="88" t="s">
        <v>2478</v>
      </c>
      <c r="C848" s="88">
        <v>4</v>
      </c>
      <c r="D848" s="120">
        <v>0</v>
      </c>
      <c r="E848" s="120">
        <v>1.3222192947339193</v>
      </c>
      <c r="F848" s="88" t="s">
        <v>2238</v>
      </c>
      <c r="G848" s="88" t="b">
        <v>0</v>
      </c>
      <c r="H848" s="88" t="b">
        <v>0</v>
      </c>
      <c r="I848" s="88" t="b">
        <v>0</v>
      </c>
      <c r="J848" s="88" t="b">
        <v>0</v>
      </c>
      <c r="K848" s="88" t="b">
        <v>0</v>
      </c>
      <c r="L848" s="88" t="b">
        <v>0</v>
      </c>
    </row>
    <row r="849" spans="1:12" ht="15">
      <c r="A849" s="88" t="s">
        <v>2478</v>
      </c>
      <c r="B849" s="88" t="s">
        <v>2479</v>
      </c>
      <c r="C849" s="88">
        <v>4</v>
      </c>
      <c r="D849" s="120">
        <v>0</v>
      </c>
      <c r="E849" s="120">
        <v>1.3222192947339193</v>
      </c>
      <c r="F849" s="88" t="s">
        <v>2238</v>
      </c>
      <c r="G849" s="88" t="b">
        <v>0</v>
      </c>
      <c r="H849" s="88" t="b">
        <v>0</v>
      </c>
      <c r="I849" s="88" t="b">
        <v>0</v>
      </c>
      <c r="J849" s="88" t="b">
        <v>0</v>
      </c>
      <c r="K849" s="88" t="b">
        <v>0</v>
      </c>
      <c r="L849" s="88" t="b">
        <v>0</v>
      </c>
    </row>
    <row r="850" spans="1:12" ht="15">
      <c r="A850" s="88" t="s">
        <v>2479</v>
      </c>
      <c r="B850" s="88" t="s">
        <v>2480</v>
      </c>
      <c r="C850" s="88">
        <v>4</v>
      </c>
      <c r="D850" s="120">
        <v>0</v>
      </c>
      <c r="E850" s="120">
        <v>1.3222192947339193</v>
      </c>
      <c r="F850" s="88" t="s">
        <v>2238</v>
      </c>
      <c r="G850" s="88" t="b">
        <v>0</v>
      </c>
      <c r="H850" s="88" t="b">
        <v>0</v>
      </c>
      <c r="I850" s="88" t="b">
        <v>0</v>
      </c>
      <c r="J850" s="88" t="b">
        <v>0</v>
      </c>
      <c r="K850" s="88" t="b">
        <v>0</v>
      </c>
      <c r="L850" s="88" t="b">
        <v>0</v>
      </c>
    </row>
    <row r="851" spans="1:12" ht="15">
      <c r="A851" s="88" t="s">
        <v>2480</v>
      </c>
      <c r="B851" s="88" t="s">
        <v>699</v>
      </c>
      <c r="C851" s="88">
        <v>4</v>
      </c>
      <c r="D851" s="120">
        <v>0</v>
      </c>
      <c r="E851" s="120">
        <v>1.3222192947339193</v>
      </c>
      <c r="F851" s="88" t="s">
        <v>2238</v>
      </c>
      <c r="G851" s="88" t="b">
        <v>0</v>
      </c>
      <c r="H851" s="88" t="b">
        <v>0</v>
      </c>
      <c r="I851" s="88" t="b">
        <v>0</v>
      </c>
      <c r="J851" s="88" t="b">
        <v>0</v>
      </c>
      <c r="K851" s="88" t="b">
        <v>0</v>
      </c>
      <c r="L851" s="88" t="b">
        <v>0</v>
      </c>
    </row>
    <row r="852" spans="1:12" ht="15">
      <c r="A852" s="88" t="s">
        <v>699</v>
      </c>
      <c r="B852" s="88" t="s">
        <v>2481</v>
      </c>
      <c r="C852" s="88">
        <v>4</v>
      </c>
      <c r="D852" s="120">
        <v>0</v>
      </c>
      <c r="E852" s="120">
        <v>1.3222192947339193</v>
      </c>
      <c r="F852" s="88" t="s">
        <v>2238</v>
      </c>
      <c r="G852" s="88" t="b">
        <v>0</v>
      </c>
      <c r="H852" s="88" t="b">
        <v>0</v>
      </c>
      <c r="I852" s="88" t="b">
        <v>0</v>
      </c>
      <c r="J852" s="88" t="b">
        <v>0</v>
      </c>
      <c r="K852" s="88" t="b">
        <v>0</v>
      </c>
      <c r="L852" s="88" t="b">
        <v>0</v>
      </c>
    </row>
    <row r="853" spans="1:12" ht="15">
      <c r="A853" s="88" t="s">
        <v>2481</v>
      </c>
      <c r="B853" s="88" t="s">
        <v>530</v>
      </c>
      <c r="C853" s="88">
        <v>4</v>
      </c>
      <c r="D853" s="120">
        <v>0</v>
      </c>
      <c r="E853" s="120">
        <v>1.3222192947339193</v>
      </c>
      <c r="F853" s="88" t="s">
        <v>2238</v>
      </c>
      <c r="G853" s="88" t="b">
        <v>0</v>
      </c>
      <c r="H853" s="88" t="b">
        <v>0</v>
      </c>
      <c r="I853" s="88" t="b">
        <v>0</v>
      </c>
      <c r="J853" s="88" t="b">
        <v>0</v>
      </c>
      <c r="K853" s="88" t="b">
        <v>0</v>
      </c>
      <c r="L853" s="88" t="b">
        <v>0</v>
      </c>
    </row>
    <row r="854" spans="1:12" ht="15">
      <c r="A854" s="88" t="s">
        <v>530</v>
      </c>
      <c r="B854" s="88" t="s">
        <v>2482</v>
      </c>
      <c r="C854" s="88">
        <v>4</v>
      </c>
      <c r="D854" s="120">
        <v>0</v>
      </c>
      <c r="E854" s="120">
        <v>1.3222192947339193</v>
      </c>
      <c r="F854" s="88" t="s">
        <v>2238</v>
      </c>
      <c r="G854" s="88" t="b">
        <v>0</v>
      </c>
      <c r="H854" s="88" t="b">
        <v>0</v>
      </c>
      <c r="I854" s="88" t="b">
        <v>0</v>
      </c>
      <c r="J854" s="88" t="b">
        <v>0</v>
      </c>
      <c r="K854" s="88" t="b">
        <v>0</v>
      </c>
      <c r="L854" s="88" t="b">
        <v>0</v>
      </c>
    </row>
    <row r="855" spans="1:12" ht="15">
      <c r="A855" s="88" t="s">
        <v>2482</v>
      </c>
      <c r="B855" s="88" t="s">
        <v>2483</v>
      </c>
      <c r="C855" s="88">
        <v>4</v>
      </c>
      <c r="D855" s="120">
        <v>0</v>
      </c>
      <c r="E855" s="120">
        <v>1.3222192947339193</v>
      </c>
      <c r="F855" s="88" t="s">
        <v>2238</v>
      </c>
      <c r="G855" s="88" t="b">
        <v>0</v>
      </c>
      <c r="H855" s="88" t="b">
        <v>0</v>
      </c>
      <c r="I855" s="88" t="b">
        <v>0</v>
      </c>
      <c r="J855" s="88" t="b">
        <v>0</v>
      </c>
      <c r="K855" s="88" t="b">
        <v>0</v>
      </c>
      <c r="L855" s="88" t="b">
        <v>0</v>
      </c>
    </row>
    <row r="856" spans="1:12" ht="15">
      <c r="A856" s="88" t="s">
        <v>2483</v>
      </c>
      <c r="B856" s="88" t="s">
        <v>2484</v>
      </c>
      <c r="C856" s="88">
        <v>4</v>
      </c>
      <c r="D856" s="120">
        <v>0</v>
      </c>
      <c r="E856" s="120">
        <v>1.3222192947339193</v>
      </c>
      <c r="F856" s="88" t="s">
        <v>2238</v>
      </c>
      <c r="G856" s="88" t="b">
        <v>0</v>
      </c>
      <c r="H856" s="88" t="b">
        <v>0</v>
      </c>
      <c r="I856" s="88" t="b">
        <v>0</v>
      </c>
      <c r="J856" s="88" t="b">
        <v>0</v>
      </c>
      <c r="K856" s="88" t="b">
        <v>0</v>
      </c>
      <c r="L856" s="88" t="b">
        <v>0</v>
      </c>
    </row>
    <row r="857" spans="1:12" ht="15">
      <c r="A857" s="88" t="s">
        <v>2484</v>
      </c>
      <c r="B857" s="88" t="s">
        <v>2485</v>
      </c>
      <c r="C857" s="88">
        <v>4</v>
      </c>
      <c r="D857" s="120">
        <v>0</v>
      </c>
      <c r="E857" s="120">
        <v>1.3222192947339193</v>
      </c>
      <c r="F857" s="88" t="s">
        <v>2238</v>
      </c>
      <c r="G857" s="88" t="b">
        <v>0</v>
      </c>
      <c r="H857" s="88" t="b">
        <v>0</v>
      </c>
      <c r="I857" s="88" t="b">
        <v>0</v>
      </c>
      <c r="J857" s="88" t="b">
        <v>0</v>
      </c>
      <c r="K857" s="88" t="b">
        <v>0</v>
      </c>
      <c r="L857" s="88" t="b">
        <v>0</v>
      </c>
    </row>
    <row r="858" spans="1:12" ht="15">
      <c r="A858" s="88" t="s">
        <v>2485</v>
      </c>
      <c r="B858" s="88" t="s">
        <v>2421</v>
      </c>
      <c r="C858" s="88">
        <v>4</v>
      </c>
      <c r="D858" s="120">
        <v>0</v>
      </c>
      <c r="E858" s="120">
        <v>1.3222192947339193</v>
      </c>
      <c r="F858" s="88" t="s">
        <v>2238</v>
      </c>
      <c r="G858" s="88" t="b">
        <v>0</v>
      </c>
      <c r="H858" s="88" t="b">
        <v>0</v>
      </c>
      <c r="I858" s="88" t="b">
        <v>0</v>
      </c>
      <c r="J858" s="88" t="b">
        <v>0</v>
      </c>
      <c r="K858" s="88" t="b">
        <v>0</v>
      </c>
      <c r="L858" s="88" t="b">
        <v>0</v>
      </c>
    </row>
    <row r="859" spans="1:12" ht="15">
      <c r="A859" s="88" t="s">
        <v>2421</v>
      </c>
      <c r="B859" s="88" t="s">
        <v>2378</v>
      </c>
      <c r="C859" s="88">
        <v>4</v>
      </c>
      <c r="D859" s="120">
        <v>0</v>
      </c>
      <c r="E859" s="120">
        <v>1.021189299069938</v>
      </c>
      <c r="F859" s="88" t="s">
        <v>2238</v>
      </c>
      <c r="G859" s="88" t="b">
        <v>0</v>
      </c>
      <c r="H859" s="88" t="b">
        <v>0</v>
      </c>
      <c r="I859" s="88" t="b">
        <v>0</v>
      </c>
      <c r="J859" s="88" t="b">
        <v>0</v>
      </c>
      <c r="K859" s="88" t="b">
        <v>0</v>
      </c>
      <c r="L859" s="88" t="b">
        <v>0</v>
      </c>
    </row>
    <row r="860" spans="1:12" ht="15">
      <c r="A860" s="88" t="s">
        <v>2378</v>
      </c>
      <c r="B860" s="88" t="s">
        <v>2486</v>
      </c>
      <c r="C860" s="88">
        <v>4</v>
      </c>
      <c r="D860" s="120">
        <v>0</v>
      </c>
      <c r="E860" s="120">
        <v>1.021189299069938</v>
      </c>
      <c r="F860" s="88" t="s">
        <v>2238</v>
      </c>
      <c r="G860" s="88" t="b">
        <v>0</v>
      </c>
      <c r="H860" s="88" t="b">
        <v>0</v>
      </c>
      <c r="I860" s="88" t="b">
        <v>0</v>
      </c>
      <c r="J860" s="88" t="b">
        <v>0</v>
      </c>
      <c r="K860" s="88" t="b">
        <v>0</v>
      </c>
      <c r="L860" s="88" t="b">
        <v>0</v>
      </c>
    </row>
    <row r="861" spans="1:12" ht="15">
      <c r="A861" s="88" t="s">
        <v>2486</v>
      </c>
      <c r="B861" s="88" t="s">
        <v>2378</v>
      </c>
      <c r="C861" s="88">
        <v>4</v>
      </c>
      <c r="D861" s="120">
        <v>0</v>
      </c>
      <c r="E861" s="120">
        <v>1.021189299069938</v>
      </c>
      <c r="F861" s="88" t="s">
        <v>2238</v>
      </c>
      <c r="G861" s="88" t="b">
        <v>0</v>
      </c>
      <c r="H861" s="88" t="b">
        <v>0</v>
      </c>
      <c r="I861" s="88" t="b">
        <v>0</v>
      </c>
      <c r="J861" s="88" t="b">
        <v>0</v>
      </c>
      <c r="K861" s="88" t="b">
        <v>0</v>
      </c>
      <c r="L861" s="88" t="b">
        <v>0</v>
      </c>
    </row>
    <row r="862" spans="1:12" ht="15">
      <c r="A862" s="88" t="s">
        <v>2378</v>
      </c>
      <c r="B862" s="88" t="s">
        <v>2487</v>
      </c>
      <c r="C862" s="88">
        <v>4</v>
      </c>
      <c r="D862" s="120">
        <v>0</v>
      </c>
      <c r="E862" s="120">
        <v>1.021189299069938</v>
      </c>
      <c r="F862" s="88" t="s">
        <v>2238</v>
      </c>
      <c r="G862" s="88" t="b">
        <v>0</v>
      </c>
      <c r="H862" s="88" t="b">
        <v>0</v>
      </c>
      <c r="I862" s="88" t="b">
        <v>0</v>
      </c>
      <c r="J862" s="88" t="b">
        <v>0</v>
      </c>
      <c r="K862" s="88" t="b">
        <v>0</v>
      </c>
      <c r="L862" s="88" t="b">
        <v>0</v>
      </c>
    </row>
    <row r="863" spans="1:12" ht="15">
      <c r="A863" s="88" t="s">
        <v>2487</v>
      </c>
      <c r="B863" s="88" t="s">
        <v>2488</v>
      </c>
      <c r="C863" s="88">
        <v>4</v>
      </c>
      <c r="D863" s="120">
        <v>0</v>
      </c>
      <c r="E863" s="120">
        <v>1.3222192947339193</v>
      </c>
      <c r="F863" s="88" t="s">
        <v>2238</v>
      </c>
      <c r="G863" s="88" t="b">
        <v>0</v>
      </c>
      <c r="H863" s="88" t="b">
        <v>0</v>
      </c>
      <c r="I863" s="88" t="b">
        <v>0</v>
      </c>
      <c r="J863" s="88" t="b">
        <v>0</v>
      </c>
      <c r="K863" s="88" t="b">
        <v>0</v>
      </c>
      <c r="L863" s="88" t="b">
        <v>0</v>
      </c>
    </row>
    <row r="864" spans="1:12" ht="15">
      <c r="A864" s="88" t="s">
        <v>2488</v>
      </c>
      <c r="B864" s="88" t="s">
        <v>2489</v>
      </c>
      <c r="C864" s="88">
        <v>4</v>
      </c>
      <c r="D864" s="120">
        <v>0</v>
      </c>
      <c r="E864" s="120">
        <v>1.3222192947339193</v>
      </c>
      <c r="F864" s="88" t="s">
        <v>2238</v>
      </c>
      <c r="G864" s="88" t="b">
        <v>0</v>
      </c>
      <c r="H864" s="88" t="b">
        <v>0</v>
      </c>
      <c r="I864" s="88" t="b">
        <v>0</v>
      </c>
      <c r="J864" s="88" t="b">
        <v>0</v>
      </c>
      <c r="K864" s="88" t="b">
        <v>0</v>
      </c>
      <c r="L864" s="88" t="b">
        <v>0</v>
      </c>
    </row>
    <row r="865" spans="1:12" ht="15">
      <c r="A865" s="88" t="s">
        <v>2489</v>
      </c>
      <c r="B865" s="88" t="s">
        <v>2490</v>
      </c>
      <c r="C865" s="88">
        <v>4</v>
      </c>
      <c r="D865" s="120">
        <v>0</v>
      </c>
      <c r="E865" s="120">
        <v>1.3222192947339193</v>
      </c>
      <c r="F865" s="88" t="s">
        <v>2238</v>
      </c>
      <c r="G865" s="88" t="b">
        <v>0</v>
      </c>
      <c r="H865" s="88" t="b">
        <v>0</v>
      </c>
      <c r="I865" s="88" t="b">
        <v>0</v>
      </c>
      <c r="J865" s="88" t="b">
        <v>0</v>
      </c>
      <c r="K865" s="88" t="b">
        <v>0</v>
      </c>
      <c r="L865" s="88" t="b">
        <v>0</v>
      </c>
    </row>
    <row r="866" spans="1:12" ht="15">
      <c r="A866" s="88" t="s">
        <v>2490</v>
      </c>
      <c r="B866" s="88" t="s">
        <v>2271</v>
      </c>
      <c r="C866" s="88">
        <v>4</v>
      </c>
      <c r="D866" s="120">
        <v>0</v>
      </c>
      <c r="E866" s="120">
        <v>1.3222192947339193</v>
      </c>
      <c r="F866" s="88" t="s">
        <v>2238</v>
      </c>
      <c r="G866" s="88" t="b">
        <v>0</v>
      </c>
      <c r="H866" s="88" t="b">
        <v>0</v>
      </c>
      <c r="I866" s="88" t="b">
        <v>0</v>
      </c>
      <c r="J866" s="88" t="b">
        <v>0</v>
      </c>
      <c r="K866" s="88" t="b">
        <v>0</v>
      </c>
      <c r="L866" s="88" t="b">
        <v>0</v>
      </c>
    </row>
    <row r="867" spans="1:12" ht="15">
      <c r="A867" s="88" t="s">
        <v>2520</v>
      </c>
      <c r="B867" s="88" t="s">
        <v>2521</v>
      </c>
      <c r="C867" s="88">
        <v>3</v>
      </c>
      <c r="D867" s="120">
        <v>0</v>
      </c>
      <c r="E867" s="120">
        <v>0.9999999999999999</v>
      </c>
      <c r="F867" s="88" t="s">
        <v>2239</v>
      </c>
      <c r="G867" s="88" t="b">
        <v>0</v>
      </c>
      <c r="H867" s="88" t="b">
        <v>0</v>
      </c>
      <c r="I867" s="88" t="b">
        <v>0</v>
      </c>
      <c r="J867" s="88" t="b">
        <v>0</v>
      </c>
      <c r="K867" s="88" t="b">
        <v>0</v>
      </c>
      <c r="L867" s="88" t="b">
        <v>0</v>
      </c>
    </row>
    <row r="868" spans="1:12" ht="15">
      <c r="A868" s="88" t="s">
        <v>2521</v>
      </c>
      <c r="B868" s="88" t="s">
        <v>2522</v>
      </c>
      <c r="C868" s="88">
        <v>3</v>
      </c>
      <c r="D868" s="120">
        <v>0</v>
      </c>
      <c r="E868" s="120">
        <v>0.9999999999999999</v>
      </c>
      <c r="F868" s="88" t="s">
        <v>2239</v>
      </c>
      <c r="G868" s="88" t="b">
        <v>0</v>
      </c>
      <c r="H868" s="88" t="b">
        <v>0</v>
      </c>
      <c r="I868" s="88" t="b">
        <v>0</v>
      </c>
      <c r="J868" s="88" t="b">
        <v>0</v>
      </c>
      <c r="K868" s="88" t="b">
        <v>0</v>
      </c>
      <c r="L868" s="88" t="b">
        <v>0</v>
      </c>
    </row>
    <row r="869" spans="1:12" ht="15">
      <c r="A869" s="88" t="s">
        <v>2522</v>
      </c>
      <c r="B869" s="88" t="s">
        <v>2523</v>
      </c>
      <c r="C869" s="88">
        <v>3</v>
      </c>
      <c r="D869" s="120">
        <v>0</v>
      </c>
      <c r="E869" s="120">
        <v>0.9999999999999999</v>
      </c>
      <c r="F869" s="88" t="s">
        <v>2239</v>
      </c>
      <c r="G869" s="88" t="b">
        <v>0</v>
      </c>
      <c r="H869" s="88" t="b">
        <v>0</v>
      </c>
      <c r="I869" s="88" t="b">
        <v>0</v>
      </c>
      <c r="J869" s="88" t="b">
        <v>0</v>
      </c>
      <c r="K869" s="88" t="b">
        <v>0</v>
      </c>
      <c r="L869" s="88" t="b">
        <v>0</v>
      </c>
    </row>
    <row r="870" spans="1:12" ht="15">
      <c r="A870" s="88" t="s">
        <v>2523</v>
      </c>
      <c r="B870" s="88" t="s">
        <v>2524</v>
      </c>
      <c r="C870" s="88">
        <v>3</v>
      </c>
      <c r="D870" s="120">
        <v>0</v>
      </c>
      <c r="E870" s="120">
        <v>0.9999999999999999</v>
      </c>
      <c r="F870" s="88" t="s">
        <v>2239</v>
      </c>
      <c r="G870" s="88" t="b">
        <v>0</v>
      </c>
      <c r="H870" s="88" t="b">
        <v>0</v>
      </c>
      <c r="I870" s="88" t="b">
        <v>0</v>
      </c>
      <c r="J870" s="88" t="b">
        <v>0</v>
      </c>
      <c r="K870" s="88" t="b">
        <v>0</v>
      </c>
      <c r="L870" s="88" t="b">
        <v>0</v>
      </c>
    </row>
    <row r="871" spans="1:12" ht="15">
      <c r="A871" s="88" t="s">
        <v>2524</v>
      </c>
      <c r="B871" s="88" t="s">
        <v>2525</v>
      </c>
      <c r="C871" s="88">
        <v>3</v>
      </c>
      <c r="D871" s="120">
        <v>0</v>
      </c>
      <c r="E871" s="120">
        <v>0.9999999999999999</v>
      </c>
      <c r="F871" s="88" t="s">
        <v>2239</v>
      </c>
      <c r="G871" s="88" t="b">
        <v>0</v>
      </c>
      <c r="H871" s="88" t="b">
        <v>0</v>
      </c>
      <c r="I871" s="88" t="b">
        <v>0</v>
      </c>
      <c r="J871" s="88" t="b">
        <v>0</v>
      </c>
      <c r="K871" s="88" t="b">
        <v>0</v>
      </c>
      <c r="L871" s="88" t="b">
        <v>0</v>
      </c>
    </row>
    <row r="872" spans="1:12" ht="15">
      <c r="A872" s="88" t="s">
        <v>2525</v>
      </c>
      <c r="B872" s="88" t="s">
        <v>2526</v>
      </c>
      <c r="C872" s="88">
        <v>3</v>
      </c>
      <c r="D872" s="120">
        <v>0</v>
      </c>
      <c r="E872" s="120">
        <v>0.9999999999999999</v>
      </c>
      <c r="F872" s="88" t="s">
        <v>2239</v>
      </c>
      <c r="G872" s="88" t="b">
        <v>0</v>
      </c>
      <c r="H872" s="88" t="b">
        <v>0</v>
      </c>
      <c r="I872" s="88" t="b">
        <v>0</v>
      </c>
      <c r="J872" s="88" t="b">
        <v>0</v>
      </c>
      <c r="K872" s="88" t="b">
        <v>0</v>
      </c>
      <c r="L872" s="88" t="b">
        <v>0</v>
      </c>
    </row>
    <row r="873" spans="1:12" ht="15">
      <c r="A873" s="88" t="s">
        <v>2526</v>
      </c>
      <c r="B873" s="88" t="s">
        <v>2527</v>
      </c>
      <c r="C873" s="88">
        <v>3</v>
      </c>
      <c r="D873" s="120">
        <v>0</v>
      </c>
      <c r="E873" s="120">
        <v>0.9999999999999999</v>
      </c>
      <c r="F873" s="88" t="s">
        <v>2239</v>
      </c>
      <c r="G873" s="88" t="b">
        <v>0</v>
      </c>
      <c r="H873" s="88" t="b">
        <v>0</v>
      </c>
      <c r="I873" s="88" t="b">
        <v>0</v>
      </c>
      <c r="J873" s="88" t="b">
        <v>0</v>
      </c>
      <c r="K873" s="88" t="b">
        <v>0</v>
      </c>
      <c r="L873" s="88" t="b">
        <v>0</v>
      </c>
    </row>
    <row r="874" spans="1:12" ht="15">
      <c r="A874" s="88" t="s">
        <v>2527</v>
      </c>
      <c r="B874" s="88" t="s">
        <v>535</v>
      </c>
      <c r="C874" s="88">
        <v>3</v>
      </c>
      <c r="D874" s="120">
        <v>0</v>
      </c>
      <c r="E874" s="120">
        <v>0.9999999999999999</v>
      </c>
      <c r="F874" s="88" t="s">
        <v>2239</v>
      </c>
      <c r="G874" s="88" t="b">
        <v>0</v>
      </c>
      <c r="H874" s="88" t="b">
        <v>0</v>
      </c>
      <c r="I874" s="88" t="b">
        <v>0</v>
      </c>
      <c r="J874" s="88" t="b">
        <v>0</v>
      </c>
      <c r="K874" s="88" t="b">
        <v>0</v>
      </c>
      <c r="L874" s="88" t="b">
        <v>0</v>
      </c>
    </row>
    <row r="875" spans="1:12" ht="15">
      <c r="A875" s="88" t="s">
        <v>535</v>
      </c>
      <c r="B875" s="88" t="s">
        <v>469</v>
      </c>
      <c r="C875" s="88">
        <v>3</v>
      </c>
      <c r="D875" s="120">
        <v>0</v>
      </c>
      <c r="E875" s="120">
        <v>0.9999999999999999</v>
      </c>
      <c r="F875" s="88" t="s">
        <v>2239</v>
      </c>
      <c r="G875" s="88" t="b">
        <v>0</v>
      </c>
      <c r="H875" s="88" t="b">
        <v>0</v>
      </c>
      <c r="I875" s="88" t="b">
        <v>0</v>
      </c>
      <c r="J875" s="88" t="b">
        <v>0</v>
      </c>
      <c r="K875" s="88" t="b">
        <v>0</v>
      </c>
      <c r="L875" s="88" t="b">
        <v>0</v>
      </c>
    </row>
    <row r="876" spans="1:12" ht="15">
      <c r="A876" s="88" t="s">
        <v>469</v>
      </c>
      <c r="B876" s="88" t="s">
        <v>2271</v>
      </c>
      <c r="C876" s="88">
        <v>3</v>
      </c>
      <c r="D876" s="120">
        <v>0</v>
      </c>
      <c r="E876" s="120">
        <v>0.9999999999999999</v>
      </c>
      <c r="F876" s="88" t="s">
        <v>2239</v>
      </c>
      <c r="G876" s="88" t="b">
        <v>0</v>
      </c>
      <c r="H876" s="88" t="b">
        <v>0</v>
      </c>
      <c r="I876" s="88" t="b">
        <v>0</v>
      </c>
      <c r="J876" s="88" t="b">
        <v>0</v>
      </c>
      <c r="K876" s="88" t="b">
        <v>0</v>
      </c>
      <c r="L876" s="88" t="b">
        <v>0</v>
      </c>
    </row>
    <row r="877" spans="1:12" ht="15">
      <c r="A877" s="88" t="s">
        <v>2334</v>
      </c>
      <c r="B877" s="88" t="s">
        <v>2339</v>
      </c>
      <c r="C877" s="88">
        <v>3</v>
      </c>
      <c r="D877" s="120">
        <v>0</v>
      </c>
      <c r="E877" s="120">
        <v>1.1760912590556813</v>
      </c>
      <c r="F877" s="88" t="s">
        <v>2240</v>
      </c>
      <c r="G877" s="88" t="b">
        <v>0</v>
      </c>
      <c r="H877" s="88" t="b">
        <v>0</v>
      </c>
      <c r="I877" s="88" t="b">
        <v>0</v>
      </c>
      <c r="J877" s="88" t="b">
        <v>0</v>
      </c>
      <c r="K877" s="88" t="b">
        <v>0</v>
      </c>
      <c r="L877" s="88" t="b">
        <v>0</v>
      </c>
    </row>
    <row r="878" spans="1:12" ht="15">
      <c r="A878" s="88" t="s">
        <v>2339</v>
      </c>
      <c r="B878" s="88" t="s">
        <v>2528</v>
      </c>
      <c r="C878" s="88">
        <v>3</v>
      </c>
      <c r="D878" s="120">
        <v>0</v>
      </c>
      <c r="E878" s="120">
        <v>1.1760912590556813</v>
      </c>
      <c r="F878" s="88" t="s">
        <v>2240</v>
      </c>
      <c r="G878" s="88" t="b">
        <v>0</v>
      </c>
      <c r="H878" s="88" t="b">
        <v>0</v>
      </c>
      <c r="I878" s="88" t="b">
        <v>0</v>
      </c>
      <c r="J878" s="88" t="b">
        <v>0</v>
      </c>
      <c r="K878" s="88" t="b">
        <v>0</v>
      </c>
      <c r="L878" s="88" t="b">
        <v>0</v>
      </c>
    </row>
    <row r="879" spans="1:12" ht="15">
      <c r="A879" s="88" t="s">
        <v>2528</v>
      </c>
      <c r="B879" s="88" t="s">
        <v>2529</v>
      </c>
      <c r="C879" s="88">
        <v>3</v>
      </c>
      <c r="D879" s="120">
        <v>0</v>
      </c>
      <c r="E879" s="120">
        <v>1.1760912590556813</v>
      </c>
      <c r="F879" s="88" t="s">
        <v>2240</v>
      </c>
      <c r="G879" s="88" t="b">
        <v>0</v>
      </c>
      <c r="H879" s="88" t="b">
        <v>0</v>
      </c>
      <c r="I879" s="88" t="b">
        <v>0</v>
      </c>
      <c r="J879" s="88" t="b">
        <v>0</v>
      </c>
      <c r="K879" s="88" t="b">
        <v>1</v>
      </c>
      <c r="L879" s="88" t="b">
        <v>0</v>
      </c>
    </row>
    <row r="880" spans="1:12" ht="15">
      <c r="A880" s="88" t="s">
        <v>2529</v>
      </c>
      <c r="B880" s="88" t="s">
        <v>2530</v>
      </c>
      <c r="C880" s="88">
        <v>3</v>
      </c>
      <c r="D880" s="120">
        <v>0</v>
      </c>
      <c r="E880" s="120">
        <v>1.1760912590556813</v>
      </c>
      <c r="F880" s="88" t="s">
        <v>2240</v>
      </c>
      <c r="G880" s="88" t="b">
        <v>0</v>
      </c>
      <c r="H880" s="88" t="b">
        <v>1</v>
      </c>
      <c r="I880" s="88" t="b">
        <v>0</v>
      </c>
      <c r="J880" s="88" t="b">
        <v>0</v>
      </c>
      <c r="K880" s="88" t="b">
        <v>0</v>
      </c>
      <c r="L880" s="88" t="b">
        <v>0</v>
      </c>
    </row>
    <row r="881" spans="1:12" ht="15">
      <c r="A881" s="88" t="s">
        <v>2530</v>
      </c>
      <c r="B881" s="88" t="s">
        <v>2531</v>
      </c>
      <c r="C881" s="88">
        <v>3</v>
      </c>
      <c r="D881" s="120">
        <v>0</v>
      </c>
      <c r="E881" s="120">
        <v>1.1760912590556813</v>
      </c>
      <c r="F881" s="88" t="s">
        <v>2240</v>
      </c>
      <c r="G881" s="88" t="b">
        <v>0</v>
      </c>
      <c r="H881" s="88" t="b">
        <v>0</v>
      </c>
      <c r="I881" s="88" t="b">
        <v>0</v>
      </c>
      <c r="J881" s="88" t="b">
        <v>0</v>
      </c>
      <c r="K881" s="88" t="b">
        <v>0</v>
      </c>
      <c r="L881" s="88" t="b">
        <v>0</v>
      </c>
    </row>
    <row r="882" spans="1:12" ht="15">
      <c r="A882" s="88" t="s">
        <v>2531</v>
      </c>
      <c r="B882" s="88" t="s">
        <v>2532</v>
      </c>
      <c r="C882" s="88">
        <v>3</v>
      </c>
      <c r="D882" s="120">
        <v>0</v>
      </c>
      <c r="E882" s="120">
        <v>1.1760912590556813</v>
      </c>
      <c r="F882" s="88" t="s">
        <v>2240</v>
      </c>
      <c r="G882" s="88" t="b">
        <v>0</v>
      </c>
      <c r="H882" s="88" t="b">
        <v>0</v>
      </c>
      <c r="I882" s="88" t="b">
        <v>0</v>
      </c>
      <c r="J882" s="88" t="b">
        <v>0</v>
      </c>
      <c r="K882" s="88" t="b">
        <v>0</v>
      </c>
      <c r="L882" s="88" t="b">
        <v>0</v>
      </c>
    </row>
    <row r="883" spans="1:12" ht="15">
      <c r="A883" s="88" t="s">
        <v>2532</v>
      </c>
      <c r="B883" s="88" t="s">
        <v>2276</v>
      </c>
      <c r="C883" s="88">
        <v>3</v>
      </c>
      <c r="D883" s="120">
        <v>0</v>
      </c>
      <c r="E883" s="120">
        <v>1.1760912590556813</v>
      </c>
      <c r="F883" s="88" t="s">
        <v>2240</v>
      </c>
      <c r="G883" s="88" t="b">
        <v>0</v>
      </c>
      <c r="H883" s="88" t="b">
        <v>0</v>
      </c>
      <c r="I883" s="88" t="b">
        <v>0</v>
      </c>
      <c r="J883" s="88" t="b">
        <v>0</v>
      </c>
      <c r="K883" s="88" t="b">
        <v>0</v>
      </c>
      <c r="L883" s="88" t="b">
        <v>0</v>
      </c>
    </row>
    <row r="884" spans="1:12" ht="15">
      <c r="A884" s="88" t="s">
        <v>2276</v>
      </c>
      <c r="B884" s="88" t="s">
        <v>2533</v>
      </c>
      <c r="C884" s="88">
        <v>3</v>
      </c>
      <c r="D884" s="120">
        <v>0</v>
      </c>
      <c r="E884" s="120">
        <v>1.1760912590556813</v>
      </c>
      <c r="F884" s="88" t="s">
        <v>2240</v>
      </c>
      <c r="G884" s="88" t="b">
        <v>0</v>
      </c>
      <c r="H884" s="88" t="b">
        <v>0</v>
      </c>
      <c r="I884" s="88" t="b">
        <v>0</v>
      </c>
      <c r="J884" s="88" t="b">
        <v>0</v>
      </c>
      <c r="K884" s="88" t="b">
        <v>0</v>
      </c>
      <c r="L884" s="88" t="b">
        <v>0</v>
      </c>
    </row>
    <row r="885" spans="1:12" ht="15">
      <c r="A885" s="88" t="s">
        <v>2533</v>
      </c>
      <c r="B885" s="88" t="s">
        <v>2534</v>
      </c>
      <c r="C885" s="88">
        <v>3</v>
      </c>
      <c r="D885" s="120">
        <v>0</v>
      </c>
      <c r="E885" s="120">
        <v>1.1760912590556813</v>
      </c>
      <c r="F885" s="88" t="s">
        <v>2240</v>
      </c>
      <c r="G885" s="88" t="b">
        <v>0</v>
      </c>
      <c r="H885" s="88" t="b">
        <v>0</v>
      </c>
      <c r="I885" s="88" t="b">
        <v>0</v>
      </c>
      <c r="J885" s="88" t="b">
        <v>0</v>
      </c>
      <c r="K885" s="88" t="b">
        <v>0</v>
      </c>
      <c r="L885" s="88" t="b">
        <v>0</v>
      </c>
    </row>
    <row r="886" spans="1:12" ht="15">
      <c r="A886" s="88" t="s">
        <v>2534</v>
      </c>
      <c r="B886" s="88" t="s">
        <v>523</v>
      </c>
      <c r="C886" s="88">
        <v>3</v>
      </c>
      <c r="D886" s="120">
        <v>0</v>
      </c>
      <c r="E886" s="120">
        <v>1.1760912590556813</v>
      </c>
      <c r="F886" s="88" t="s">
        <v>2240</v>
      </c>
      <c r="G886" s="88" t="b">
        <v>0</v>
      </c>
      <c r="H886" s="88" t="b">
        <v>0</v>
      </c>
      <c r="I886" s="88" t="b">
        <v>0</v>
      </c>
      <c r="J886" s="88" t="b">
        <v>0</v>
      </c>
      <c r="K886" s="88" t="b">
        <v>0</v>
      </c>
      <c r="L886" s="88" t="b">
        <v>0</v>
      </c>
    </row>
    <row r="887" spans="1:12" ht="15">
      <c r="A887" s="88" t="s">
        <v>523</v>
      </c>
      <c r="B887" s="88" t="s">
        <v>2535</v>
      </c>
      <c r="C887" s="88">
        <v>3</v>
      </c>
      <c r="D887" s="120">
        <v>0</v>
      </c>
      <c r="E887" s="120">
        <v>1.1760912590556813</v>
      </c>
      <c r="F887" s="88" t="s">
        <v>2240</v>
      </c>
      <c r="G887" s="88" t="b">
        <v>0</v>
      </c>
      <c r="H887" s="88" t="b">
        <v>0</v>
      </c>
      <c r="I887" s="88" t="b">
        <v>0</v>
      </c>
      <c r="J887" s="88" t="b">
        <v>0</v>
      </c>
      <c r="K887" s="88" t="b">
        <v>0</v>
      </c>
      <c r="L887" s="88" t="b">
        <v>0</v>
      </c>
    </row>
    <row r="888" spans="1:12" ht="15">
      <c r="A888" s="88" t="s">
        <v>2535</v>
      </c>
      <c r="B888" s="88" t="s">
        <v>2536</v>
      </c>
      <c r="C888" s="88">
        <v>3</v>
      </c>
      <c r="D888" s="120">
        <v>0</v>
      </c>
      <c r="E888" s="120">
        <v>1.1760912590556813</v>
      </c>
      <c r="F888" s="88" t="s">
        <v>2240</v>
      </c>
      <c r="G888" s="88" t="b">
        <v>0</v>
      </c>
      <c r="H888" s="88" t="b">
        <v>0</v>
      </c>
      <c r="I888" s="88" t="b">
        <v>0</v>
      </c>
      <c r="J888" s="88" t="b">
        <v>0</v>
      </c>
      <c r="K888" s="88" t="b">
        <v>0</v>
      </c>
      <c r="L888" s="88" t="b">
        <v>0</v>
      </c>
    </row>
    <row r="889" spans="1:12" ht="15">
      <c r="A889" s="88" t="s">
        <v>2536</v>
      </c>
      <c r="B889" s="88" t="s">
        <v>2271</v>
      </c>
      <c r="C889" s="88">
        <v>3</v>
      </c>
      <c r="D889" s="120">
        <v>0</v>
      </c>
      <c r="E889" s="120">
        <v>1.1760912590556813</v>
      </c>
      <c r="F889" s="88" t="s">
        <v>2240</v>
      </c>
      <c r="G889" s="88" t="b">
        <v>0</v>
      </c>
      <c r="H889" s="88" t="b">
        <v>0</v>
      </c>
      <c r="I889" s="88" t="b">
        <v>0</v>
      </c>
      <c r="J889" s="88" t="b">
        <v>0</v>
      </c>
      <c r="K889" s="88" t="b">
        <v>0</v>
      </c>
      <c r="L889" s="88" t="b">
        <v>0</v>
      </c>
    </row>
    <row r="890" spans="1:12" ht="15">
      <c r="A890" s="88" t="s">
        <v>2271</v>
      </c>
      <c r="B890" s="88" t="s">
        <v>2296</v>
      </c>
      <c r="C890" s="88">
        <v>3</v>
      </c>
      <c r="D890" s="120">
        <v>0</v>
      </c>
      <c r="E890" s="120">
        <v>1.1760912590556813</v>
      </c>
      <c r="F890" s="88" t="s">
        <v>2240</v>
      </c>
      <c r="G890" s="88" t="b">
        <v>0</v>
      </c>
      <c r="H890" s="88" t="b">
        <v>0</v>
      </c>
      <c r="I890" s="88" t="b">
        <v>0</v>
      </c>
      <c r="J890" s="88" t="b">
        <v>0</v>
      </c>
      <c r="K890" s="88" t="b">
        <v>0</v>
      </c>
      <c r="L890" s="88" t="b">
        <v>0</v>
      </c>
    </row>
    <row r="891" spans="1:12" ht="15">
      <c r="A891" s="88" t="s">
        <v>2296</v>
      </c>
      <c r="B891" s="88" t="s">
        <v>2537</v>
      </c>
      <c r="C891" s="88">
        <v>3</v>
      </c>
      <c r="D891" s="120">
        <v>0</v>
      </c>
      <c r="E891" s="120">
        <v>1.1760912590556813</v>
      </c>
      <c r="F891" s="88" t="s">
        <v>2240</v>
      </c>
      <c r="G891" s="88" t="b">
        <v>0</v>
      </c>
      <c r="H891" s="88" t="b">
        <v>0</v>
      </c>
      <c r="I891" s="88" t="b">
        <v>0</v>
      </c>
      <c r="J891" s="88" t="b">
        <v>0</v>
      </c>
      <c r="K891" s="88" t="b">
        <v>0</v>
      </c>
      <c r="L891" s="88" t="b">
        <v>0</v>
      </c>
    </row>
    <row r="892" spans="1:12" ht="15">
      <c r="A892" s="88" t="s">
        <v>2648</v>
      </c>
      <c r="B892" s="88" t="s">
        <v>2649</v>
      </c>
      <c r="C892" s="88">
        <v>2</v>
      </c>
      <c r="D892" s="120">
        <v>0</v>
      </c>
      <c r="E892" s="120">
        <v>1.1760912590556813</v>
      </c>
      <c r="F892" s="88" t="s">
        <v>2241</v>
      </c>
      <c r="G892" s="88" t="b">
        <v>0</v>
      </c>
      <c r="H892" s="88" t="b">
        <v>0</v>
      </c>
      <c r="I892" s="88" t="b">
        <v>0</v>
      </c>
      <c r="J892" s="88" t="b">
        <v>0</v>
      </c>
      <c r="K892" s="88" t="b">
        <v>0</v>
      </c>
      <c r="L892" s="88" t="b">
        <v>0</v>
      </c>
    </row>
    <row r="893" spans="1:12" ht="15">
      <c r="A893" s="88" t="s">
        <v>2649</v>
      </c>
      <c r="B893" s="88" t="s">
        <v>2343</v>
      </c>
      <c r="C893" s="88">
        <v>2</v>
      </c>
      <c r="D893" s="120">
        <v>0</v>
      </c>
      <c r="E893" s="120">
        <v>1.1760912590556813</v>
      </c>
      <c r="F893" s="88" t="s">
        <v>2241</v>
      </c>
      <c r="G893" s="88" t="b">
        <v>0</v>
      </c>
      <c r="H893" s="88" t="b">
        <v>0</v>
      </c>
      <c r="I893" s="88" t="b">
        <v>0</v>
      </c>
      <c r="J893" s="88" t="b">
        <v>0</v>
      </c>
      <c r="K893" s="88" t="b">
        <v>0</v>
      </c>
      <c r="L893" s="88" t="b">
        <v>0</v>
      </c>
    </row>
    <row r="894" spans="1:12" ht="15">
      <c r="A894" s="88" t="s">
        <v>2343</v>
      </c>
      <c r="B894" s="88" t="s">
        <v>520</v>
      </c>
      <c r="C894" s="88">
        <v>2</v>
      </c>
      <c r="D894" s="120">
        <v>0</v>
      </c>
      <c r="E894" s="120">
        <v>1.1760912590556813</v>
      </c>
      <c r="F894" s="88" t="s">
        <v>2241</v>
      </c>
      <c r="G894" s="88" t="b">
        <v>0</v>
      </c>
      <c r="H894" s="88" t="b">
        <v>0</v>
      </c>
      <c r="I894" s="88" t="b">
        <v>0</v>
      </c>
      <c r="J894" s="88" t="b">
        <v>0</v>
      </c>
      <c r="K894" s="88" t="b">
        <v>0</v>
      </c>
      <c r="L894" s="88" t="b">
        <v>0</v>
      </c>
    </row>
    <row r="895" spans="1:12" ht="15">
      <c r="A895" s="88" t="s">
        <v>520</v>
      </c>
      <c r="B895" s="88" t="s">
        <v>2650</v>
      </c>
      <c r="C895" s="88">
        <v>2</v>
      </c>
      <c r="D895" s="120">
        <v>0</v>
      </c>
      <c r="E895" s="120">
        <v>1.1760912590556813</v>
      </c>
      <c r="F895" s="88" t="s">
        <v>2241</v>
      </c>
      <c r="G895" s="88" t="b">
        <v>0</v>
      </c>
      <c r="H895" s="88" t="b">
        <v>0</v>
      </c>
      <c r="I895" s="88" t="b">
        <v>0</v>
      </c>
      <c r="J895" s="88" t="b">
        <v>0</v>
      </c>
      <c r="K895" s="88" t="b">
        <v>0</v>
      </c>
      <c r="L895" s="88" t="b">
        <v>0</v>
      </c>
    </row>
    <row r="896" spans="1:12" ht="15">
      <c r="A896" s="88" t="s">
        <v>2650</v>
      </c>
      <c r="B896" s="88" t="s">
        <v>519</v>
      </c>
      <c r="C896" s="88">
        <v>2</v>
      </c>
      <c r="D896" s="120">
        <v>0</v>
      </c>
      <c r="E896" s="120">
        <v>1.1760912590556813</v>
      </c>
      <c r="F896" s="88" t="s">
        <v>2241</v>
      </c>
      <c r="G896" s="88" t="b">
        <v>0</v>
      </c>
      <c r="H896" s="88" t="b">
        <v>0</v>
      </c>
      <c r="I896" s="88" t="b">
        <v>0</v>
      </c>
      <c r="J896" s="88" t="b">
        <v>0</v>
      </c>
      <c r="K896" s="88" t="b">
        <v>0</v>
      </c>
      <c r="L896" s="88" t="b">
        <v>0</v>
      </c>
    </row>
    <row r="897" spans="1:12" ht="15">
      <c r="A897" s="88" t="s">
        <v>519</v>
      </c>
      <c r="B897" s="88" t="s">
        <v>2651</v>
      </c>
      <c r="C897" s="88">
        <v>2</v>
      </c>
      <c r="D897" s="120">
        <v>0</v>
      </c>
      <c r="E897" s="120">
        <v>1.1760912590556813</v>
      </c>
      <c r="F897" s="88" t="s">
        <v>2241</v>
      </c>
      <c r="G897" s="88" t="b">
        <v>0</v>
      </c>
      <c r="H897" s="88" t="b">
        <v>0</v>
      </c>
      <c r="I897" s="88" t="b">
        <v>0</v>
      </c>
      <c r="J897" s="88" t="b">
        <v>0</v>
      </c>
      <c r="K897" s="88" t="b">
        <v>0</v>
      </c>
      <c r="L897" s="88" t="b">
        <v>0</v>
      </c>
    </row>
    <row r="898" spans="1:12" ht="15">
      <c r="A898" s="88" t="s">
        <v>2651</v>
      </c>
      <c r="B898" s="88" t="s">
        <v>699</v>
      </c>
      <c r="C898" s="88">
        <v>2</v>
      </c>
      <c r="D898" s="120">
        <v>0</v>
      </c>
      <c r="E898" s="120">
        <v>1.1760912590556813</v>
      </c>
      <c r="F898" s="88" t="s">
        <v>2241</v>
      </c>
      <c r="G898" s="88" t="b">
        <v>0</v>
      </c>
      <c r="H898" s="88" t="b">
        <v>0</v>
      </c>
      <c r="I898" s="88" t="b">
        <v>0</v>
      </c>
      <c r="J898" s="88" t="b">
        <v>0</v>
      </c>
      <c r="K898" s="88" t="b">
        <v>0</v>
      </c>
      <c r="L898" s="88" t="b">
        <v>0</v>
      </c>
    </row>
    <row r="899" spans="1:12" ht="15">
      <c r="A899" s="88" t="s">
        <v>699</v>
      </c>
      <c r="B899" s="88" t="s">
        <v>2652</v>
      </c>
      <c r="C899" s="88">
        <v>2</v>
      </c>
      <c r="D899" s="120">
        <v>0</v>
      </c>
      <c r="E899" s="120">
        <v>1.1760912590556813</v>
      </c>
      <c r="F899" s="88" t="s">
        <v>2241</v>
      </c>
      <c r="G899" s="88" t="b">
        <v>0</v>
      </c>
      <c r="H899" s="88" t="b">
        <v>0</v>
      </c>
      <c r="I899" s="88" t="b">
        <v>0</v>
      </c>
      <c r="J899" s="88" t="b">
        <v>0</v>
      </c>
      <c r="K899" s="88" t="b">
        <v>0</v>
      </c>
      <c r="L899" s="88" t="b">
        <v>0</v>
      </c>
    </row>
    <row r="900" spans="1:12" ht="15">
      <c r="A900" s="88" t="s">
        <v>2652</v>
      </c>
      <c r="B900" s="88" t="s">
        <v>2653</v>
      </c>
      <c r="C900" s="88">
        <v>2</v>
      </c>
      <c r="D900" s="120">
        <v>0</v>
      </c>
      <c r="E900" s="120">
        <v>1.1760912590556813</v>
      </c>
      <c r="F900" s="88" t="s">
        <v>2241</v>
      </c>
      <c r="G900" s="88" t="b">
        <v>0</v>
      </c>
      <c r="H900" s="88" t="b">
        <v>0</v>
      </c>
      <c r="I900" s="88" t="b">
        <v>0</v>
      </c>
      <c r="J900" s="88" t="b">
        <v>0</v>
      </c>
      <c r="K900" s="88" t="b">
        <v>0</v>
      </c>
      <c r="L900" s="88" t="b">
        <v>0</v>
      </c>
    </row>
    <row r="901" spans="1:12" ht="15">
      <c r="A901" s="88" t="s">
        <v>2653</v>
      </c>
      <c r="B901" s="88" t="s">
        <v>2654</v>
      </c>
      <c r="C901" s="88">
        <v>2</v>
      </c>
      <c r="D901" s="120">
        <v>0</v>
      </c>
      <c r="E901" s="120">
        <v>1.1760912590556813</v>
      </c>
      <c r="F901" s="88" t="s">
        <v>2241</v>
      </c>
      <c r="G901" s="88" t="b">
        <v>0</v>
      </c>
      <c r="H901" s="88" t="b">
        <v>0</v>
      </c>
      <c r="I901" s="88" t="b">
        <v>0</v>
      </c>
      <c r="J901" s="88" t="b">
        <v>0</v>
      </c>
      <c r="K901" s="88" t="b">
        <v>1</v>
      </c>
      <c r="L901" s="88" t="b">
        <v>0</v>
      </c>
    </row>
    <row r="902" spans="1:12" ht="15">
      <c r="A902" s="88" t="s">
        <v>2654</v>
      </c>
      <c r="B902" s="88" t="s">
        <v>2655</v>
      </c>
      <c r="C902" s="88">
        <v>2</v>
      </c>
      <c r="D902" s="120">
        <v>0</v>
      </c>
      <c r="E902" s="120">
        <v>1.1760912590556813</v>
      </c>
      <c r="F902" s="88" t="s">
        <v>2241</v>
      </c>
      <c r="G902" s="88" t="b">
        <v>0</v>
      </c>
      <c r="H902" s="88" t="b">
        <v>1</v>
      </c>
      <c r="I902" s="88" t="b">
        <v>0</v>
      </c>
      <c r="J902" s="88" t="b">
        <v>0</v>
      </c>
      <c r="K902" s="88" t="b">
        <v>0</v>
      </c>
      <c r="L902" s="88" t="b">
        <v>0</v>
      </c>
    </row>
    <row r="903" spans="1:12" ht="15">
      <c r="A903" s="88" t="s">
        <v>2655</v>
      </c>
      <c r="B903" s="88" t="s">
        <v>2656</v>
      </c>
      <c r="C903" s="88">
        <v>2</v>
      </c>
      <c r="D903" s="120">
        <v>0</v>
      </c>
      <c r="E903" s="120">
        <v>1.1760912590556813</v>
      </c>
      <c r="F903" s="88" t="s">
        <v>2241</v>
      </c>
      <c r="G903" s="88" t="b">
        <v>0</v>
      </c>
      <c r="H903" s="88" t="b">
        <v>0</v>
      </c>
      <c r="I903" s="88" t="b">
        <v>0</v>
      </c>
      <c r="J903" s="88" t="b">
        <v>0</v>
      </c>
      <c r="K903" s="88" t="b">
        <v>0</v>
      </c>
      <c r="L903" s="88" t="b">
        <v>0</v>
      </c>
    </row>
    <row r="904" spans="1:12" ht="15">
      <c r="A904" s="88" t="s">
        <v>2656</v>
      </c>
      <c r="B904" s="88" t="s">
        <v>2657</v>
      </c>
      <c r="C904" s="88">
        <v>2</v>
      </c>
      <c r="D904" s="120">
        <v>0</v>
      </c>
      <c r="E904" s="120">
        <v>1.1760912590556813</v>
      </c>
      <c r="F904" s="88" t="s">
        <v>2241</v>
      </c>
      <c r="G904" s="88" t="b">
        <v>0</v>
      </c>
      <c r="H904" s="88" t="b">
        <v>0</v>
      </c>
      <c r="I904" s="88" t="b">
        <v>0</v>
      </c>
      <c r="J904" s="88" t="b">
        <v>0</v>
      </c>
      <c r="K904" s="88" t="b">
        <v>0</v>
      </c>
      <c r="L904" s="88" t="b">
        <v>0</v>
      </c>
    </row>
    <row r="905" spans="1:12" ht="15">
      <c r="A905" s="88" t="s">
        <v>2657</v>
      </c>
      <c r="B905" s="88" t="s">
        <v>2293</v>
      </c>
      <c r="C905" s="88">
        <v>2</v>
      </c>
      <c r="D905" s="120">
        <v>0</v>
      </c>
      <c r="E905" s="120">
        <v>1.1760912590556813</v>
      </c>
      <c r="F905" s="88" t="s">
        <v>2241</v>
      </c>
      <c r="G905" s="88" t="b">
        <v>0</v>
      </c>
      <c r="H905" s="88" t="b">
        <v>0</v>
      </c>
      <c r="I905" s="88" t="b">
        <v>0</v>
      </c>
      <c r="J905" s="88" t="b">
        <v>0</v>
      </c>
      <c r="K905" s="88" t="b">
        <v>0</v>
      </c>
      <c r="L905" s="88" t="b">
        <v>0</v>
      </c>
    </row>
    <row r="906" spans="1:12" ht="15">
      <c r="A906" s="88" t="s">
        <v>2293</v>
      </c>
      <c r="B906" s="88" t="s">
        <v>2271</v>
      </c>
      <c r="C906" s="88">
        <v>2</v>
      </c>
      <c r="D906" s="120">
        <v>0</v>
      </c>
      <c r="E906" s="120">
        <v>1.1760912590556813</v>
      </c>
      <c r="F906" s="88" t="s">
        <v>2241</v>
      </c>
      <c r="G906" s="88" t="b">
        <v>0</v>
      </c>
      <c r="H906" s="88" t="b">
        <v>0</v>
      </c>
      <c r="I906" s="88" t="b">
        <v>0</v>
      </c>
      <c r="J906" s="88" t="b">
        <v>0</v>
      </c>
      <c r="K906" s="88" t="b">
        <v>0</v>
      </c>
      <c r="L906" s="88" t="b">
        <v>0</v>
      </c>
    </row>
    <row r="907" spans="1:12" ht="15">
      <c r="A907" s="88" t="s">
        <v>2538</v>
      </c>
      <c r="B907" s="88" t="s">
        <v>2539</v>
      </c>
      <c r="C907" s="88">
        <v>2</v>
      </c>
      <c r="D907" s="120">
        <v>0</v>
      </c>
      <c r="E907" s="120">
        <v>1.414973347970818</v>
      </c>
      <c r="F907" s="88" t="s">
        <v>2242</v>
      </c>
      <c r="G907" s="88" t="b">
        <v>0</v>
      </c>
      <c r="H907" s="88" t="b">
        <v>0</v>
      </c>
      <c r="I907" s="88" t="b">
        <v>0</v>
      </c>
      <c r="J907" s="88" t="b">
        <v>0</v>
      </c>
      <c r="K907" s="88" t="b">
        <v>0</v>
      </c>
      <c r="L907" s="88" t="b">
        <v>0</v>
      </c>
    </row>
    <row r="908" spans="1:12" ht="15">
      <c r="A908" s="88" t="s">
        <v>2539</v>
      </c>
      <c r="B908" s="88" t="s">
        <v>2540</v>
      </c>
      <c r="C908" s="88">
        <v>2</v>
      </c>
      <c r="D908" s="120">
        <v>0</v>
      </c>
      <c r="E908" s="120">
        <v>1.414973347970818</v>
      </c>
      <c r="F908" s="88" t="s">
        <v>2242</v>
      </c>
      <c r="G908" s="88" t="b">
        <v>0</v>
      </c>
      <c r="H908" s="88" t="b">
        <v>0</v>
      </c>
      <c r="I908" s="88" t="b">
        <v>0</v>
      </c>
      <c r="J908" s="88" t="b">
        <v>0</v>
      </c>
      <c r="K908" s="88" t="b">
        <v>0</v>
      </c>
      <c r="L908" s="88" t="b">
        <v>0</v>
      </c>
    </row>
    <row r="909" spans="1:12" ht="15">
      <c r="A909" s="88" t="s">
        <v>2540</v>
      </c>
      <c r="B909" s="88" t="s">
        <v>2541</v>
      </c>
      <c r="C909" s="88">
        <v>2</v>
      </c>
      <c r="D909" s="120">
        <v>0</v>
      </c>
      <c r="E909" s="120">
        <v>1.414973347970818</v>
      </c>
      <c r="F909" s="88" t="s">
        <v>2242</v>
      </c>
      <c r="G909" s="88" t="b">
        <v>0</v>
      </c>
      <c r="H909" s="88" t="b">
        <v>0</v>
      </c>
      <c r="I909" s="88" t="b">
        <v>0</v>
      </c>
      <c r="J909" s="88" t="b">
        <v>0</v>
      </c>
      <c r="K909" s="88" t="b">
        <v>0</v>
      </c>
      <c r="L909" s="88" t="b">
        <v>0</v>
      </c>
    </row>
    <row r="910" spans="1:12" ht="15">
      <c r="A910" s="88" t="s">
        <v>2541</v>
      </c>
      <c r="B910" s="88" t="s">
        <v>2542</v>
      </c>
      <c r="C910" s="88">
        <v>2</v>
      </c>
      <c r="D910" s="120">
        <v>0</v>
      </c>
      <c r="E910" s="120">
        <v>1.414973347970818</v>
      </c>
      <c r="F910" s="88" t="s">
        <v>2242</v>
      </c>
      <c r="G910" s="88" t="b">
        <v>0</v>
      </c>
      <c r="H910" s="88" t="b">
        <v>0</v>
      </c>
      <c r="I910" s="88" t="b">
        <v>0</v>
      </c>
      <c r="J910" s="88" t="b">
        <v>0</v>
      </c>
      <c r="K910" s="88" t="b">
        <v>0</v>
      </c>
      <c r="L910" s="88" t="b">
        <v>0</v>
      </c>
    </row>
    <row r="911" spans="1:12" ht="15">
      <c r="A911" s="88" t="s">
        <v>2542</v>
      </c>
      <c r="B911" s="88" t="s">
        <v>2543</v>
      </c>
      <c r="C911" s="88">
        <v>2</v>
      </c>
      <c r="D911" s="120">
        <v>0</v>
      </c>
      <c r="E911" s="120">
        <v>1.414973347970818</v>
      </c>
      <c r="F911" s="88" t="s">
        <v>2242</v>
      </c>
      <c r="G911" s="88" t="b">
        <v>0</v>
      </c>
      <c r="H911" s="88" t="b">
        <v>0</v>
      </c>
      <c r="I911" s="88" t="b">
        <v>0</v>
      </c>
      <c r="J911" s="88" t="b">
        <v>0</v>
      </c>
      <c r="K911" s="88" t="b">
        <v>0</v>
      </c>
      <c r="L911" s="88" t="b">
        <v>0</v>
      </c>
    </row>
    <row r="912" spans="1:12" ht="15">
      <c r="A912" s="88" t="s">
        <v>2543</v>
      </c>
      <c r="B912" s="88" t="s">
        <v>2272</v>
      </c>
      <c r="C912" s="88">
        <v>2</v>
      </c>
      <c r="D912" s="120">
        <v>0</v>
      </c>
      <c r="E912" s="120">
        <v>0.9378520932511555</v>
      </c>
      <c r="F912" s="88" t="s">
        <v>2242</v>
      </c>
      <c r="G912" s="88" t="b">
        <v>0</v>
      </c>
      <c r="H912" s="88" t="b">
        <v>0</v>
      </c>
      <c r="I912" s="88" t="b">
        <v>0</v>
      </c>
      <c r="J912" s="88" t="b">
        <v>1</v>
      </c>
      <c r="K912" s="88" t="b">
        <v>0</v>
      </c>
      <c r="L912" s="88" t="b">
        <v>0</v>
      </c>
    </row>
    <row r="913" spans="1:12" ht="15">
      <c r="A913" s="88" t="s">
        <v>2272</v>
      </c>
      <c r="B913" s="88" t="s">
        <v>2491</v>
      </c>
      <c r="C913" s="88">
        <v>2</v>
      </c>
      <c r="D913" s="120">
        <v>0</v>
      </c>
      <c r="E913" s="120">
        <v>0.9378520932511555</v>
      </c>
      <c r="F913" s="88" t="s">
        <v>2242</v>
      </c>
      <c r="G913" s="88" t="b">
        <v>1</v>
      </c>
      <c r="H913" s="88" t="b">
        <v>0</v>
      </c>
      <c r="I913" s="88" t="b">
        <v>0</v>
      </c>
      <c r="J913" s="88" t="b">
        <v>0</v>
      </c>
      <c r="K913" s="88" t="b">
        <v>0</v>
      </c>
      <c r="L913" s="88" t="b">
        <v>0</v>
      </c>
    </row>
    <row r="914" spans="1:12" ht="15">
      <c r="A914" s="88" t="s">
        <v>2491</v>
      </c>
      <c r="B914" s="88" t="s">
        <v>2544</v>
      </c>
      <c r="C914" s="88">
        <v>2</v>
      </c>
      <c r="D914" s="120">
        <v>0</v>
      </c>
      <c r="E914" s="120">
        <v>1.414973347970818</v>
      </c>
      <c r="F914" s="88" t="s">
        <v>2242</v>
      </c>
      <c r="G914" s="88" t="b">
        <v>0</v>
      </c>
      <c r="H914" s="88" t="b">
        <v>0</v>
      </c>
      <c r="I914" s="88" t="b">
        <v>0</v>
      </c>
      <c r="J914" s="88" t="b">
        <v>0</v>
      </c>
      <c r="K914" s="88" t="b">
        <v>0</v>
      </c>
      <c r="L914" s="88" t="b">
        <v>0</v>
      </c>
    </row>
    <row r="915" spans="1:12" ht="15">
      <c r="A915" s="88" t="s">
        <v>2544</v>
      </c>
      <c r="B915" s="88" t="s">
        <v>2440</v>
      </c>
      <c r="C915" s="88">
        <v>2</v>
      </c>
      <c r="D915" s="120">
        <v>0</v>
      </c>
      <c r="E915" s="120">
        <v>1.414973347970818</v>
      </c>
      <c r="F915" s="88" t="s">
        <v>2242</v>
      </c>
      <c r="G915" s="88" t="b">
        <v>0</v>
      </c>
      <c r="H915" s="88" t="b">
        <v>0</v>
      </c>
      <c r="I915" s="88" t="b">
        <v>0</v>
      </c>
      <c r="J915" s="88" t="b">
        <v>0</v>
      </c>
      <c r="K915" s="88" t="b">
        <v>0</v>
      </c>
      <c r="L915" s="88" t="b">
        <v>0</v>
      </c>
    </row>
    <row r="916" spans="1:12" ht="15">
      <c r="A916" s="88" t="s">
        <v>2440</v>
      </c>
      <c r="B916" s="88" t="s">
        <v>2545</v>
      </c>
      <c r="C916" s="88">
        <v>2</v>
      </c>
      <c r="D916" s="120">
        <v>0</v>
      </c>
      <c r="E916" s="120">
        <v>1.414973347970818</v>
      </c>
      <c r="F916" s="88" t="s">
        <v>2242</v>
      </c>
      <c r="G916" s="88" t="b">
        <v>0</v>
      </c>
      <c r="H916" s="88" t="b">
        <v>0</v>
      </c>
      <c r="I916" s="88" t="b">
        <v>0</v>
      </c>
      <c r="J916" s="88" t="b">
        <v>0</v>
      </c>
      <c r="K916" s="88" t="b">
        <v>0</v>
      </c>
      <c r="L916" s="88" t="b">
        <v>0</v>
      </c>
    </row>
    <row r="917" spans="1:12" ht="15">
      <c r="A917" s="88" t="s">
        <v>2545</v>
      </c>
      <c r="B917" s="88" t="s">
        <v>2546</v>
      </c>
      <c r="C917" s="88">
        <v>2</v>
      </c>
      <c r="D917" s="120">
        <v>0</v>
      </c>
      <c r="E917" s="120">
        <v>1.414973347970818</v>
      </c>
      <c r="F917" s="88" t="s">
        <v>2242</v>
      </c>
      <c r="G917" s="88" t="b">
        <v>0</v>
      </c>
      <c r="H917" s="88" t="b">
        <v>0</v>
      </c>
      <c r="I917" s="88" t="b">
        <v>0</v>
      </c>
      <c r="J917" s="88" t="b">
        <v>0</v>
      </c>
      <c r="K917" s="88" t="b">
        <v>1</v>
      </c>
      <c r="L917" s="88" t="b">
        <v>0</v>
      </c>
    </row>
    <row r="918" spans="1:12" ht="15">
      <c r="A918" s="88" t="s">
        <v>2546</v>
      </c>
      <c r="B918" s="88" t="s">
        <v>2547</v>
      </c>
      <c r="C918" s="88">
        <v>2</v>
      </c>
      <c r="D918" s="120">
        <v>0</v>
      </c>
      <c r="E918" s="120">
        <v>1.414973347970818</v>
      </c>
      <c r="F918" s="88" t="s">
        <v>2242</v>
      </c>
      <c r="G918" s="88" t="b">
        <v>0</v>
      </c>
      <c r="H918" s="88" t="b">
        <v>1</v>
      </c>
      <c r="I918" s="88" t="b">
        <v>0</v>
      </c>
      <c r="J918" s="88" t="b">
        <v>0</v>
      </c>
      <c r="K918" s="88" t="b">
        <v>0</v>
      </c>
      <c r="L918" s="88" t="b">
        <v>0</v>
      </c>
    </row>
    <row r="919" spans="1:12" ht="15">
      <c r="A919" s="88" t="s">
        <v>2547</v>
      </c>
      <c r="B919" s="88" t="s">
        <v>2548</v>
      </c>
      <c r="C919" s="88">
        <v>2</v>
      </c>
      <c r="D919" s="120">
        <v>0</v>
      </c>
      <c r="E919" s="120">
        <v>1.414973347970818</v>
      </c>
      <c r="F919" s="88" t="s">
        <v>2242</v>
      </c>
      <c r="G919" s="88" t="b">
        <v>0</v>
      </c>
      <c r="H919" s="88" t="b">
        <v>0</v>
      </c>
      <c r="I919" s="88" t="b">
        <v>0</v>
      </c>
      <c r="J919" s="88" t="b">
        <v>0</v>
      </c>
      <c r="K919" s="88" t="b">
        <v>1</v>
      </c>
      <c r="L919" s="88" t="b">
        <v>0</v>
      </c>
    </row>
    <row r="920" spans="1:12" ht="15">
      <c r="A920" s="88" t="s">
        <v>2548</v>
      </c>
      <c r="B920" s="88" t="s">
        <v>2276</v>
      </c>
      <c r="C920" s="88">
        <v>2</v>
      </c>
      <c r="D920" s="120">
        <v>0</v>
      </c>
      <c r="E920" s="120">
        <v>1.414973347970818</v>
      </c>
      <c r="F920" s="88" t="s">
        <v>2242</v>
      </c>
      <c r="G920" s="88" t="b">
        <v>0</v>
      </c>
      <c r="H920" s="88" t="b">
        <v>1</v>
      </c>
      <c r="I920" s="88" t="b">
        <v>0</v>
      </c>
      <c r="J920" s="88" t="b">
        <v>0</v>
      </c>
      <c r="K920" s="88" t="b">
        <v>0</v>
      </c>
      <c r="L920" s="88" t="b">
        <v>0</v>
      </c>
    </row>
    <row r="921" spans="1:12" ht="15">
      <c r="A921" s="88" t="s">
        <v>2276</v>
      </c>
      <c r="B921" s="88" t="s">
        <v>2549</v>
      </c>
      <c r="C921" s="88">
        <v>2</v>
      </c>
      <c r="D921" s="120">
        <v>0</v>
      </c>
      <c r="E921" s="120">
        <v>1.414973347970818</v>
      </c>
      <c r="F921" s="88" t="s">
        <v>2242</v>
      </c>
      <c r="G921" s="88" t="b">
        <v>0</v>
      </c>
      <c r="H921" s="88" t="b">
        <v>0</v>
      </c>
      <c r="I921" s="88" t="b">
        <v>0</v>
      </c>
      <c r="J921" s="88" t="b">
        <v>0</v>
      </c>
      <c r="K921" s="88" t="b">
        <v>0</v>
      </c>
      <c r="L921" s="88" t="b">
        <v>0</v>
      </c>
    </row>
    <row r="922" spans="1:12" ht="15">
      <c r="A922" s="88" t="s">
        <v>2549</v>
      </c>
      <c r="B922" s="88" t="s">
        <v>2550</v>
      </c>
      <c r="C922" s="88">
        <v>2</v>
      </c>
      <c r="D922" s="120">
        <v>0</v>
      </c>
      <c r="E922" s="120">
        <v>1.414973347970818</v>
      </c>
      <c r="F922" s="88" t="s">
        <v>2242</v>
      </c>
      <c r="G922" s="88" t="b">
        <v>0</v>
      </c>
      <c r="H922" s="88" t="b">
        <v>0</v>
      </c>
      <c r="I922" s="88" t="b">
        <v>0</v>
      </c>
      <c r="J922" s="88" t="b">
        <v>0</v>
      </c>
      <c r="K922" s="88" t="b">
        <v>0</v>
      </c>
      <c r="L922" s="88" t="b">
        <v>0</v>
      </c>
    </row>
    <row r="923" spans="1:12" ht="15">
      <c r="A923" s="88" t="s">
        <v>2550</v>
      </c>
      <c r="B923" s="88" t="s">
        <v>2272</v>
      </c>
      <c r="C923" s="88">
        <v>2</v>
      </c>
      <c r="D923" s="120">
        <v>0</v>
      </c>
      <c r="E923" s="120">
        <v>0.9378520932511555</v>
      </c>
      <c r="F923" s="88" t="s">
        <v>2242</v>
      </c>
      <c r="G923" s="88" t="b">
        <v>0</v>
      </c>
      <c r="H923" s="88" t="b">
        <v>0</v>
      </c>
      <c r="I923" s="88" t="b">
        <v>0</v>
      </c>
      <c r="J923" s="88" t="b">
        <v>1</v>
      </c>
      <c r="K923" s="88" t="b">
        <v>0</v>
      </c>
      <c r="L923" s="88" t="b">
        <v>0</v>
      </c>
    </row>
    <row r="924" spans="1:12" ht="15">
      <c r="A924" s="88" t="s">
        <v>2272</v>
      </c>
      <c r="B924" s="88" t="s">
        <v>2271</v>
      </c>
      <c r="C924" s="88">
        <v>2</v>
      </c>
      <c r="D924" s="120">
        <v>0</v>
      </c>
      <c r="E924" s="120">
        <v>0.9378520932511555</v>
      </c>
      <c r="F924" s="88" t="s">
        <v>2242</v>
      </c>
      <c r="G924" s="88" t="b">
        <v>1</v>
      </c>
      <c r="H924" s="88" t="b">
        <v>0</v>
      </c>
      <c r="I924" s="88" t="b">
        <v>0</v>
      </c>
      <c r="J924" s="88" t="b">
        <v>0</v>
      </c>
      <c r="K924" s="88" t="b">
        <v>0</v>
      </c>
      <c r="L924" s="88" t="b">
        <v>0</v>
      </c>
    </row>
    <row r="925" spans="1:12" ht="15">
      <c r="A925" s="88" t="s">
        <v>2271</v>
      </c>
      <c r="B925" s="88" t="s">
        <v>2551</v>
      </c>
      <c r="C925" s="88">
        <v>2</v>
      </c>
      <c r="D925" s="120">
        <v>0</v>
      </c>
      <c r="E925" s="120">
        <v>1.414973347970818</v>
      </c>
      <c r="F925" s="88" t="s">
        <v>2242</v>
      </c>
      <c r="G925" s="88" t="b">
        <v>0</v>
      </c>
      <c r="H925" s="88" t="b">
        <v>0</v>
      </c>
      <c r="I925" s="88" t="b">
        <v>0</v>
      </c>
      <c r="J925" s="88" t="b">
        <v>0</v>
      </c>
      <c r="K925" s="88" t="b">
        <v>0</v>
      </c>
      <c r="L925" s="88" t="b">
        <v>0</v>
      </c>
    </row>
    <row r="926" spans="1:12" ht="15">
      <c r="A926" s="88" t="s">
        <v>2551</v>
      </c>
      <c r="B926" s="88" t="s">
        <v>2272</v>
      </c>
      <c r="C926" s="88">
        <v>2</v>
      </c>
      <c r="D926" s="120">
        <v>0</v>
      </c>
      <c r="E926" s="120">
        <v>0.9378520932511555</v>
      </c>
      <c r="F926" s="88" t="s">
        <v>2242</v>
      </c>
      <c r="G926" s="88" t="b">
        <v>0</v>
      </c>
      <c r="H926" s="88" t="b">
        <v>0</v>
      </c>
      <c r="I926" s="88" t="b">
        <v>0</v>
      </c>
      <c r="J926" s="88" t="b">
        <v>1</v>
      </c>
      <c r="K926" s="88" t="b">
        <v>0</v>
      </c>
      <c r="L926" s="88" t="b">
        <v>0</v>
      </c>
    </row>
    <row r="927" spans="1:12" ht="15">
      <c r="A927" s="88" t="s">
        <v>2272</v>
      </c>
      <c r="B927" s="88" t="s">
        <v>2552</v>
      </c>
      <c r="C927" s="88">
        <v>2</v>
      </c>
      <c r="D927" s="120">
        <v>0</v>
      </c>
      <c r="E927" s="120">
        <v>0.9378520932511555</v>
      </c>
      <c r="F927" s="88" t="s">
        <v>2242</v>
      </c>
      <c r="G927" s="88" t="b">
        <v>1</v>
      </c>
      <c r="H927" s="88" t="b">
        <v>0</v>
      </c>
      <c r="I927" s="88" t="b">
        <v>0</v>
      </c>
      <c r="J927" s="88" t="b">
        <v>0</v>
      </c>
      <c r="K927" s="88" t="b">
        <v>0</v>
      </c>
      <c r="L927" s="88" t="b">
        <v>0</v>
      </c>
    </row>
    <row r="928" spans="1:12" ht="15">
      <c r="A928" s="88" t="s">
        <v>2552</v>
      </c>
      <c r="B928" s="88" t="s">
        <v>2553</v>
      </c>
      <c r="C928" s="88">
        <v>2</v>
      </c>
      <c r="D928" s="120">
        <v>0</v>
      </c>
      <c r="E928" s="120">
        <v>1.414973347970818</v>
      </c>
      <c r="F928" s="88" t="s">
        <v>2242</v>
      </c>
      <c r="G928" s="88" t="b">
        <v>0</v>
      </c>
      <c r="H928" s="88" t="b">
        <v>0</v>
      </c>
      <c r="I928" s="88" t="b">
        <v>0</v>
      </c>
      <c r="J928" s="88" t="b">
        <v>0</v>
      </c>
      <c r="K928" s="88" t="b">
        <v>0</v>
      </c>
      <c r="L928" s="88" t="b">
        <v>0</v>
      </c>
    </row>
    <row r="929" spans="1:12" ht="15">
      <c r="A929" s="88" t="s">
        <v>2553</v>
      </c>
      <c r="B929" s="88" t="s">
        <v>2372</v>
      </c>
      <c r="C929" s="88">
        <v>2</v>
      </c>
      <c r="D929" s="120">
        <v>0</v>
      </c>
      <c r="E929" s="120">
        <v>1.414973347970818</v>
      </c>
      <c r="F929" s="88" t="s">
        <v>2242</v>
      </c>
      <c r="G929" s="88" t="b">
        <v>0</v>
      </c>
      <c r="H929" s="88" t="b">
        <v>0</v>
      </c>
      <c r="I929" s="88" t="b">
        <v>0</v>
      </c>
      <c r="J929" s="88" t="b">
        <v>1</v>
      </c>
      <c r="K929" s="88" t="b">
        <v>0</v>
      </c>
      <c r="L929" s="88" t="b">
        <v>0</v>
      </c>
    </row>
    <row r="930" spans="1:12" ht="15">
      <c r="A930" s="88" t="s">
        <v>2372</v>
      </c>
      <c r="B930" s="88" t="s">
        <v>2554</v>
      </c>
      <c r="C930" s="88">
        <v>2</v>
      </c>
      <c r="D930" s="120">
        <v>0</v>
      </c>
      <c r="E930" s="120">
        <v>1.414973347970818</v>
      </c>
      <c r="F930" s="88" t="s">
        <v>2242</v>
      </c>
      <c r="G930" s="88" t="b">
        <v>1</v>
      </c>
      <c r="H930" s="88" t="b">
        <v>0</v>
      </c>
      <c r="I930" s="88" t="b">
        <v>0</v>
      </c>
      <c r="J930" s="88" t="b">
        <v>0</v>
      </c>
      <c r="K930" s="88" t="b">
        <v>0</v>
      </c>
      <c r="L930" s="88" t="b">
        <v>0</v>
      </c>
    </row>
    <row r="931" spans="1:12" ht="15">
      <c r="A931" s="88" t="s">
        <v>2554</v>
      </c>
      <c r="B931" s="88" t="s">
        <v>508</v>
      </c>
      <c r="C931" s="88">
        <v>2</v>
      </c>
      <c r="D931" s="120">
        <v>0</v>
      </c>
      <c r="E931" s="120">
        <v>1.414973347970818</v>
      </c>
      <c r="F931" s="88" t="s">
        <v>2242</v>
      </c>
      <c r="G931" s="88" t="b">
        <v>0</v>
      </c>
      <c r="H931" s="88" t="b">
        <v>0</v>
      </c>
      <c r="I931" s="88" t="b">
        <v>0</v>
      </c>
      <c r="J931" s="88" t="b">
        <v>0</v>
      </c>
      <c r="K931" s="88" t="b">
        <v>0</v>
      </c>
      <c r="L931" s="88" t="b">
        <v>0</v>
      </c>
    </row>
    <row r="932" spans="1:12" ht="15">
      <c r="A932" s="88" t="s">
        <v>508</v>
      </c>
      <c r="B932" s="88" t="s">
        <v>585</v>
      </c>
      <c r="C932" s="88">
        <v>2</v>
      </c>
      <c r="D932" s="120">
        <v>0</v>
      </c>
      <c r="E932" s="120">
        <v>1.414973347970818</v>
      </c>
      <c r="F932" s="88" t="s">
        <v>2242</v>
      </c>
      <c r="G932" s="88" t="b">
        <v>0</v>
      </c>
      <c r="H932" s="88" t="b">
        <v>0</v>
      </c>
      <c r="I932" s="88" t="b">
        <v>0</v>
      </c>
      <c r="J932" s="88" t="b">
        <v>0</v>
      </c>
      <c r="K932" s="88" t="b">
        <v>0</v>
      </c>
      <c r="L932" s="88" t="b">
        <v>0</v>
      </c>
    </row>
    <row r="933" spans="1:12" ht="15">
      <c r="A933" s="88" t="s">
        <v>699</v>
      </c>
      <c r="B933" s="88" t="s">
        <v>2390</v>
      </c>
      <c r="C933" s="88">
        <v>6</v>
      </c>
      <c r="D933" s="120">
        <v>0</v>
      </c>
      <c r="E933" s="120">
        <v>1.166331421766525</v>
      </c>
      <c r="F933" s="88" t="s">
        <v>2243</v>
      </c>
      <c r="G933" s="88" t="b">
        <v>0</v>
      </c>
      <c r="H933" s="88" t="b">
        <v>0</v>
      </c>
      <c r="I933" s="88" t="b">
        <v>0</v>
      </c>
      <c r="J933" s="88" t="b">
        <v>0</v>
      </c>
      <c r="K933" s="88" t="b">
        <v>0</v>
      </c>
      <c r="L933" s="88" t="b">
        <v>0</v>
      </c>
    </row>
    <row r="934" spans="1:12" ht="15">
      <c r="A934" s="88" t="s">
        <v>2338</v>
      </c>
      <c r="B934" s="88" t="s">
        <v>2271</v>
      </c>
      <c r="C934" s="88">
        <v>6</v>
      </c>
      <c r="D934" s="120">
        <v>0</v>
      </c>
      <c r="E934" s="120">
        <v>1.166331421766525</v>
      </c>
      <c r="F934" s="88" t="s">
        <v>2243</v>
      </c>
      <c r="G934" s="88" t="b">
        <v>0</v>
      </c>
      <c r="H934" s="88" t="b">
        <v>0</v>
      </c>
      <c r="I934" s="88" t="b">
        <v>0</v>
      </c>
      <c r="J934" s="88" t="b">
        <v>0</v>
      </c>
      <c r="K934" s="88" t="b">
        <v>0</v>
      </c>
      <c r="L934" s="88" t="b">
        <v>0</v>
      </c>
    </row>
    <row r="935" spans="1:12" ht="15">
      <c r="A935" s="88" t="s">
        <v>2555</v>
      </c>
      <c r="B935" s="88" t="s">
        <v>2556</v>
      </c>
      <c r="C935" s="88">
        <v>2</v>
      </c>
      <c r="D935" s="120">
        <v>0.010151516057865158</v>
      </c>
      <c r="E935" s="120">
        <v>1.6434526764861874</v>
      </c>
      <c r="F935" s="88" t="s">
        <v>2243</v>
      </c>
      <c r="G935" s="88" t="b">
        <v>0</v>
      </c>
      <c r="H935" s="88" t="b">
        <v>0</v>
      </c>
      <c r="I935" s="88" t="b">
        <v>0</v>
      </c>
      <c r="J935" s="88" t="b">
        <v>1</v>
      </c>
      <c r="K935" s="88" t="b">
        <v>0</v>
      </c>
      <c r="L935" s="88" t="b">
        <v>0</v>
      </c>
    </row>
    <row r="936" spans="1:12" ht="15">
      <c r="A936" s="88" t="s">
        <v>2556</v>
      </c>
      <c r="B936" s="88" t="s">
        <v>2557</v>
      </c>
      <c r="C936" s="88">
        <v>2</v>
      </c>
      <c r="D936" s="120">
        <v>0.010151516057865158</v>
      </c>
      <c r="E936" s="120">
        <v>1.6434526764861874</v>
      </c>
      <c r="F936" s="88" t="s">
        <v>2243</v>
      </c>
      <c r="G936" s="88" t="b">
        <v>1</v>
      </c>
      <c r="H936" s="88" t="b">
        <v>0</v>
      </c>
      <c r="I936" s="88" t="b">
        <v>0</v>
      </c>
      <c r="J936" s="88" t="b">
        <v>0</v>
      </c>
      <c r="K936" s="88" t="b">
        <v>0</v>
      </c>
      <c r="L936" s="88" t="b">
        <v>0</v>
      </c>
    </row>
    <row r="937" spans="1:12" ht="15">
      <c r="A937" s="88" t="s">
        <v>2557</v>
      </c>
      <c r="B937" s="88" t="s">
        <v>2558</v>
      </c>
      <c r="C937" s="88">
        <v>2</v>
      </c>
      <c r="D937" s="120">
        <v>0.010151516057865158</v>
      </c>
      <c r="E937" s="120">
        <v>1.6434526764861874</v>
      </c>
      <c r="F937" s="88" t="s">
        <v>2243</v>
      </c>
      <c r="G937" s="88" t="b">
        <v>0</v>
      </c>
      <c r="H937" s="88" t="b">
        <v>0</v>
      </c>
      <c r="I937" s="88" t="b">
        <v>0</v>
      </c>
      <c r="J937" s="88" t="b">
        <v>0</v>
      </c>
      <c r="K937" s="88" t="b">
        <v>0</v>
      </c>
      <c r="L937" s="88" t="b">
        <v>0</v>
      </c>
    </row>
    <row r="938" spans="1:12" ht="15">
      <c r="A938" s="88" t="s">
        <v>2558</v>
      </c>
      <c r="B938" s="88" t="s">
        <v>699</v>
      </c>
      <c r="C938" s="88">
        <v>2</v>
      </c>
      <c r="D938" s="120">
        <v>0.010151516057865158</v>
      </c>
      <c r="E938" s="120">
        <v>1.3424226808222062</v>
      </c>
      <c r="F938" s="88" t="s">
        <v>2243</v>
      </c>
      <c r="G938" s="88" t="b">
        <v>0</v>
      </c>
      <c r="H938" s="88" t="b">
        <v>0</v>
      </c>
      <c r="I938" s="88" t="b">
        <v>0</v>
      </c>
      <c r="J938" s="88" t="b">
        <v>0</v>
      </c>
      <c r="K938" s="88" t="b">
        <v>0</v>
      </c>
      <c r="L938" s="88" t="b">
        <v>0</v>
      </c>
    </row>
    <row r="939" spans="1:12" ht="15">
      <c r="A939" s="88" t="s">
        <v>2390</v>
      </c>
      <c r="B939" s="88" t="s">
        <v>2559</v>
      </c>
      <c r="C939" s="88">
        <v>2</v>
      </c>
      <c r="D939" s="120">
        <v>0.010151516057865158</v>
      </c>
      <c r="E939" s="120">
        <v>1.166331421766525</v>
      </c>
      <c r="F939" s="88" t="s">
        <v>2243</v>
      </c>
      <c r="G939" s="88" t="b">
        <v>0</v>
      </c>
      <c r="H939" s="88" t="b">
        <v>0</v>
      </c>
      <c r="I939" s="88" t="b">
        <v>0</v>
      </c>
      <c r="J939" s="88" t="b">
        <v>0</v>
      </c>
      <c r="K939" s="88" t="b">
        <v>0</v>
      </c>
      <c r="L939" s="88" t="b">
        <v>0</v>
      </c>
    </row>
    <row r="940" spans="1:12" ht="15">
      <c r="A940" s="88" t="s">
        <v>2559</v>
      </c>
      <c r="B940" s="88" t="s">
        <v>2560</v>
      </c>
      <c r="C940" s="88">
        <v>2</v>
      </c>
      <c r="D940" s="120">
        <v>0.010151516057865158</v>
      </c>
      <c r="E940" s="120">
        <v>1.6434526764861874</v>
      </c>
      <c r="F940" s="88" t="s">
        <v>2243</v>
      </c>
      <c r="G940" s="88" t="b">
        <v>0</v>
      </c>
      <c r="H940" s="88" t="b">
        <v>0</v>
      </c>
      <c r="I940" s="88" t="b">
        <v>0</v>
      </c>
      <c r="J940" s="88" t="b">
        <v>0</v>
      </c>
      <c r="K940" s="88" t="b">
        <v>0</v>
      </c>
      <c r="L940" s="88" t="b">
        <v>0</v>
      </c>
    </row>
    <row r="941" spans="1:12" ht="15">
      <c r="A941" s="88" t="s">
        <v>2560</v>
      </c>
      <c r="B941" s="88" t="s">
        <v>2441</v>
      </c>
      <c r="C941" s="88">
        <v>2</v>
      </c>
      <c r="D941" s="120">
        <v>0.010151516057865158</v>
      </c>
      <c r="E941" s="120">
        <v>1.3424226808222062</v>
      </c>
      <c r="F941" s="88" t="s">
        <v>2243</v>
      </c>
      <c r="G941" s="88" t="b">
        <v>0</v>
      </c>
      <c r="H941" s="88" t="b">
        <v>0</v>
      </c>
      <c r="I941" s="88" t="b">
        <v>0</v>
      </c>
      <c r="J941" s="88" t="b">
        <v>0</v>
      </c>
      <c r="K941" s="88" t="b">
        <v>0</v>
      </c>
      <c r="L941" s="88" t="b">
        <v>0</v>
      </c>
    </row>
    <row r="942" spans="1:12" ht="15">
      <c r="A942" s="88" t="s">
        <v>2441</v>
      </c>
      <c r="B942" s="88" t="s">
        <v>2561</v>
      </c>
      <c r="C942" s="88">
        <v>2</v>
      </c>
      <c r="D942" s="120">
        <v>0.010151516057865158</v>
      </c>
      <c r="E942" s="120">
        <v>1.3424226808222062</v>
      </c>
      <c r="F942" s="88" t="s">
        <v>2243</v>
      </c>
      <c r="G942" s="88" t="b">
        <v>0</v>
      </c>
      <c r="H942" s="88" t="b">
        <v>0</v>
      </c>
      <c r="I942" s="88" t="b">
        <v>0</v>
      </c>
      <c r="J942" s="88" t="b">
        <v>0</v>
      </c>
      <c r="K942" s="88" t="b">
        <v>0</v>
      </c>
      <c r="L942" s="88" t="b">
        <v>0</v>
      </c>
    </row>
    <row r="943" spans="1:12" ht="15">
      <c r="A943" s="88" t="s">
        <v>2561</v>
      </c>
      <c r="B943" s="88" t="s">
        <v>2338</v>
      </c>
      <c r="C943" s="88">
        <v>2</v>
      </c>
      <c r="D943" s="120">
        <v>0.010151516057865158</v>
      </c>
      <c r="E943" s="120">
        <v>1.166331421766525</v>
      </c>
      <c r="F943" s="88" t="s">
        <v>2243</v>
      </c>
      <c r="G943" s="88" t="b">
        <v>0</v>
      </c>
      <c r="H943" s="88" t="b">
        <v>0</v>
      </c>
      <c r="I943" s="88" t="b">
        <v>0</v>
      </c>
      <c r="J943" s="88" t="b">
        <v>0</v>
      </c>
      <c r="K943" s="88" t="b">
        <v>0</v>
      </c>
      <c r="L943" s="88" t="b">
        <v>0</v>
      </c>
    </row>
    <row r="944" spans="1:12" ht="15">
      <c r="A944" s="88" t="s">
        <v>2390</v>
      </c>
      <c r="B944" s="88" t="s">
        <v>2576</v>
      </c>
      <c r="C944" s="88">
        <v>2</v>
      </c>
      <c r="D944" s="120">
        <v>0.010151516057865158</v>
      </c>
      <c r="E944" s="120">
        <v>1.166331421766525</v>
      </c>
      <c r="F944" s="88" t="s">
        <v>2243</v>
      </c>
      <c r="G944" s="88" t="b">
        <v>0</v>
      </c>
      <c r="H944" s="88" t="b">
        <v>0</v>
      </c>
      <c r="I944" s="88" t="b">
        <v>0</v>
      </c>
      <c r="J944" s="88" t="b">
        <v>0</v>
      </c>
      <c r="K944" s="88" t="b">
        <v>0</v>
      </c>
      <c r="L944" s="88" t="b">
        <v>0</v>
      </c>
    </row>
    <row r="945" spans="1:12" ht="15">
      <c r="A945" s="88" t="s">
        <v>2576</v>
      </c>
      <c r="B945" s="88" t="s">
        <v>2577</v>
      </c>
      <c r="C945" s="88">
        <v>2</v>
      </c>
      <c r="D945" s="120">
        <v>0.010151516057865158</v>
      </c>
      <c r="E945" s="120">
        <v>1.6434526764861874</v>
      </c>
      <c r="F945" s="88" t="s">
        <v>2243</v>
      </c>
      <c r="G945" s="88" t="b">
        <v>0</v>
      </c>
      <c r="H945" s="88" t="b">
        <v>0</v>
      </c>
      <c r="I945" s="88" t="b">
        <v>0</v>
      </c>
      <c r="J945" s="88" t="b">
        <v>0</v>
      </c>
      <c r="K945" s="88" t="b">
        <v>0</v>
      </c>
      <c r="L945" s="88" t="b">
        <v>0</v>
      </c>
    </row>
    <row r="946" spans="1:12" ht="15">
      <c r="A946" s="88" t="s">
        <v>2577</v>
      </c>
      <c r="B946" s="88" t="s">
        <v>2578</v>
      </c>
      <c r="C946" s="88">
        <v>2</v>
      </c>
      <c r="D946" s="120">
        <v>0.010151516057865158</v>
      </c>
      <c r="E946" s="120">
        <v>1.6434526764861874</v>
      </c>
      <c r="F946" s="88" t="s">
        <v>2243</v>
      </c>
      <c r="G946" s="88" t="b">
        <v>0</v>
      </c>
      <c r="H946" s="88" t="b">
        <v>0</v>
      </c>
      <c r="I946" s="88" t="b">
        <v>0</v>
      </c>
      <c r="J946" s="88" t="b">
        <v>0</v>
      </c>
      <c r="K946" s="88" t="b">
        <v>0</v>
      </c>
      <c r="L946" s="88" t="b">
        <v>0</v>
      </c>
    </row>
    <row r="947" spans="1:12" ht="15">
      <c r="A947" s="88" t="s">
        <v>2578</v>
      </c>
      <c r="B947" s="88" t="s">
        <v>2579</v>
      </c>
      <c r="C947" s="88">
        <v>2</v>
      </c>
      <c r="D947" s="120">
        <v>0.010151516057865158</v>
      </c>
      <c r="E947" s="120">
        <v>1.6434526764861874</v>
      </c>
      <c r="F947" s="88" t="s">
        <v>2243</v>
      </c>
      <c r="G947" s="88" t="b">
        <v>0</v>
      </c>
      <c r="H947" s="88" t="b">
        <v>0</v>
      </c>
      <c r="I947" s="88" t="b">
        <v>0</v>
      </c>
      <c r="J947" s="88" t="b">
        <v>0</v>
      </c>
      <c r="K947" s="88" t="b">
        <v>0</v>
      </c>
      <c r="L947" s="88" t="b">
        <v>0</v>
      </c>
    </row>
    <row r="948" spans="1:12" ht="15">
      <c r="A948" s="88" t="s">
        <v>2579</v>
      </c>
      <c r="B948" s="88" t="s">
        <v>2580</v>
      </c>
      <c r="C948" s="88">
        <v>2</v>
      </c>
      <c r="D948" s="120">
        <v>0.010151516057865158</v>
      </c>
      <c r="E948" s="120">
        <v>1.6434526764861874</v>
      </c>
      <c r="F948" s="88" t="s">
        <v>2243</v>
      </c>
      <c r="G948" s="88" t="b">
        <v>0</v>
      </c>
      <c r="H948" s="88" t="b">
        <v>0</v>
      </c>
      <c r="I948" s="88" t="b">
        <v>0</v>
      </c>
      <c r="J948" s="88" t="b">
        <v>0</v>
      </c>
      <c r="K948" s="88" t="b">
        <v>0</v>
      </c>
      <c r="L948" s="88" t="b">
        <v>0</v>
      </c>
    </row>
    <row r="949" spans="1:12" ht="15">
      <c r="A949" s="88" t="s">
        <v>2580</v>
      </c>
      <c r="B949" s="88" t="s">
        <v>2442</v>
      </c>
      <c r="C949" s="88">
        <v>2</v>
      </c>
      <c r="D949" s="120">
        <v>0.010151516057865158</v>
      </c>
      <c r="E949" s="120">
        <v>1.3424226808222062</v>
      </c>
      <c r="F949" s="88" t="s">
        <v>2243</v>
      </c>
      <c r="G949" s="88" t="b">
        <v>0</v>
      </c>
      <c r="H949" s="88" t="b">
        <v>0</v>
      </c>
      <c r="I949" s="88" t="b">
        <v>0</v>
      </c>
      <c r="J949" s="88" t="b">
        <v>0</v>
      </c>
      <c r="K949" s="88" t="b">
        <v>0</v>
      </c>
      <c r="L949" s="88" t="b">
        <v>0</v>
      </c>
    </row>
    <row r="950" spans="1:12" ht="15">
      <c r="A950" s="88" t="s">
        <v>2442</v>
      </c>
      <c r="B950" s="88" t="s">
        <v>2443</v>
      </c>
      <c r="C950" s="88">
        <v>2</v>
      </c>
      <c r="D950" s="120">
        <v>0.010151516057865158</v>
      </c>
      <c r="E950" s="120">
        <v>1.0413926851582251</v>
      </c>
      <c r="F950" s="88" t="s">
        <v>2243</v>
      </c>
      <c r="G950" s="88" t="b">
        <v>0</v>
      </c>
      <c r="H950" s="88" t="b">
        <v>0</v>
      </c>
      <c r="I950" s="88" t="b">
        <v>0</v>
      </c>
      <c r="J950" s="88" t="b">
        <v>0</v>
      </c>
      <c r="K950" s="88" t="b">
        <v>0</v>
      </c>
      <c r="L950" s="88" t="b">
        <v>0</v>
      </c>
    </row>
    <row r="951" spans="1:12" ht="15">
      <c r="A951" s="88" t="s">
        <v>2443</v>
      </c>
      <c r="B951" s="88" t="s">
        <v>2581</v>
      </c>
      <c r="C951" s="88">
        <v>2</v>
      </c>
      <c r="D951" s="120">
        <v>0.010151516057865158</v>
      </c>
      <c r="E951" s="120">
        <v>1.3424226808222062</v>
      </c>
      <c r="F951" s="88" t="s">
        <v>2243</v>
      </c>
      <c r="G951" s="88" t="b">
        <v>0</v>
      </c>
      <c r="H951" s="88" t="b">
        <v>0</v>
      </c>
      <c r="I951" s="88" t="b">
        <v>0</v>
      </c>
      <c r="J951" s="88" t="b">
        <v>0</v>
      </c>
      <c r="K951" s="88" t="b">
        <v>0</v>
      </c>
      <c r="L951" s="88" t="b">
        <v>0</v>
      </c>
    </row>
    <row r="952" spans="1:12" ht="15">
      <c r="A952" s="88" t="s">
        <v>2581</v>
      </c>
      <c r="B952" s="88" t="s">
        <v>2582</v>
      </c>
      <c r="C952" s="88">
        <v>2</v>
      </c>
      <c r="D952" s="120">
        <v>0.010151516057865158</v>
      </c>
      <c r="E952" s="120">
        <v>1.6434526764861874</v>
      </c>
      <c r="F952" s="88" t="s">
        <v>2243</v>
      </c>
      <c r="G952" s="88" t="b">
        <v>0</v>
      </c>
      <c r="H952" s="88" t="b">
        <v>0</v>
      </c>
      <c r="I952" s="88" t="b">
        <v>0</v>
      </c>
      <c r="J952" s="88" t="b">
        <v>0</v>
      </c>
      <c r="K952" s="88" t="b">
        <v>0</v>
      </c>
      <c r="L952" s="88" t="b">
        <v>0</v>
      </c>
    </row>
    <row r="953" spans="1:12" ht="15">
      <c r="A953" s="88" t="s">
        <v>2582</v>
      </c>
      <c r="B953" s="88" t="s">
        <v>2338</v>
      </c>
      <c r="C953" s="88">
        <v>2</v>
      </c>
      <c r="D953" s="120">
        <v>0.010151516057865158</v>
      </c>
      <c r="E953" s="120">
        <v>1.166331421766525</v>
      </c>
      <c r="F953" s="88" t="s">
        <v>2243</v>
      </c>
      <c r="G953" s="88" t="b">
        <v>0</v>
      </c>
      <c r="H953" s="88" t="b">
        <v>0</v>
      </c>
      <c r="I953" s="88" t="b">
        <v>0</v>
      </c>
      <c r="J953" s="88" t="b">
        <v>0</v>
      </c>
      <c r="K953" s="88" t="b">
        <v>0</v>
      </c>
      <c r="L953" s="88" t="b">
        <v>0</v>
      </c>
    </row>
    <row r="954" spans="1:12" ht="15">
      <c r="A954" s="88" t="s">
        <v>2562</v>
      </c>
      <c r="B954" s="88" t="s">
        <v>584</v>
      </c>
      <c r="C954" s="88">
        <v>2</v>
      </c>
      <c r="D954" s="120">
        <v>0.010151516057865158</v>
      </c>
      <c r="E954" s="120">
        <v>1.6434526764861874</v>
      </c>
      <c r="F954" s="88" t="s">
        <v>2243</v>
      </c>
      <c r="G954" s="88" t="b">
        <v>0</v>
      </c>
      <c r="H954" s="88" t="b">
        <v>0</v>
      </c>
      <c r="I954" s="88" t="b">
        <v>0</v>
      </c>
      <c r="J954" s="88" t="b">
        <v>0</v>
      </c>
      <c r="K954" s="88" t="b">
        <v>0</v>
      </c>
      <c r="L954" s="88" t="b">
        <v>0</v>
      </c>
    </row>
    <row r="955" spans="1:12" ht="15">
      <c r="A955" s="88" t="s">
        <v>584</v>
      </c>
      <c r="B955" s="88" t="s">
        <v>2563</v>
      </c>
      <c r="C955" s="88">
        <v>2</v>
      </c>
      <c r="D955" s="120">
        <v>0.010151516057865158</v>
      </c>
      <c r="E955" s="120">
        <v>1.6434526764861874</v>
      </c>
      <c r="F955" s="88" t="s">
        <v>2243</v>
      </c>
      <c r="G955" s="88" t="b">
        <v>0</v>
      </c>
      <c r="H955" s="88" t="b">
        <v>0</v>
      </c>
      <c r="I955" s="88" t="b">
        <v>0</v>
      </c>
      <c r="J955" s="88" t="b">
        <v>0</v>
      </c>
      <c r="K955" s="88" t="b">
        <v>0</v>
      </c>
      <c r="L955" s="88" t="b">
        <v>0</v>
      </c>
    </row>
    <row r="956" spans="1:12" ht="15">
      <c r="A956" s="88" t="s">
        <v>2563</v>
      </c>
      <c r="B956" s="88" t="s">
        <v>2442</v>
      </c>
      <c r="C956" s="88">
        <v>2</v>
      </c>
      <c r="D956" s="120">
        <v>0.010151516057865158</v>
      </c>
      <c r="E956" s="120">
        <v>1.3424226808222062</v>
      </c>
      <c r="F956" s="88" t="s">
        <v>2243</v>
      </c>
      <c r="G956" s="88" t="b">
        <v>0</v>
      </c>
      <c r="H956" s="88" t="b">
        <v>0</v>
      </c>
      <c r="I956" s="88" t="b">
        <v>0</v>
      </c>
      <c r="J956" s="88" t="b">
        <v>0</v>
      </c>
      <c r="K956" s="88" t="b">
        <v>0</v>
      </c>
      <c r="L956" s="88" t="b">
        <v>0</v>
      </c>
    </row>
    <row r="957" spans="1:12" ht="15">
      <c r="A957" s="88" t="s">
        <v>2442</v>
      </c>
      <c r="B957" s="88" t="s">
        <v>699</v>
      </c>
      <c r="C957" s="88">
        <v>2</v>
      </c>
      <c r="D957" s="120">
        <v>0.010151516057865158</v>
      </c>
      <c r="E957" s="120">
        <v>1.0413926851582251</v>
      </c>
      <c r="F957" s="88" t="s">
        <v>2243</v>
      </c>
      <c r="G957" s="88" t="b">
        <v>0</v>
      </c>
      <c r="H957" s="88" t="b">
        <v>0</v>
      </c>
      <c r="I957" s="88" t="b">
        <v>0</v>
      </c>
      <c r="J957" s="88" t="b">
        <v>0</v>
      </c>
      <c r="K957" s="88" t="b">
        <v>0</v>
      </c>
      <c r="L957" s="88" t="b">
        <v>0</v>
      </c>
    </row>
    <row r="958" spans="1:12" ht="15">
      <c r="A958" s="88" t="s">
        <v>2390</v>
      </c>
      <c r="B958" s="88" t="s">
        <v>2564</v>
      </c>
      <c r="C958" s="88">
        <v>2</v>
      </c>
      <c r="D958" s="120">
        <v>0.010151516057865158</v>
      </c>
      <c r="E958" s="120">
        <v>1.166331421766525</v>
      </c>
      <c r="F958" s="88" t="s">
        <v>2243</v>
      </c>
      <c r="G958" s="88" t="b">
        <v>0</v>
      </c>
      <c r="H958" s="88" t="b">
        <v>0</v>
      </c>
      <c r="I958" s="88" t="b">
        <v>0</v>
      </c>
      <c r="J958" s="88" t="b">
        <v>0</v>
      </c>
      <c r="K958" s="88" t="b">
        <v>0</v>
      </c>
      <c r="L958" s="88" t="b">
        <v>0</v>
      </c>
    </row>
    <row r="959" spans="1:12" ht="15">
      <c r="A959" s="88" t="s">
        <v>2564</v>
      </c>
      <c r="B959" s="88" t="s">
        <v>2565</v>
      </c>
      <c r="C959" s="88">
        <v>2</v>
      </c>
      <c r="D959" s="120">
        <v>0.010151516057865158</v>
      </c>
      <c r="E959" s="120">
        <v>1.6434526764861874</v>
      </c>
      <c r="F959" s="88" t="s">
        <v>2243</v>
      </c>
      <c r="G959" s="88" t="b">
        <v>0</v>
      </c>
      <c r="H959" s="88" t="b">
        <v>0</v>
      </c>
      <c r="I959" s="88" t="b">
        <v>0</v>
      </c>
      <c r="J959" s="88" t="b">
        <v>0</v>
      </c>
      <c r="K959" s="88" t="b">
        <v>0</v>
      </c>
      <c r="L959" s="88" t="b">
        <v>0</v>
      </c>
    </row>
    <row r="960" spans="1:12" ht="15">
      <c r="A960" s="88" t="s">
        <v>2565</v>
      </c>
      <c r="B960" s="88" t="s">
        <v>2566</v>
      </c>
      <c r="C960" s="88">
        <v>2</v>
      </c>
      <c r="D960" s="120">
        <v>0.010151516057865158</v>
      </c>
      <c r="E960" s="120">
        <v>1.6434526764861874</v>
      </c>
      <c r="F960" s="88" t="s">
        <v>2243</v>
      </c>
      <c r="G960" s="88" t="b">
        <v>0</v>
      </c>
      <c r="H960" s="88" t="b">
        <v>0</v>
      </c>
      <c r="I960" s="88" t="b">
        <v>0</v>
      </c>
      <c r="J960" s="88" t="b">
        <v>0</v>
      </c>
      <c r="K960" s="88" t="b">
        <v>0</v>
      </c>
      <c r="L960" s="88" t="b">
        <v>0</v>
      </c>
    </row>
    <row r="961" spans="1:12" ht="15">
      <c r="A961" s="88" t="s">
        <v>2566</v>
      </c>
      <c r="B961" s="88" t="s">
        <v>2567</v>
      </c>
      <c r="C961" s="88">
        <v>2</v>
      </c>
      <c r="D961" s="120">
        <v>0.010151516057865158</v>
      </c>
      <c r="E961" s="120">
        <v>1.6434526764861874</v>
      </c>
      <c r="F961" s="88" t="s">
        <v>2243</v>
      </c>
      <c r="G961" s="88" t="b">
        <v>0</v>
      </c>
      <c r="H961" s="88" t="b">
        <v>0</v>
      </c>
      <c r="I961" s="88" t="b">
        <v>0</v>
      </c>
      <c r="J961" s="88" t="b">
        <v>0</v>
      </c>
      <c r="K961" s="88" t="b">
        <v>0</v>
      </c>
      <c r="L961" s="88" t="b">
        <v>0</v>
      </c>
    </row>
    <row r="962" spans="1:12" ht="15">
      <c r="A962" s="88" t="s">
        <v>2567</v>
      </c>
      <c r="B962" s="88" t="s">
        <v>2568</v>
      </c>
      <c r="C962" s="88">
        <v>2</v>
      </c>
      <c r="D962" s="120">
        <v>0.010151516057865158</v>
      </c>
      <c r="E962" s="120">
        <v>1.6434526764861874</v>
      </c>
      <c r="F962" s="88" t="s">
        <v>2243</v>
      </c>
      <c r="G962" s="88" t="b">
        <v>0</v>
      </c>
      <c r="H962" s="88" t="b">
        <v>0</v>
      </c>
      <c r="I962" s="88" t="b">
        <v>0</v>
      </c>
      <c r="J962" s="88" t="b">
        <v>0</v>
      </c>
      <c r="K962" s="88" t="b">
        <v>0</v>
      </c>
      <c r="L962" s="88" t="b">
        <v>0</v>
      </c>
    </row>
    <row r="963" spans="1:12" ht="15">
      <c r="A963" s="88" t="s">
        <v>2568</v>
      </c>
      <c r="B963" s="88" t="s">
        <v>2569</v>
      </c>
      <c r="C963" s="88">
        <v>2</v>
      </c>
      <c r="D963" s="120">
        <v>0.010151516057865158</v>
      </c>
      <c r="E963" s="120">
        <v>1.6434526764861874</v>
      </c>
      <c r="F963" s="88" t="s">
        <v>2243</v>
      </c>
      <c r="G963" s="88" t="b">
        <v>0</v>
      </c>
      <c r="H963" s="88" t="b">
        <v>0</v>
      </c>
      <c r="I963" s="88" t="b">
        <v>0</v>
      </c>
      <c r="J963" s="88" t="b">
        <v>0</v>
      </c>
      <c r="K963" s="88" t="b">
        <v>0</v>
      </c>
      <c r="L963" s="88" t="b">
        <v>0</v>
      </c>
    </row>
    <row r="964" spans="1:12" ht="15">
      <c r="A964" s="88" t="s">
        <v>2569</v>
      </c>
      <c r="B964" s="88" t="s">
        <v>2570</v>
      </c>
      <c r="C964" s="88">
        <v>2</v>
      </c>
      <c r="D964" s="120">
        <v>0.010151516057865158</v>
      </c>
      <c r="E964" s="120">
        <v>1.6434526764861874</v>
      </c>
      <c r="F964" s="88" t="s">
        <v>2243</v>
      </c>
      <c r="G964" s="88" t="b">
        <v>0</v>
      </c>
      <c r="H964" s="88" t="b">
        <v>0</v>
      </c>
      <c r="I964" s="88" t="b">
        <v>0</v>
      </c>
      <c r="J964" s="88" t="b">
        <v>0</v>
      </c>
      <c r="K964" s="88" t="b">
        <v>0</v>
      </c>
      <c r="L964" s="88" t="b">
        <v>0</v>
      </c>
    </row>
    <row r="965" spans="1:12" ht="15">
      <c r="A965" s="88" t="s">
        <v>2570</v>
      </c>
      <c r="B965" s="88" t="s">
        <v>2443</v>
      </c>
      <c r="C965" s="88">
        <v>2</v>
      </c>
      <c r="D965" s="120">
        <v>0.010151516057865158</v>
      </c>
      <c r="E965" s="120">
        <v>1.3424226808222062</v>
      </c>
      <c r="F965" s="88" t="s">
        <v>2243</v>
      </c>
      <c r="G965" s="88" t="b">
        <v>0</v>
      </c>
      <c r="H965" s="88" t="b">
        <v>0</v>
      </c>
      <c r="I965" s="88" t="b">
        <v>0</v>
      </c>
      <c r="J965" s="88" t="b">
        <v>0</v>
      </c>
      <c r="K965" s="88" t="b">
        <v>0</v>
      </c>
      <c r="L965" s="88" t="b">
        <v>0</v>
      </c>
    </row>
    <row r="966" spans="1:12" ht="15">
      <c r="A966" s="88" t="s">
        <v>2443</v>
      </c>
      <c r="B966" s="88" t="s">
        <v>2571</v>
      </c>
      <c r="C966" s="88">
        <v>2</v>
      </c>
      <c r="D966" s="120">
        <v>0.010151516057865158</v>
      </c>
      <c r="E966" s="120">
        <v>1.3424226808222062</v>
      </c>
      <c r="F966" s="88" t="s">
        <v>2243</v>
      </c>
      <c r="G966" s="88" t="b">
        <v>0</v>
      </c>
      <c r="H966" s="88" t="b">
        <v>0</v>
      </c>
      <c r="I966" s="88" t="b">
        <v>0</v>
      </c>
      <c r="J966" s="88" t="b">
        <v>0</v>
      </c>
      <c r="K966" s="88" t="b">
        <v>0</v>
      </c>
      <c r="L966" s="88" t="b">
        <v>0</v>
      </c>
    </row>
    <row r="967" spans="1:12" ht="15">
      <c r="A967" s="88" t="s">
        <v>2571</v>
      </c>
      <c r="B967" s="88" t="s">
        <v>2441</v>
      </c>
      <c r="C967" s="88">
        <v>2</v>
      </c>
      <c r="D967" s="120">
        <v>0.010151516057865158</v>
      </c>
      <c r="E967" s="120">
        <v>1.3424226808222062</v>
      </c>
      <c r="F967" s="88" t="s">
        <v>2243</v>
      </c>
      <c r="G967" s="88" t="b">
        <v>0</v>
      </c>
      <c r="H967" s="88" t="b">
        <v>0</v>
      </c>
      <c r="I967" s="88" t="b">
        <v>0</v>
      </c>
      <c r="J967" s="88" t="b">
        <v>0</v>
      </c>
      <c r="K967" s="88" t="b">
        <v>0</v>
      </c>
      <c r="L967" s="88" t="b">
        <v>0</v>
      </c>
    </row>
    <row r="968" spans="1:12" ht="15">
      <c r="A968" s="88" t="s">
        <v>2441</v>
      </c>
      <c r="B968" s="88" t="s">
        <v>2572</v>
      </c>
      <c r="C968" s="88">
        <v>2</v>
      </c>
      <c r="D968" s="120">
        <v>0.010151516057865158</v>
      </c>
      <c r="E968" s="120">
        <v>1.3424226808222062</v>
      </c>
      <c r="F968" s="88" t="s">
        <v>2243</v>
      </c>
      <c r="G968" s="88" t="b">
        <v>0</v>
      </c>
      <c r="H968" s="88" t="b">
        <v>0</v>
      </c>
      <c r="I968" s="88" t="b">
        <v>0</v>
      </c>
      <c r="J968" s="88" t="b">
        <v>0</v>
      </c>
      <c r="K968" s="88" t="b">
        <v>0</v>
      </c>
      <c r="L968" s="88" t="b">
        <v>0</v>
      </c>
    </row>
    <row r="969" spans="1:12" ht="15">
      <c r="A969" s="88" t="s">
        <v>2572</v>
      </c>
      <c r="B969" s="88" t="s">
        <v>2573</v>
      </c>
      <c r="C969" s="88">
        <v>2</v>
      </c>
      <c r="D969" s="120">
        <v>0.010151516057865158</v>
      </c>
      <c r="E969" s="120">
        <v>1.6434526764861874</v>
      </c>
      <c r="F969" s="88" t="s">
        <v>2243</v>
      </c>
      <c r="G969" s="88" t="b">
        <v>0</v>
      </c>
      <c r="H969" s="88" t="b">
        <v>0</v>
      </c>
      <c r="I969" s="88" t="b">
        <v>0</v>
      </c>
      <c r="J969" s="88" t="b">
        <v>0</v>
      </c>
      <c r="K969" s="88" t="b">
        <v>0</v>
      </c>
      <c r="L969" s="88" t="b">
        <v>0</v>
      </c>
    </row>
    <row r="970" spans="1:12" ht="15">
      <c r="A970" s="88" t="s">
        <v>2573</v>
      </c>
      <c r="B970" s="88" t="s">
        <v>2574</v>
      </c>
      <c r="C970" s="88">
        <v>2</v>
      </c>
      <c r="D970" s="120">
        <v>0.010151516057865158</v>
      </c>
      <c r="E970" s="120">
        <v>1.6434526764861874</v>
      </c>
      <c r="F970" s="88" t="s">
        <v>2243</v>
      </c>
      <c r="G970" s="88" t="b">
        <v>0</v>
      </c>
      <c r="H970" s="88" t="b">
        <v>0</v>
      </c>
      <c r="I970" s="88" t="b">
        <v>0</v>
      </c>
      <c r="J970" s="88" t="b">
        <v>0</v>
      </c>
      <c r="K970" s="88" t="b">
        <v>0</v>
      </c>
      <c r="L970" s="88" t="b">
        <v>0</v>
      </c>
    </row>
    <row r="971" spans="1:12" ht="15">
      <c r="A971" s="88" t="s">
        <v>2574</v>
      </c>
      <c r="B971" s="88" t="s">
        <v>2338</v>
      </c>
      <c r="C971" s="88">
        <v>2</v>
      </c>
      <c r="D971" s="120">
        <v>0.010151516057865158</v>
      </c>
      <c r="E971" s="120">
        <v>1.166331421766525</v>
      </c>
      <c r="F971" s="88" t="s">
        <v>2243</v>
      </c>
      <c r="G971" s="88" t="b">
        <v>0</v>
      </c>
      <c r="H971" s="88" t="b">
        <v>0</v>
      </c>
      <c r="I971" s="88" t="b">
        <v>0</v>
      </c>
      <c r="J971" s="88" t="b">
        <v>0</v>
      </c>
      <c r="K971" s="88" t="b">
        <v>0</v>
      </c>
      <c r="L971" s="88" t="b">
        <v>0</v>
      </c>
    </row>
    <row r="972" spans="1:12" ht="15">
      <c r="A972" s="88" t="s">
        <v>2271</v>
      </c>
      <c r="B972" s="88" t="s">
        <v>2575</v>
      </c>
      <c r="C972" s="88">
        <v>2</v>
      </c>
      <c r="D972" s="120">
        <v>0.010151516057865158</v>
      </c>
      <c r="E972" s="120">
        <v>1.6434526764861874</v>
      </c>
      <c r="F972" s="88" t="s">
        <v>2243</v>
      </c>
      <c r="G972" s="88" t="b">
        <v>0</v>
      </c>
      <c r="H972" s="88" t="b">
        <v>0</v>
      </c>
      <c r="I972" s="88" t="b">
        <v>0</v>
      </c>
      <c r="J972" s="88" t="b">
        <v>0</v>
      </c>
      <c r="K972" s="88" t="b">
        <v>0</v>
      </c>
      <c r="L972" s="88" t="b">
        <v>0</v>
      </c>
    </row>
    <row r="973" spans="1:12" ht="15">
      <c r="A973" s="88" t="s">
        <v>2621</v>
      </c>
      <c r="B973" s="88" t="s">
        <v>533</v>
      </c>
      <c r="C973" s="88">
        <v>2</v>
      </c>
      <c r="D973" s="120">
        <v>0</v>
      </c>
      <c r="E973" s="120">
        <v>1.0413926851582251</v>
      </c>
      <c r="F973" s="88" t="s">
        <v>2244</v>
      </c>
      <c r="G973" s="88" t="b">
        <v>0</v>
      </c>
      <c r="H973" s="88" t="b">
        <v>0</v>
      </c>
      <c r="I973" s="88" t="b">
        <v>0</v>
      </c>
      <c r="J973" s="88" t="b">
        <v>0</v>
      </c>
      <c r="K973" s="88" t="b">
        <v>0</v>
      </c>
      <c r="L973" s="88" t="b">
        <v>0</v>
      </c>
    </row>
    <row r="974" spans="1:12" ht="15">
      <c r="A974" s="88" t="s">
        <v>533</v>
      </c>
      <c r="B974" s="88" t="s">
        <v>2622</v>
      </c>
      <c r="C974" s="88">
        <v>2</v>
      </c>
      <c r="D974" s="120">
        <v>0</v>
      </c>
      <c r="E974" s="120">
        <v>1.0413926851582251</v>
      </c>
      <c r="F974" s="88" t="s">
        <v>2244</v>
      </c>
      <c r="G974" s="88" t="b">
        <v>0</v>
      </c>
      <c r="H974" s="88" t="b">
        <v>0</v>
      </c>
      <c r="I974" s="88" t="b">
        <v>0</v>
      </c>
      <c r="J974" s="88" t="b">
        <v>0</v>
      </c>
      <c r="K974" s="88" t="b">
        <v>0</v>
      </c>
      <c r="L974" s="88" t="b">
        <v>0</v>
      </c>
    </row>
    <row r="975" spans="1:12" ht="15">
      <c r="A975" s="88" t="s">
        <v>2622</v>
      </c>
      <c r="B975" s="88" t="s">
        <v>2623</v>
      </c>
      <c r="C975" s="88">
        <v>2</v>
      </c>
      <c r="D975" s="120">
        <v>0</v>
      </c>
      <c r="E975" s="120">
        <v>1.0413926851582251</v>
      </c>
      <c r="F975" s="88" t="s">
        <v>2244</v>
      </c>
      <c r="G975" s="88" t="b">
        <v>0</v>
      </c>
      <c r="H975" s="88" t="b">
        <v>0</v>
      </c>
      <c r="I975" s="88" t="b">
        <v>0</v>
      </c>
      <c r="J975" s="88" t="b">
        <v>0</v>
      </c>
      <c r="K975" s="88" t="b">
        <v>0</v>
      </c>
      <c r="L975" s="88" t="b">
        <v>0</v>
      </c>
    </row>
    <row r="976" spans="1:12" ht="15">
      <c r="A976" s="88" t="s">
        <v>2623</v>
      </c>
      <c r="B976" s="88" t="s">
        <v>2624</v>
      </c>
      <c r="C976" s="88">
        <v>2</v>
      </c>
      <c r="D976" s="120">
        <v>0</v>
      </c>
      <c r="E976" s="120">
        <v>1.0413926851582251</v>
      </c>
      <c r="F976" s="88" t="s">
        <v>2244</v>
      </c>
      <c r="G976" s="88" t="b">
        <v>0</v>
      </c>
      <c r="H976" s="88" t="b">
        <v>0</v>
      </c>
      <c r="I976" s="88" t="b">
        <v>0</v>
      </c>
      <c r="J976" s="88" t="b">
        <v>0</v>
      </c>
      <c r="K976" s="88" t="b">
        <v>0</v>
      </c>
      <c r="L976" s="88" t="b">
        <v>0</v>
      </c>
    </row>
    <row r="977" spans="1:12" ht="15">
      <c r="A977" s="88" t="s">
        <v>2624</v>
      </c>
      <c r="B977" s="88" t="s">
        <v>2273</v>
      </c>
      <c r="C977" s="88">
        <v>2</v>
      </c>
      <c r="D977" s="120">
        <v>0</v>
      </c>
      <c r="E977" s="120">
        <v>1.0413926851582251</v>
      </c>
      <c r="F977" s="88" t="s">
        <v>2244</v>
      </c>
      <c r="G977" s="88" t="b">
        <v>0</v>
      </c>
      <c r="H977" s="88" t="b">
        <v>0</v>
      </c>
      <c r="I977" s="88" t="b">
        <v>0</v>
      </c>
      <c r="J977" s="88" t="b">
        <v>0</v>
      </c>
      <c r="K977" s="88" t="b">
        <v>0</v>
      </c>
      <c r="L977" s="88" t="b">
        <v>0</v>
      </c>
    </row>
    <row r="978" spans="1:12" ht="15">
      <c r="A978" s="88" t="s">
        <v>2273</v>
      </c>
      <c r="B978" s="88" t="s">
        <v>2625</v>
      </c>
      <c r="C978" s="88">
        <v>2</v>
      </c>
      <c r="D978" s="120">
        <v>0</v>
      </c>
      <c r="E978" s="120">
        <v>1.0413926851582251</v>
      </c>
      <c r="F978" s="88" t="s">
        <v>2244</v>
      </c>
      <c r="G978" s="88" t="b">
        <v>0</v>
      </c>
      <c r="H978" s="88" t="b">
        <v>0</v>
      </c>
      <c r="I978" s="88" t="b">
        <v>0</v>
      </c>
      <c r="J978" s="88" t="b">
        <v>0</v>
      </c>
      <c r="K978" s="88" t="b">
        <v>0</v>
      </c>
      <c r="L978" s="88" t="b">
        <v>0</v>
      </c>
    </row>
    <row r="979" spans="1:12" ht="15">
      <c r="A979" s="88" t="s">
        <v>2625</v>
      </c>
      <c r="B979" s="88" t="s">
        <v>2626</v>
      </c>
      <c r="C979" s="88">
        <v>2</v>
      </c>
      <c r="D979" s="120">
        <v>0</v>
      </c>
      <c r="E979" s="120">
        <v>1.0413926851582251</v>
      </c>
      <c r="F979" s="88" t="s">
        <v>2244</v>
      </c>
      <c r="G979" s="88" t="b">
        <v>0</v>
      </c>
      <c r="H979" s="88" t="b">
        <v>0</v>
      </c>
      <c r="I979" s="88" t="b">
        <v>0</v>
      </c>
      <c r="J979" s="88" t="b">
        <v>0</v>
      </c>
      <c r="K979" s="88" t="b">
        <v>0</v>
      </c>
      <c r="L979" s="88" t="b">
        <v>0</v>
      </c>
    </row>
    <row r="980" spans="1:12" ht="15">
      <c r="A980" s="88" t="s">
        <v>2626</v>
      </c>
      <c r="B980" s="88" t="s">
        <v>2627</v>
      </c>
      <c r="C980" s="88">
        <v>2</v>
      </c>
      <c r="D980" s="120">
        <v>0</v>
      </c>
      <c r="E980" s="120">
        <v>1.0413926851582251</v>
      </c>
      <c r="F980" s="88" t="s">
        <v>2244</v>
      </c>
      <c r="G980" s="88" t="b">
        <v>0</v>
      </c>
      <c r="H980" s="88" t="b">
        <v>0</v>
      </c>
      <c r="I980" s="88" t="b">
        <v>0</v>
      </c>
      <c r="J980" s="88" t="b">
        <v>0</v>
      </c>
      <c r="K980" s="88" t="b">
        <v>0</v>
      </c>
      <c r="L980" s="88" t="b">
        <v>0</v>
      </c>
    </row>
    <row r="981" spans="1:12" ht="15">
      <c r="A981" s="88" t="s">
        <v>2627</v>
      </c>
      <c r="B981" s="88" t="s">
        <v>2628</v>
      </c>
      <c r="C981" s="88">
        <v>2</v>
      </c>
      <c r="D981" s="120">
        <v>0</v>
      </c>
      <c r="E981" s="120">
        <v>1.0413926851582251</v>
      </c>
      <c r="F981" s="88" t="s">
        <v>2244</v>
      </c>
      <c r="G981" s="88" t="b">
        <v>0</v>
      </c>
      <c r="H981" s="88" t="b">
        <v>0</v>
      </c>
      <c r="I981" s="88" t="b">
        <v>0</v>
      </c>
      <c r="J981" s="88" t="b">
        <v>0</v>
      </c>
      <c r="K981" s="88" t="b">
        <v>0</v>
      </c>
      <c r="L981" s="88" t="b">
        <v>0</v>
      </c>
    </row>
    <row r="982" spans="1:12" ht="15">
      <c r="A982" s="88" t="s">
        <v>2628</v>
      </c>
      <c r="B982" s="88" t="s">
        <v>2629</v>
      </c>
      <c r="C982" s="88">
        <v>2</v>
      </c>
      <c r="D982" s="120">
        <v>0</v>
      </c>
      <c r="E982" s="120">
        <v>1.0413926851582251</v>
      </c>
      <c r="F982" s="88" t="s">
        <v>2244</v>
      </c>
      <c r="G982" s="88" t="b">
        <v>0</v>
      </c>
      <c r="H982" s="88" t="b">
        <v>0</v>
      </c>
      <c r="I982" s="88" t="b">
        <v>0</v>
      </c>
      <c r="J982" s="88" t="b">
        <v>0</v>
      </c>
      <c r="K982" s="88" t="b">
        <v>0</v>
      </c>
      <c r="L982" s="88" t="b">
        <v>0</v>
      </c>
    </row>
    <row r="983" spans="1:12" ht="15">
      <c r="A983" s="88" t="s">
        <v>2629</v>
      </c>
      <c r="B983" s="88" t="s">
        <v>2271</v>
      </c>
      <c r="C983" s="88">
        <v>2</v>
      </c>
      <c r="D983" s="120">
        <v>0</v>
      </c>
      <c r="E983" s="120">
        <v>1.0413926851582251</v>
      </c>
      <c r="F983" s="88" t="s">
        <v>2244</v>
      </c>
      <c r="G983" s="88" t="b">
        <v>0</v>
      </c>
      <c r="H983" s="88" t="b">
        <v>0</v>
      </c>
      <c r="I983" s="88" t="b">
        <v>0</v>
      </c>
      <c r="J983" s="88" t="b">
        <v>0</v>
      </c>
      <c r="K983" s="88" t="b">
        <v>0</v>
      </c>
      <c r="L983" s="88" t="b">
        <v>0</v>
      </c>
    </row>
    <row r="984" spans="1:12" ht="15">
      <c r="A984" s="88" t="s">
        <v>699</v>
      </c>
      <c r="B984" s="88" t="s">
        <v>2609</v>
      </c>
      <c r="C984" s="88">
        <v>2</v>
      </c>
      <c r="D984" s="120">
        <v>0</v>
      </c>
      <c r="E984" s="120">
        <v>1.1760912590556813</v>
      </c>
      <c r="F984" s="88" t="s">
        <v>2245</v>
      </c>
      <c r="G984" s="88" t="b">
        <v>0</v>
      </c>
      <c r="H984" s="88" t="b">
        <v>0</v>
      </c>
      <c r="I984" s="88" t="b">
        <v>0</v>
      </c>
      <c r="J984" s="88" t="b">
        <v>0</v>
      </c>
      <c r="K984" s="88" t="b">
        <v>0</v>
      </c>
      <c r="L984" s="88" t="b">
        <v>0</v>
      </c>
    </row>
    <row r="985" spans="1:12" ht="15">
      <c r="A985" s="88" t="s">
        <v>2609</v>
      </c>
      <c r="B985" s="88" t="s">
        <v>2610</v>
      </c>
      <c r="C985" s="88">
        <v>2</v>
      </c>
      <c r="D985" s="120">
        <v>0</v>
      </c>
      <c r="E985" s="120">
        <v>1.1760912590556813</v>
      </c>
      <c r="F985" s="88" t="s">
        <v>2245</v>
      </c>
      <c r="G985" s="88" t="b">
        <v>0</v>
      </c>
      <c r="H985" s="88" t="b">
        <v>0</v>
      </c>
      <c r="I985" s="88" t="b">
        <v>0</v>
      </c>
      <c r="J985" s="88" t="b">
        <v>0</v>
      </c>
      <c r="K985" s="88" t="b">
        <v>0</v>
      </c>
      <c r="L985" s="88" t="b">
        <v>0</v>
      </c>
    </row>
    <row r="986" spans="1:12" ht="15">
      <c r="A986" s="88" t="s">
        <v>2610</v>
      </c>
      <c r="B986" s="88" t="s">
        <v>2440</v>
      </c>
      <c r="C986" s="88">
        <v>2</v>
      </c>
      <c r="D986" s="120">
        <v>0</v>
      </c>
      <c r="E986" s="120">
        <v>1.1760912590556813</v>
      </c>
      <c r="F986" s="88" t="s">
        <v>2245</v>
      </c>
      <c r="G986" s="88" t="b">
        <v>0</v>
      </c>
      <c r="H986" s="88" t="b">
        <v>0</v>
      </c>
      <c r="I986" s="88" t="b">
        <v>0</v>
      </c>
      <c r="J986" s="88" t="b">
        <v>0</v>
      </c>
      <c r="K986" s="88" t="b">
        <v>0</v>
      </c>
      <c r="L986" s="88" t="b">
        <v>0</v>
      </c>
    </row>
    <row r="987" spans="1:12" ht="15">
      <c r="A987" s="88" t="s">
        <v>2440</v>
      </c>
      <c r="B987" s="88" t="s">
        <v>2611</v>
      </c>
      <c r="C987" s="88">
        <v>2</v>
      </c>
      <c r="D987" s="120">
        <v>0</v>
      </c>
      <c r="E987" s="120">
        <v>1.1760912590556813</v>
      </c>
      <c r="F987" s="88" t="s">
        <v>2245</v>
      </c>
      <c r="G987" s="88" t="b">
        <v>0</v>
      </c>
      <c r="H987" s="88" t="b">
        <v>0</v>
      </c>
      <c r="I987" s="88" t="b">
        <v>0</v>
      </c>
      <c r="J987" s="88" t="b">
        <v>0</v>
      </c>
      <c r="K987" s="88" t="b">
        <v>0</v>
      </c>
      <c r="L987" s="88" t="b">
        <v>0</v>
      </c>
    </row>
    <row r="988" spans="1:12" ht="15">
      <c r="A988" s="88" t="s">
        <v>2611</v>
      </c>
      <c r="B988" s="88" t="s">
        <v>2612</v>
      </c>
      <c r="C988" s="88">
        <v>2</v>
      </c>
      <c r="D988" s="120">
        <v>0</v>
      </c>
      <c r="E988" s="120">
        <v>1.1760912590556813</v>
      </c>
      <c r="F988" s="88" t="s">
        <v>2245</v>
      </c>
      <c r="G988" s="88" t="b">
        <v>0</v>
      </c>
      <c r="H988" s="88" t="b">
        <v>0</v>
      </c>
      <c r="I988" s="88" t="b">
        <v>0</v>
      </c>
      <c r="J988" s="88" t="b">
        <v>1</v>
      </c>
      <c r="K988" s="88" t="b">
        <v>0</v>
      </c>
      <c r="L988" s="88" t="b">
        <v>0</v>
      </c>
    </row>
    <row r="989" spans="1:12" ht="15">
      <c r="A989" s="88" t="s">
        <v>2612</v>
      </c>
      <c r="B989" s="88" t="s">
        <v>2613</v>
      </c>
      <c r="C989" s="88">
        <v>2</v>
      </c>
      <c r="D989" s="120">
        <v>0</v>
      </c>
      <c r="E989" s="120">
        <v>1.1760912590556813</v>
      </c>
      <c r="F989" s="88" t="s">
        <v>2245</v>
      </c>
      <c r="G989" s="88" t="b">
        <v>1</v>
      </c>
      <c r="H989" s="88" t="b">
        <v>0</v>
      </c>
      <c r="I989" s="88" t="b">
        <v>0</v>
      </c>
      <c r="J989" s="88" t="b">
        <v>0</v>
      </c>
      <c r="K989" s="88" t="b">
        <v>0</v>
      </c>
      <c r="L989" s="88" t="b">
        <v>0</v>
      </c>
    </row>
    <row r="990" spans="1:12" ht="15">
      <c r="A990" s="88" t="s">
        <v>2613</v>
      </c>
      <c r="B990" s="88" t="s">
        <v>2614</v>
      </c>
      <c r="C990" s="88">
        <v>2</v>
      </c>
      <c r="D990" s="120">
        <v>0</v>
      </c>
      <c r="E990" s="120">
        <v>1.1760912590556813</v>
      </c>
      <c r="F990" s="88" t="s">
        <v>2245</v>
      </c>
      <c r="G990" s="88" t="b">
        <v>0</v>
      </c>
      <c r="H990" s="88" t="b">
        <v>0</v>
      </c>
      <c r="I990" s="88" t="b">
        <v>0</v>
      </c>
      <c r="J990" s="88" t="b">
        <v>0</v>
      </c>
      <c r="K990" s="88" t="b">
        <v>0</v>
      </c>
      <c r="L990" s="88" t="b">
        <v>0</v>
      </c>
    </row>
    <row r="991" spans="1:12" ht="15">
      <c r="A991" s="88" t="s">
        <v>2614</v>
      </c>
      <c r="B991" s="88" t="s">
        <v>2615</v>
      </c>
      <c r="C991" s="88">
        <v>2</v>
      </c>
      <c r="D991" s="120">
        <v>0</v>
      </c>
      <c r="E991" s="120">
        <v>1.1760912590556813</v>
      </c>
      <c r="F991" s="88" t="s">
        <v>2245</v>
      </c>
      <c r="G991" s="88" t="b">
        <v>0</v>
      </c>
      <c r="H991" s="88" t="b">
        <v>0</v>
      </c>
      <c r="I991" s="88" t="b">
        <v>0</v>
      </c>
      <c r="J991" s="88" t="b">
        <v>0</v>
      </c>
      <c r="K991" s="88" t="b">
        <v>0</v>
      </c>
      <c r="L991" s="88" t="b">
        <v>0</v>
      </c>
    </row>
    <row r="992" spans="1:12" ht="15">
      <c r="A992" s="88" t="s">
        <v>2615</v>
      </c>
      <c r="B992" s="88" t="s">
        <v>2616</v>
      </c>
      <c r="C992" s="88">
        <v>2</v>
      </c>
      <c r="D992" s="120">
        <v>0</v>
      </c>
      <c r="E992" s="120">
        <v>1.1760912590556813</v>
      </c>
      <c r="F992" s="88" t="s">
        <v>2245</v>
      </c>
      <c r="G992" s="88" t="b">
        <v>0</v>
      </c>
      <c r="H992" s="88" t="b">
        <v>0</v>
      </c>
      <c r="I992" s="88" t="b">
        <v>0</v>
      </c>
      <c r="J992" s="88" t="b">
        <v>0</v>
      </c>
      <c r="K992" s="88" t="b">
        <v>0</v>
      </c>
      <c r="L992" s="88" t="b">
        <v>0</v>
      </c>
    </row>
    <row r="993" spans="1:12" ht="15">
      <c r="A993" s="88" t="s">
        <v>2616</v>
      </c>
      <c r="B993" s="88" t="s">
        <v>2617</v>
      </c>
      <c r="C993" s="88">
        <v>2</v>
      </c>
      <c r="D993" s="120">
        <v>0</v>
      </c>
      <c r="E993" s="120">
        <v>1.1760912590556813</v>
      </c>
      <c r="F993" s="88" t="s">
        <v>2245</v>
      </c>
      <c r="G993" s="88" t="b">
        <v>0</v>
      </c>
      <c r="H993" s="88" t="b">
        <v>0</v>
      </c>
      <c r="I993" s="88" t="b">
        <v>0</v>
      </c>
      <c r="J993" s="88" t="b">
        <v>0</v>
      </c>
      <c r="K993" s="88" t="b">
        <v>0</v>
      </c>
      <c r="L993" s="88" t="b">
        <v>0</v>
      </c>
    </row>
    <row r="994" spans="1:12" ht="15">
      <c r="A994" s="88" t="s">
        <v>2617</v>
      </c>
      <c r="B994" s="88" t="s">
        <v>2618</v>
      </c>
      <c r="C994" s="88">
        <v>2</v>
      </c>
      <c r="D994" s="120">
        <v>0</v>
      </c>
      <c r="E994" s="120">
        <v>1.1760912590556813</v>
      </c>
      <c r="F994" s="88" t="s">
        <v>2245</v>
      </c>
      <c r="G994" s="88" t="b">
        <v>0</v>
      </c>
      <c r="H994" s="88" t="b">
        <v>0</v>
      </c>
      <c r="I994" s="88" t="b">
        <v>0</v>
      </c>
      <c r="J994" s="88" t="b">
        <v>0</v>
      </c>
      <c r="K994" s="88" t="b">
        <v>0</v>
      </c>
      <c r="L994" s="88" t="b">
        <v>0</v>
      </c>
    </row>
    <row r="995" spans="1:12" ht="15">
      <c r="A995" s="88" t="s">
        <v>2618</v>
      </c>
      <c r="B995" s="88" t="s">
        <v>2619</v>
      </c>
      <c r="C995" s="88">
        <v>2</v>
      </c>
      <c r="D995" s="120">
        <v>0</v>
      </c>
      <c r="E995" s="120">
        <v>1.1760912590556813</v>
      </c>
      <c r="F995" s="88" t="s">
        <v>2245</v>
      </c>
      <c r="G995" s="88" t="b">
        <v>0</v>
      </c>
      <c r="H995" s="88" t="b">
        <v>0</v>
      </c>
      <c r="I995" s="88" t="b">
        <v>0</v>
      </c>
      <c r="J995" s="88" t="b">
        <v>0</v>
      </c>
      <c r="K995" s="88" t="b">
        <v>0</v>
      </c>
      <c r="L995" s="88" t="b">
        <v>0</v>
      </c>
    </row>
    <row r="996" spans="1:12" ht="15">
      <c r="A996" s="88" t="s">
        <v>2619</v>
      </c>
      <c r="B996" s="88" t="s">
        <v>2620</v>
      </c>
      <c r="C996" s="88">
        <v>2</v>
      </c>
      <c r="D996" s="120">
        <v>0</v>
      </c>
      <c r="E996" s="120">
        <v>1.1760912590556813</v>
      </c>
      <c r="F996" s="88" t="s">
        <v>2245</v>
      </c>
      <c r="G996" s="88" t="b">
        <v>0</v>
      </c>
      <c r="H996" s="88" t="b">
        <v>0</v>
      </c>
      <c r="I996" s="88" t="b">
        <v>0</v>
      </c>
      <c r="J996" s="88" t="b">
        <v>0</v>
      </c>
      <c r="K996" s="88" t="b">
        <v>0</v>
      </c>
      <c r="L996" s="88" t="b">
        <v>0</v>
      </c>
    </row>
    <row r="997" spans="1:12" ht="15">
      <c r="A997" s="88" t="s">
        <v>2620</v>
      </c>
      <c r="B997" s="88" t="s">
        <v>2271</v>
      </c>
      <c r="C997" s="88">
        <v>2</v>
      </c>
      <c r="D997" s="120">
        <v>0</v>
      </c>
      <c r="E997" s="120">
        <v>1.1760912590556813</v>
      </c>
      <c r="F997" s="88" t="s">
        <v>2245</v>
      </c>
      <c r="G997" s="88" t="b">
        <v>0</v>
      </c>
      <c r="H997" s="88" t="b">
        <v>0</v>
      </c>
      <c r="I997" s="88" t="b">
        <v>0</v>
      </c>
      <c r="J997" s="88" t="b">
        <v>0</v>
      </c>
      <c r="K997" s="88" t="b">
        <v>0</v>
      </c>
      <c r="L997" s="88" t="b">
        <v>0</v>
      </c>
    </row>
    <row r="998" spans="1:12" ht="15">
      <c r="A998" s="88" t="s">
        <v>2271</v>
      </c>
      <c r="B998" s="88" t="s">
        <v>2275</v>
      </c>
      <c r="C998" s="88">
        <v>2</v>
      </c>
      <c r="D998" s="120">
        <v>0</v>
      </c>
      <c r="E998" s="120">
        <v>1.1760912590556813</v>
      </c>
      <c r="F998" s="88" t="s">
        <v>2245</v>
      </c>
      <c r="G998" s="88" t="b">
        <v>0</v>
      </c>
      <c r="H998" s="88" t="b">
        <v>0</v>
      </c>
      <c r="I998" s="88" t="b">
        <v>0</v>
      </c>
      <c r="J998" s="88" t="b">
        <v>0</v>
      </c>
      <c r="K998" s="88" t="b">
        <v>0</v>
      </c>
      <c r="L99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A09F47-1903-4304-BFBC-9E1AE5CF4C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2020-06-23T10:43:54Z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